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05"/>
  <workbookPr defaultThemeVersion="166925"/>
  <mc:AlternateContent xmlns:mc="http://schemas.openxmlformats.org/markup-compatibility/2006">
    <mc:Choice Requires="x15">
      <x15ac:absPath xmlns:x15ac="http://schemas.microsoft.com/office/spreadsheetml/2010/11/ac" url="S:\Clients\General Clients\Climate Change Commission\J24-016N - NZ Process Heat Decarbonisation\4. Deliverables\Section C - Modelling\Base Case\"/>
    </mc:Choice>
  </mc:AlternateContent>
  <xr:revisionPtr revIDLastSave="0" documentId="8_{AEF2263F-E702-4632-AAD3-5EE5DB17CC42}" xr6:coauthVersionLast="47" xr6:coauthVersionMax="47" xr10:uidLastSave="{00000000-0000-0000-0000-000000000000}"/>
  <bookViews>
    <workbookView xWindow="-120" yWindow="-120" windowWidth="24240" windowHeight="12525" xr2:uid="{2300917F-71F7-4AB6-BBD0-607BDB5938C3}"/>
  </bookViews>
  <sheets>
    <sheet name="Site Guide" sheetId="12" r:id="rId1"/>
    <sheet name="Capital and Equipment Summary" sheetId="1" r:id="rId2"/>
    <sheet name="Personnel Requirement" sheetId="3" r:id="rId3"/>
    <sheet name="People Stats" sheetId="10" r:id="rId4"/>
    <sheet name="EDB AMP" sheetId="5" r:id="rId5"/>
    <sheet name="Personnel Replenishment" sheetId="11" r:id="rId6"/>
    <sheet name="Personnel Analysis" sheetId="15" r:id="rId7"/>
    <sheet name="EDB Capital Forecast" sheetId="8" r:id="rId8"/>
    <sheet name="Sheet1" sheetId="16" state="hidden" r:id="rId9"/>
    <sheet name="EDB Capital Comparison" sheetId="9" r:id="rId10"/>
    <sheet name="Variables" sheetId="4" r:id="rId11"/>
    <sheet name="Ref" sheetId="2" r:id="rId12"/>
  </sheets>
  <definedNames>
    <definedName name="_xlnm._FilterDatabase" localSheetId="4" hidden="1">'EDB AMP'!$E$6:$AN$6</definedName>
    <definedName name="_xlnm.Print_Area" localSheetId="0">'Site Guide'!$A$1:$H$23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5" l="1"/>
  <c r="C30" i="9"/>
  <c r="C26" i="3"/>
  <c r="D81" i="15" s="1"/>
  <c r="C25" i="3"/>
  <c r="C24" i="3"/>
  <c r="C23" i="3"/>
  <c r="C22" i="3"/>
  <c r="C21" i="3"/>
  <c r="P13" i="16"/>
  <c r="O13" i="16"/>
  <c r="N13" i="16"/>
  <c r="M13" i="16"/>
  <c r="L13" i="16"/>
  <c r="K13" i="16"/>
  <c r="J13" i="16"/>
  <c r="I13" i="16"/>
  <c r="C28" i="4"/>
  <c r="C27" i="4"/>
  <c r="C26" i="4"/>
  <c r="C25" i="4"/>
  <c r="H13" i="16"/>
  <c r="D13" i="16" l="1"/>
  <c r="C3" i="9"/>
  <c r="C3" i="8"/>
  <c r="D3" i="5"/>
  <c r="D3" i="10"/>
  <c r="D3" i="3"/>
  <c r="D3" i="1"/>
  <c r="D3" i="11"/>
  <c r="C3" i="15"/>
  <c r="J13" i="15"/>
  <c r="K13" i="15"/>
  <c r="L13" i="15"/>
  <c r="M13" i="15"/>
  <c r="N13" i="15"/>
  <c r="O13" i="15"/>
  <c r="P13" i="15"/>
  <c r="Q13" i="15"/>
  <c r="R13" i="15"/>
  <c r="S13" i="15"/>
  <c r="T13" i="15"/>
  <c r="U13" i="15"/>
  <c r="V13" i="15"/>
  <c r="W13" i="15"/>
  <c r="X13" i="15"/>
  <c r="Y13" i="15"/>
  <c r="Z13" i="15"/>
  <c r="AA13" i="15"/>
  <c r="AB13" i="15"/>
  <c r="AC13" i="15"/>
  <c r="AD13" i="15"/>
  <c r="AE13" i="15"/>
  <c r="AF13" i="15"/>
  <c r="AG13" i="15"/>
  <c r="AH13" i="15"/>
  <c r="AI13" i="15"/>
  <c r="I13" i="15"/>
  <c r="C8" i="15"/>
  <c r="C11" i="15" s="1"/>
  <c r="E81" i="15"/>
  <c r="F81" i="15"/>
  <c r="G81" i="15"/>
  <c r="H81" i="15"/>
  <c r="I81" i="15"/>
  <c r="J81" i="15"/>
  <c r="K81" i="15"/>
  <c r="L81" i="15"/>
  <c r="M81" i="15"/>
  <c r="N81" i="15"/>
  <c r="O81" i="15"/>
  <c r="P81" i="15"/>
  <c r="Q81" i="15"/>
  <c r="R81" i="15"/>
  <c r="S81" i="15"/>
  <c r="T81" i="15"/>
  <c r="U81" i="15"/>
  <c r="V81" i="15"/>
  <c r="W81" i="15"/>
  <c r="X81" i="15"/>
  <c r="Y81" i="15"/>
  <c r="Z81" i="15"/>
  <c r="AA81" i="15"/>
  <c r="AB81" i="15"/>
  <c r="AC81" i="15"/>
  <c r="AD81" i="15"/>
  <c r="E71" i="15"/>
  <c r="F71" i="15" s="1"/>
  <c r="G71" i="15" s="1"/>
  <c r="H71" i="15" s="1"/>
  <c r="I71" i="15" s="1"/>
  <c r="J71" i="15" s="1"/>
  <c r="K71" i="15" s="1"/>
  <c r="L71" i="15" s="1"/>
  <c r="M71" i="15" s="1"/>
  <c r="N71" i="15" s="1"/>
  <c r="O71" i="15" s="1"/>
  <c r="P71" i="15" s="1"/>
  <c r="Q71" i="15" s="1"/>
  <c r="R71" i="15" s="1"/>
  <c r="S71" i="15" s="1"/>
  <c r="T71" i="15" s="1"/>
  <c r="U71" i="15" s="1"/>
  <c r="V71" i="15" s="1"/>
  <c r="W71" i="15" s="1"/>
  <c r="X71" i="15" s="1"/>
  <c r="Y71" i="15" s="1"/>
  <c r="Z71" i="15" s="1"/>
  <c r="AA71" i="15" s="1"/>
  <c r="AB71" i="15" s="1"/>
  <c r="AC71" i="15" s="1"/>
  <c r="AD71" i="15" s="1"/>
  <c r="D72" i="15"/>
  <c r="E72" i="15"/>
  <c r="F72" i="15"/>
  <c r="G72" i="15"/>
  <c r="H72" i="15"/>
  <c r="I72" i="15"/>
  <c r="J72" i="15"/>
  <c r="K72" i="15"/>
  <c r="L72" i="15"/>
  <c r="M72" i="15"/>
  <c r="N72" i="15"/>
  <c r="O72" i="15"/>
  <c r="P72" i="15"/>
  <c r="Q72" i="15"/>
  <c r="R72" i="15"/>
  <c r="S72" i="15"/>
  <c r="T72" i="15"/>
  <c r="U72" i="15"/>
  <c r="V72" i="15"/>
  <c r="W72" i="15"/>
  <c r="X72" i="15"/>
  <c r="Y72" i="15"/>
  <c r="Z72" i="15"/>
  <c r="AA72" i="15"/>
  <c r="AB72" i="15"/>
  <c r="AC72" i="15"/>
  <c r="AD72" i="15"/>
  <c r="D75" i="15"/>
  <c r="E75" i="15"/>
  <c r="F75" i="15"/>
  <c r="G75" i="15"/>
  <c r="H75" i="15"/>
  <c r="I75" i="15"/>
  <c r="J75" i="15"/>
  <c r="K75" i="15"/>
  <c r="L75" i="15"/>
  <c r="M75" i="15"/>
  <c r="N75" i="15"/>
  <c r="O75" i="15"/>
  <c r="P75" i="15"/>
  <c r="Q75" i="15"/>
  <c r="R75" i="15"/>
  <c r="S75" i="15"/>
  <c r="T75" i="15"/>
  <c r="U75" i="15"/>
  <c r="V75" i="15"/>
  <c r="W75" i="15"/>
  <c r="X75" i="15"/>
  <c r="Y75" i="15"/>
  <c r="Z75" i="15"/>
  <c r="AA75" i="15"/>
  <c r="AB75" i="15"/>
  <c r="AC75" i="15"/>
  <c r="AD75" i="15"/>
  <c r="D78" i="15"/>
  <c r="E78" i="15"/>
  <c r="F78" i="15"/>
  <c r="G78" i="15"/>
  <c r="H78" i="15"/>
  <c r="I78" i="15"/>
  <c r="J78" i="15"/>
  <c r="K78" i="15"/>
  <c r="L78" i="15"/>
  <c r="M78" i="15"/>
  <c r="N78" i="15"/>
  <c r="O78" i="15"/>
  <c r="P78" i="15"/>
  <c r="Q78" i="15"/>
  <c r="R78" i="15"/>
  <c r="S78" i="15"/>
  <c r="T78" i="15"/>
  <c r="U78" i="15"/>
  <c r="V78" i="15"/>
  <c r="W78" i="15"/>
  <c r="X78" i="15"/>
  <c r="Y78" i="15"/>
  <c r="Z78" i="15"/>
  <c r="AA78" i="15"/>
  <c r="AB78" i="15"/>
  <c r="AC78" i="15"/>
  <c r="AD78"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C56" i="15"/>
  <c r="C60" i="15" s="1"/>
  <c r="D55" i="15"/>
  <c r="E55" i="15" s="1"/>
  <c r="B54"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C40" i="15"/>
  <c r="D39" i="15"/>
  <c r="E39" i="15" s="1"/>
  <c r="F39" i="15" s="1"/>
  <c r="B38"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C24" i="15"/>
  <c r="C28" i="15" s="1"/>
  <c r="D24" i="15" s="1"/>
  <c r="D23" i="15"/>
  <c r="B22" i="15"/>
  <c r="D7" i="15"/>
  <c r="E7" i="15" s="1"/>
  <c r="B6" i="15"/>
  <c r="T43" i="1"/>
  <c r="S43" i="1"/>
  <c r="R43" i="1"/>
  <c r="Q43" i="1"/>
  <c r="P43" i="1"/>
  <c r="O43" i="1"/>
  <c r="N43" i="1"/>
  <c r="M43" i="1"/>
  <c r="L43" i="1"/>
  <c r="K43" i="1"/>
  <c r="J43" i="1"/>
  <c r="I43" i="1"/>
  <c r="H43" i="1"/>
  <c r="G43" i="1"/>
  <c r="F43" i="1"/>
  <c r="E43" i="1"/>
  <c r="D43" i="1"/>
  <c r="C43" i="1"/>
  <c r="C7" i="3"/>
  <c r="C25" i="9"/>
  <c r="E25" i="9"/>
  <c r="C34" i="9" s="1"/>
  <c r="C35" i="9" s="1"/>
  <c r="C36" i="9" s="1"/>
  <c r="F25" i="9"/>
  <c r="D25" i="9"/>
  <c r="C12" i="15" l="1"/>
  <c r="C14" i="15" s="1"/>
  <c r="C59" i="15"/>
  <c r="C62" i="15" s="1"/>
  <c r="C27" i="15"/>
  <c r="C30" i="15" s="1"/>
  <c r="F55" i="15"/>
  <c r="G39" i="15"/>
  <c r="C43" i="15"/>
  <c r="F7" i="15"/>
  <c r="C44" i="15"/>
  <c r="E23" i="15"/>
  <c r="C27" i="3"/>
  <c r="G7" i="15" l="1"/>
  <c r="F23" i="15"/>
  <c r="C46" i="15"/>
  <c r="H39" i="15"/>
  <c r="G55" i="15"/>
  <c r="G14" i="3"/>
  <c r="H14" i="3"/>
  <c r="G23" i="15" l="1"/>
  <c r="H7" i="15"/>
  <c r="I39" i="15"/>
  <c r="H55" i="15"/>
  <c r="F17" i="3"/>
  <c r="G16" i="3"/>
  <c r="G15" i="3"/>
  <c r="G13" i="3"/>
  <c r="G12" i="3"/>
  <c r="G11" i="3"/>
  <c r="H11" i="3" s="1"/>
  <c r="E35" i="10"/>
  <c r="E32" i="10"/>
  <c r="E31" i="10"/>
  <c r="E30" i="10"/>
  <c r="E29" i="10"/>
  <c r="E28" i="10"/>
  <c r="E27" i="10"/>
  <c r="E26" i="10"/>
  <c r="E25" i="10"/>
  <c r="I55" i="15" l="1"/>
  <c r="J39" i="15"/>
  <c r="I7" i="15"/>
  <c r="H23" i="15"/>
  <c r="G17" i="3"/>
  <c r="R35" i="11"/>
  <c r="C51" i="10"/>
  <c r="C52" i="10"/>
  <c r="C53" i="10"/>
  <c r="C54" i="10"/>
  <c r="C55" i="10"/>
  <c r="C56" i="10"/>
  <c r="C57" i="10"/>
  <c r="C58" i="10"/>
  <c r="C59" i="10"/>
  <c r="C60" i="10"/>
  <c r="C61" i="10"/>
  <c r="C62" i="10"/>
  <c r="C50" i="10"/>
  <c r="P59" i="10"/>
  <c r="P60" i="10"/>
  <c r="P61" i="10"/>
  <c r="P62" i="10"/>
  <c r="P63" i="10"/>
  <c r="P64" i="10"/>
  <c r="P65" i="10"/>
  <c r="P66" i="10"/>
  <c r="P67" i="10"/>
  <c r="P68" i="10"/>
  <c r="K59" i="10"/>
  <c r="K60" i="10"/>
  <c r="K61" i="10"/>
  <c r="K62" i="10"/>
  <c r="K63" i="10"/>
  <c r="K64" i="10"/>
  <c r="K65" i="10"/>
  <c r="K66" i="10"/>
  <c r="K67" i="10"/>
  <c r="K68" i="10"/>
  <c r="K58" i="10"/>
  <c r="I23" i="15" l="1"/>
  <c r="J7" i="15"/>
  <c r="K39" i="15"/>
  <c r="J55" i="15"/>
  <c r="S35" i="11"/>
  <c r="T35" i="11" s="1"/>
  <c r="U35" i="11" s="1"/>
  <c r="V35" i="11" s="1"/>
  <c r="W35" i="11" s="1"/>
  <c r="X35" i="11" s="1"/>
  <c r="Y35" i="11" s="1"/>
  <c r="Z35" i="11" s="1"/>
  <c r="AA35" i="11" s="1"/>
  <c r="AB35" i="11" s="1"/>
  <c r="AC35" i="11" s="1"/>
  <c r="AD35" i="11" s="1"/>
  <c r="C3" i="2"/>
  <c r="D3" i="4"/>
  <c r="K55" i="15" l="1"/>
  <c r="L39" i="15"/>
  <c r="K7" i="15"/>
  <c r="J23" i="15"/>
  <c r="M10" i="10"/>
  <c r="M11" i="10" s="1"/>
  <c r="M12" i="10" s="1"/>
  <c r="M13" i="10" s="1"/>
  <c r="M14" i="10" s="1"/>
  <c r="M15" i="10" s="1"/>
  <c r="M16" i="10" s="1"/>
  <c r="M17" i="10" s="1"/>
  <c r="M18" i="10" s="1"/>
  <c r="H11" i="10"/>
  <c r="H12" i="10" s="1"/>
  <c r="H13" i="10" s="1"/>
  <c r="H14" i="10" s="1"/>
  <c r="H15" i="10" s="1"/>
  <c r="H16" i="10" s="1"/>
  <c r="H17" i="10" s="1"/>
  <c r="H18" i="10" s="1"/>
  <c r="H10" i="10"/>
  <c r="P9" i="10"/>
  <c r="P10" i="10"/>
  <c r="P11" i="10"/>
  <c r="P12" i="10"/>
  <c r="P13" i="10"/>
  <c r="P14" i="10"/>
  <c r="P15" i="10"/>
  <c r="P16" i="10"/>
  <c r="P17" i="10"/>
  <c r="P18" i="10"/>
  <c r="K9" i="10"/>
  <c r="K10" i="10"/>
  <c r="K11" i="10"/>
  <c r="K12" i="10"/>
  <c r="K13" i="10"/>
  <c r="K14" i="10"/>
  <c r="K15" i="10"/>
  <c r="K16" i="10"/>
  <c r="K17" i="10"/>
  <c r="K18" i="10"/>
  <c r="H12" i="3"/>
  <c r="H13" i="3"/>
  <c r="H15" i="3"/>
  <c r="H16" i="3"/>
  <c r="M50" i="10"/>
  <c r="M51" i="10" s="1"/>
  <c r="M52" i="10" s="1"/>
  <c r="M53" i="10" s="1"/>
  <c r="M54" i="10" s="1"/>
  <c r="M55" i="10" s="1"/>
  <c r="M56" i="10" s="1"/>
  <c r="M57" i="10" s="1"/>
  <c r="M58" i="10" s="1"/>
  <c r="M40" i="10"/>
  <c r="M41" i="10" s="1"/>
  <c r="M42" i="10" s="1"/>
  <c r="M43" i="10" s="1"/>
  <c r="M44" i="10" s="1"/>
  <c r="M45" i="10" s="1"/>
  <c r="M46" i="10" s="1"/>
  <c r="M47" i="10" s="1"/>
  <c r="M48" i="10" s="1"/>
  <c r="M30" i="10"/>
  <c r="M31" i="10" s="1"/>
  <c r="M32" i="10" s="1"/>
  <c r="M33" i="10" s="1"/>
  <c r="M34" i="10" s="1"/>
  <c r="M35" i="10" s="1"/>
  <c r="M36" i="10" s="1"/>
  <c r="M37" i="10" s="1"/>
  <c r="M20" i="10"/>
  <c r="M21" i="10" s="1"/>
  <c r="H50" i="10"/>
  <c r="H51" i="10" s="1"/>
  <c r="H52" i="10" s="1"/>
  <c r="H53" i="10" s="1"/>
  <c r="H54" i="10" s="1"/>
  <c r="H55" i="10" s="1"/>
  <c r="H56" i="10" s="1"/>
  <c r="H57" i="10" s="1"/>
  <c r="H58" i="10" s="1"/>
  <c r="H41" i="10"/>
  <c r="H42" i="10" s="1"/>
  <c r="H43" i="10" s="1"/>
  <c r="H44" i="10" s="1"/>
  <c r="H45" i="10" s="1"/>
  <c r="H46" i="10" s="1"/>
  <c r="H47" i="10" s="1"/>
  <c r="H48" i="10" s="1"/>
  <c r="H40" i="10"/>
  <c r="H30" i="10"/>
  <c r="H31" i="10" s="1"/>
  <c r="H32" i="10" s="1"/>
  <c r="H33" i="10" s="1"/>
  <c r="H34" i="10" s="1"/>
  <c r="H35" i="10" s="1"/>
  <c r="H36" i="10" s="1"/>
  <c r="H37" i="10" s="1"/>
  <c r="H20" i="10"/>
  <c r="H21" i="10" s="1"/>
  <c r="H22" i="10" s="1"/>
  <c r="H23" i="10" s="1"/>
  <c r="B20" i="4"/>
  <c r="B19" i="4"/>
  <c r="B18" i="4"/>
  <c r="B17" i="4"/>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19" i="10"/>
  <c r="G24" i="9"/>
  <c r="C24" i="9"/>
  <c r="F24" i="9"/>
  <c r="G25" i="9"/>
  <c r="G23" i="9"/>
  <c r="E24" i="9"/>
  <c r="D24" i="9"/>
  <c r="D23" i="9"/>
  <c r="E23" i="9"/>
  <c r="F23" i="9"/>
  <c r="C23" i="9"/>
  <c r="L7" i="15" l="1"/>
  <c r="K23" i="15"/>
  <c r="M39" i="15"/>
  <c r="L55" i="15"/>
  <c r="C8" i="11"/>
  <c r="D7" i="11"/>
  <c r="K8" i="11"/>
  <c r="F9" i="15" s="1"/>
  <c r="H7" i="11"/>
  <c r="C25" i="15" s="1"/>
  <c r="I7" i="11"/>
  <c r="D25" i="15" s="1"/>
  <c r="E7" i="11"/>
  <c r="D8" i="11"/>
  <c r="F7" i="11"/>
  <c r="L8" i="11"/>
  <c r="G9" i="15" s="1"/>
  <c r="E8" i="11"/>
  <c r="G7" i="11"/>
  <c r="F8" i="11"/>
  <c r="G8" i="11"/>
  <c r="H8" i="11"/>
  <c r="J7" i="11"/>
  <c r="E25" i="15" s="1"/>
  <c r="I8" i="11"/>
  <c r="D9" i="15" s="1"/>
  <c r="K7" i="11"/>
  <c r="F25" i="15" s="1"/>
  <c r="J8" i="11"/>
  <c r="E9" i="15" s="1"/>
  <c r="L7" i="11"/>
  <c r="G25" i="15" s="1"/>
  <c r="C7" i="11"/>
  <c r="C11" i="11" s="1"/>
  <c r="D9" i="11"/>
  <c r="K10" i="11"/>
  <c r="F57" i="15" s="1"/>
  <c r="L10" i="11"/>
  <c r="G57" i="15" s="1"/>
  <c r="C10" i="11"/>
  <c r="H9" i="11"/>
  <c r="C41" i="15" s="1"/>
  <c r="E9" i="11"/>
  <c r="F9" i="11"/>
  <c r="C9" i="11"/>
  <c r="G9" i="11"/>
  <c r="D10" i="11"/>
  <c r="I9" i="11"/>
  <c r="D41" i="15" s="1"/>
  <c r="J9" i="11"/>
  <c r="E41" i="15" s="1"/>
  <c r="K9" i="11"/>
  <c r="F41" i="15" s="1"/>
  <c r="L9" i="11"/>
  <c r="G41" i="15" s="1"/>
  <c r="E10" i="11"/>
  <c r="H10" i="11"/>
  <c r="C57" i="15" s="1"/>
  <c r="I10" i="11"/>
  <c r="D57" i="15" s="1"/>
  <c r="J10" i="11"/>
  <c r="E57" i="15" s="1"/>
  <c r="F10" i="11"/>
  <c r="G10" i="11"/>
  <c r="H17" i="3"/>
  <c r="M22" i="10"/>
  <c r="M23" i="10" s="1"/>
  <c r="M24" i="10" s="1"/>
  <c r="M25" i="10" s="1"/>
  <c r="M26" i="10" s="1"/>
  <c r="M27" i="10" s="1"/>
  <c r="M28" i="10" s="1"/>
  <c r="H24" i="10"/>
  <c r="C8" i="9"/>
  <c r="C7" i="9"/>
  <c r="O9" i="8"/>
  <c r="N9" i="8"/>
  <c r="M9" i="8"/>
  <c r="L9" i="8"/>
  <c r="K9" i="8"/>
  <c r="J9" i="8"/>
  <c r="I9" i="8"/>
  <c r="H9" i="8"/>
  <c r="G9" i="8"/>
  <c r="F9" i="8"/>
  <c r="F8" i="8"/>
  <c r="G8" i="8"/>
  <c r="H8" i="8"/>
  <c r="I8" i="8"/>
  <c r="J8" i="8"/>
  <c r="K8" i="8"/>
  <c r="L8" i="8"/>
  <c r="M8" i="8"/>
  <c r="N8" i="8"/>
  <c r="O8" i="8"/>
  <c r="D33" i="15" l="1"/>
  <c r="D34" i="15"/>
  <c r="D32" i="15"/>
  <c r="M55" i="15"/>
  <c r="D17" i="15"/>
  <c r="D8" i="15"/>
  <c r="D18" i="15"/>
  <c r="D16" i="15"/>
  <c r="D56" i="15"/>
  <c r="D66" i="15"/>
  <c r="D65" i="15"/>
  <c r="D64" i="15"/>
  <c r="N39" i="15"/>
  <c r="L23" i="15"/>
  <c r="D40" i="15"/>
  <c r="D48" i="15"/>
  <c r="D50" i="15"/>
  <c r="D49" i="15"/>
  <c r="M7" i="15"/>
  <c r="R8" i="8"/>
  <c r="S8" i="8"/>
  <c r="T8" i="8"/>
  <c r="Q8" i="8"/>
  <c r="T9" i="8"/>
  <c r="S9" i="8"/>
  <c r="Q9" i="8"/>
  <c r="R9" i="8"/>
  <c r="P9" i="8"/>
  <c r="C14" i="11"/>
  <c r="D12" i="11"/>
  <c r="F12" i="11"/>
  <c r="D14" i="11"/>
  <c r="F14" i="11"/>
  <c r="E12" i="11"/>
  <c r="J12" i="11"/>
  <c r="G12" i="11"/>
  <c r="G14" i="11"/>
  <c r="E14" i="11"/>
  <c r="K14" i="11"/>
  <c r="I14" i="11"/>
  <c r="L14" i="11"/>
  <c r="H14" i="11"/>
  <c r="J14" i="11"/>
  <c r="L12" i="11"/>
  <c r="C12" i="11"/>
  <c r="H25" i="10"/>
  <c r="C9" i="9"/>
  <c r="C10" i="9"/>
  <c r="P8" i="8"/>
  <c r="D11" i="15" l="1"/>
  <c r="D12" i="15"/>
  <c r="E8" i="15"/>
  <c r="N7" i="15"/>
  <c r="E56" i="15"/>
  <c r="D60" i="15"/>
  <c r="D59" i="15"/>
  <c r="D43" i="15"/>
  <c r="D44" i="15"/>
  <c r="E40" i="15"/>
  <c r="N55" i="15"/>
  <c r="M23" i="15"/>
  <c r="D27" i="15"/>
  <c r="D28" i="15"/>
  <c r="E24" i="15"/>
  <c r="O39" i="15"/>
  <c r="C11" i="9"/>
  <c r="C12" i="9" s="1"/>
  <c r="C17" i="9"/>
  <c r="F39" i="11"/>
  <c r="K57" i="15" s="1"/>
  <c r="V39" i="11"/>
  <c r="H39" i="11"/>
  <c r="M57" i="15" s="1"/>
  <c r="X39" i="11"/>
  <c r="G39" i="11"/>
  <c r="L57" i="15" s="1"/>
  <c r="W39" i="11"/>
  <c r="AB39" i="11"/>
  <c r="I39" i="11"/>
  <c r="Y39" i="11"/>
  <c r="AA39" i="11"/>
  <c r="L39" i="11"/>
  <c r="M39" i="11"/>
  <c r="AC39" i="11"/>
  <c r="N39" i="11"/>
  <c r="AD39" i="11"/>
  <c r="O39" i="11"/>
  <c r="C39" i="11"/>
  <c r="H57" i="15" s="1"/>
  <c r="Z39" i="11"/>
  <c r="P39" i="11"/>
  <c r="J39" i="11"/>
  <c r="Q39" i="11"/>
  <c r="R39" i="11"/>
  <c r="S39" i="11"/>
  <c r="K39" i="11"/>
  <c r="D39" i="11"/>
  <c r="I57" i="15" s="1"/>
  <c r="T39" i="11"/>
  <c r="E39" i="11"/>
  <c r="J57" i="15" s="1"/>
  <c r="U39" i="11"/>
  <c r="K12" i="11"/>
  <c r="H12" i="11"/>
  <c r="I12" i="11"/>
  <c r="H26" i="10"/>
  <c r="E11" i="15" l="1"/>
  <c r="E12" i="15"/>
  <c r="E44" i="15"/>
  <c r="E43" i="15"/>
  <c r="O55" i="15"/>
  <c r="N57" i="15"/>
  <c r="D46" i="15"/>
  <c r="E48" i="15" s="1"/>
  <c r="D62" i="15"/>
  <c r="E64" i="15" s="1"/>
  <c r="E60" i="15"/>
  <c r="E59" i="15"/>
  <c r="P39" i="15"/>
  <c r="O7" i="15"/>
  <c r="D14" i="15"/>
  <c r="E16" i="15" s="1"/>
  <c r="E19" i="15" s="1"/>
  <c r="D30" i="15"/>
  <c r="E32" i="15" s="1"/>
  <c r="E28" i="15"/>
  <c r="E27" i="15"/>
  <c r="N23" i="15"/>
  <c r="C19" i="9"/>
  <c r="D37" i="11"/>
  <c r="I9" i="15" s="1"/>
  <c r="C37" i="11"/>
  <c r="H9" i="15" s="1"/>
  <c r="I37" i="11"/>
  <c r="N9" i="15" s="1"/>
  <c r="Y37" i="11"/>
  <c r="K37" i="11"/>
  <c r="AA37" i="11"/>
  <c r="O37" i="11"/>
  <c r="J37" i="11"/>
  <c r="Z37" i="11"/>
  <c r="AD37" i="11"/>
  <c r="L37" i="11"/>
  <c r="AB37" i="11"/>
  <c r="P37" i="11"/>
  <c r="Q37" i="11"/>
  <c r="R37" i="11"/>
  <c r="S37" i="11"/>
  <c r="AC37" i="11"/>
  <c r="T37" i="11"/>
  <c r="M37" i="11"/>
  <c r="E37" i="11"/>
  <c r="J9" i="15" s="1"/>
  <c r="U37" i="11"/>
  <c r="F37" i="11"/>
  <c r="K9" i="15" s="1"/>
  <c r="V37" i="11"/>
  <c r="N37" i="11"/>
  <c r="G37" i="11"/>
  <c r="L9" i="15" s="1"/>
  <c r="W37" i="11"/>
  <c r="H37" i="11"/>
  <c r="M9" i="15" s="1"/>
  <c r="X37" i="11"/>
  <c r="H27" i="10"/>
  <c r="C16" i="9"/>
  <c r="C18" i="9" s="1"/>
  <c r="E66" i="15" l="1"/>
  <c r="F56" i="15" s="1"/>
  <c r="F60" i="15" s="1"/>
  <c r="E33" i="15"/>
  <c r="E17" i="15"/>
  <c r="E18" i="15"/>
  <c r="F8" i="15" s="1"/>
  <c r="E65" i="15"/>
  <c r="E30" i="15"/>
  <c r="F32" i="15" s="1"/>
  <c r="E67" i="15"/>
  <c r="E35" i="15"/>
  <c r="E51" i="15"/>
  <c r="E49" i="15"/>
  <c r="O23" i="15"/>
  <c r="E34" i="15"/>
  <c r="F24" i="15" s="1"/>
  <c r="O57" i="15"/>
  <c r="P55" i="15"/>
  <c r="E14" i="15"/>
  <c r="F16" i="15" s="1"/>
  <c r="E50" i="15"/>
  <c r="F40" i="15" s="1"/>
  <c r="P7" i="15"/>
  <c r="O9" i="15"/>
  <c r="E46" i="15"/>
  <c r="F48" i="15" s="1"/>
  <c r="Q39" i="15"/>
  <c r="E62" i="15"/>
  <c r="F64" i="15" s="1"/>
  <c r="E13" i="11"/>
  <c r="D11" i="11"/>
  <c r="H28" i="10"/>
  <c r="F65" i="15" l="1"/>
  <c r="F12" i="15"/>
  <c r="F11" i="15"/>
  <c r="F66" i="15"/>
  <c r="G56" i="15" s="1"/>
  <c r="G60" i="15" s="1"/>
  <c r="F59" i="15"/>
  <c r="F62" i="15" s="1"/>
  <c r="G64" i="15" s="1"/>
  <c r="G67" i="15" s="1"/>
  <c r="F18" i="15"/>
  <c r="G8" i="15" s="1"/>
  <c r="F50" i="15"/>
  <c r="G40" i="15" s="1"/>
  <c r="F33" i="15"/>
  <c r="F34" i="15"/>
  <c r="G24" i="15" s="1"/>
  <c r="P23" i="15"/>
  <c r="P57" i="15"/>
  <c r="Q55" i="15"/>
  <c r="F28" i="15"/>
  <c r="F27" i="15"/>
  <c r="R39" i="15"/>
  <c r="F51" i="15"/>
  <c r="F49" i="15"/>
  <c r="Q7" i="15"/>
  <c r="P9" i="15"/>
  <c r="F35" i="15"/>
  <c r="F44" i="15"/>
  <c r="F43" i="15"/>
  <c r="F19" i="15"/>
  <c r="F67" i="15"/>
  <c r="F17" i="15"/>
  <c r="I13" i="11"/>
  <c r="H13" i="11"/>
  <c r="G13" i="11"/>
  <c r="C13" i="11"/>
  <c r="E11" i="11"/>
  <c r="F13" i="11"/>
  <c r="F11" i="11"/>
  <c r="G11" i="11"/>
  <c r="L13" i="11"/>
  <c r="K13" i="11"/>
  <c r="D13" i="11"/>
  <c r="G59" i="15" l="1"/>
  <c r="G62" i="15" s="1"/>
  <c r="H64" i="15" s="1"/>
  <c r="H67" i="15" s="1"/>
  <c r="F14" i="15"/>
  <c r="G16" i="15" s="1"/>
  <c r="G19" i="15" s="1"/>
  <c r="G11" i="15"/>
  <c r="G12" i="15"/>
  <c r="G65" i="15"/>
  <c r="G66" i="15"/>
  <c r="H56" i="15" s="1"/>
  <c r="H60" i="15" s="1"/>
  <c r="Q9" i="15"/>
  <c r="R7" i="15"/>
  <c r="G28" i="15"/>
  <c r="G27" i="15"/>
  <c r="F46" i="15"/>
  <c r="G48" i="15" s="1"/>
  <c r="F30" i="15"/>
  <c r="G32" i="15" s="1"/>
  <c r="Q57" i="15"/>
  <c r="R55" i="15"/>
  <c r="G44" i="15"/>
  <c r="G43" i="15"/>
  <c r="Q23" i="15"/>
  <c r="S39" i="15"/>
  <c r="I11" i="11"/>
  <c r="J13" i="11"/>
  <c r="S38" i="11" s="1"/>
  <c r="H11" i="11"/>
  <c r="L11" i="11"/>
  <c r="J11" i="11"/>
  <c r="K11" i="11"/>
  <c r="G17" i="15" l="1"/>
  <c r="G18" i="15"/>
  <c r="H8" i="15" s="1"/>
  <c r="H12" i="15" s="1"/>
  <c r="D36" i="11"/>
  <c r="I25" i="15" s="1"/>
  <c r="G14" i="15"/>
  <c r="H16" i="15" s="1"/>
  <c r="H19" i="15" s="1"/>
  <c r="H59" i="15"/>
  <c r="H62" i="15" s="1"/>
  <c r="I64" i="15" s="1"/>
  <c r="D76" i="15" s="1"/>
  <c r="D77" i="15" s="1"/>
  <c r="G34" i="15"/>
  <c r="H24" i="15" s="1"/>
  <c r="H28" i="15" s="1"/>
  <c r="S7" i="15"/>
  <c r="R9" i="15"/>
  <c r="G50" i="15"/>
  <c r="H40" i="15" s="1"/>
  <c r="G51" i="15"/>
  <c r="R23" i="15"/>
  <c r="G49" i="15"/>
  <c r="G46" i="15" s="1"/>
  <c r="H48" i="15" s="1"/>
  <c r="H65" i="15"/>
  <c r="S55" i="15"/>
  <c r="R57" i="15"/>
  <c r="H66" i="15"/>
  <c r="I56" i="15" s="1"/>
  <c r="G35" i="15"/>
  <c r="T39" i="15"/>
  <c r="G33" i="15"/>
  <c r="G30" i="15"/>
  <c r="H32" i="15" s="1"/>
  <c r="C36" i="11"/>
  <c r="H25" i="15" s="1"/>
  <c r="P38" i="11"/>
  <c r="O38" i="11"/>
  <c r="U38" i="11"/>
  <c r="AD38" i="11"/>
  <c r="G38" i="11"/>
  <c r="L41" i="15" s="1"/>
  <c r="F38" i="11"/>
  <c r="K41" i="15" s="1"/>
  <c r="E38" i="11"/>
  <c r="J41" i="15" s="1"/>
  <c r="T38" i="11"/>
  <c r="N38" i="11"/>
  <c r="S41" i="15" s="1"/>
  <c r="AC38" i="11"/>
  <c r="Z38" i="11"/>
  <c r="J38" i="11"/>
  <c r="O41" i="15" s="1"/>
  <c r="Y38" i="11"/>
  <c r="I38" i="11"/>
  <c r="N41" i="15" s="1"/>
  <c r="X38" i="11"/>
  <c r="H38" i="11"/>
  <c r="M41" i="15" s="1"/>
  <c r="M38" i="11"/>
  <c r="R41" i="15" s="1"/>
  <c r="D38" i="11"/>
  <c r="I41" i="15" s="1"/>
  <c r="W38" i="11"/>
  <c r="L38" i="11"/>
  <c r="Q41" i="15" s="1"/>
  <c r="AA38" i="11"/>
  <c r="M36" i="11"/>
  <c r="AC36" i="11"/>
  <c r="O36" i="11"/>
  <c r="N36" i="11"/>
  <c r="AD36" i="11"/>
  <c r="S36" i="11"/>
  <c r="P36" i="11"/>
  <c r="T36" i="11"/>
  <c r="E36" i="11"/>
  <c r="J25" i="15" s="1"/>
  <c r="U36" i="11"/>
  <c r="F36" i="11"/>
  <c r="K25" i="15" s="1"/>
  <c r="V36" i="11"/>
  <c r="G36" i="11"/>
  <c r="L25" i="15" s="1"/>
  <c r="W36" i="11"/>
  <c r="H36" i="11"/>
  <c r="M25" i="15" s="1"/>
  <c r="X36" i="11"/>
  <c r="I36" i="11"/>
  <c r="N25" i="15" s="1"/>
  <c r="Y36" i="11"/>
  <c r="J36" i="11"/>
  <c r="O25" i="15" s="1"/>
  <c r="Z36" i="11"/>
  <c r="Q36" i="11"/>
  <c r="R36" i="11"/>
  <c r="K36" i="11"/>
  <c r="P25" i="15" s="1"/>
  <c r="AA36" i="11"/>
  <c r="L36" i="11"/>
  <c r="Q25" i="15" s="1"/>
  <c r="AB36" i="11"/>
  <c r="AB38" i="11"/>
  <c r="V38" i="11"/>
  <c r="C38" i="11"/>
  <c r="H41" i="15" s="1"/>
  <c r="R38" i="11"/>
  <c r="K38" i="11"/>
  <c r="P41" i="15" s="1"/>
  <c r="Q38" i="11"/>
  <c r="H11" i="15" l="1"/>
  <c r="H14" i="15" s="1"/>
  <c r="I16" i="15" s="1"/>
  <c r="D79" i="15" s="1"/>
  <c r="D80" i="15" s="1"/>
  <c r="H18" i="15"/>
  <c r="I8" i="15" s="1"/>
  <c r="I11" i="15" s="1"/>
  <c r="H17" i="15"/>
  <c r="H33" i="15"/>
  <c r="H27" i="15"/>
  <c r="H49" i="15"/>
  <c r="H50" i="15"/>
  <c r="I40" i="15" s="1"/>
  <c r="I65" i="15"/>
  <c r="S23" i="15"/>
  <c r="R25" i="15"/>
  <c r="H44" i="15"/>
  <c r="H43" i="15"/>
  <c r="H35" i="15"/>
  <c r="H34" i="15"/>
  <c r="I24" i="15" s="1"/>
  <c r="T7" i="15"/>
  <c r="S9" i="15"/>
  <c r="I60" i="15"/>
  <c r="I59" i="15"/>
  <c r="H51" i="15"/>
  <c r="S57" i="15"/>
  <c r="T55" i="15"/>
  <c r="T41" i="15"/>
  <c r="U39" i="15"/>
  <c r="I67" i="15"/>
  <c r="I66" i="15"/>
  <c r="J56" i="15" s="1"/>
  <c r="I12" i="15" l="1"/>
  <c r="I14" i="15" s="1"/>
  <c r="I17" i="15"/>
  <c r="I18" i="15"/>
  <c r="J8" i="15" s="1"/>
  <c r="J11" i="15" s="1"/>
  <c r="I19" i="15"/>
  <c r="H30" i="15"/>
  <c r="I32" i="15" s="1"/>
  <c r="D82" i="15" s="1"/>
  <c r="D83" i="15" s="1"/>
  <c r="I28" i="15"/>
  <c r="I27" i="15"/>
  <c r="H46" i="15"/>
  <c r="I48" i="15" s="1"/>
  <c r="D73" i="15" s="1"/>
  <c r="D74" i="15" s="1"/>
  <c r="I44" i="15"/>
  <c r="I43" i="15"/>
  <c r="U41" i="15"/>
  <c r="V39" i="15"/>
  <c r="S25" i="15"/>
  <c r="T23" i="15"/>
  <c r="I62" i="15"/>
  <c r="J64" i="15" s="1"/>
  <c r="E76" i="15" s="1"/>
  <c r="E77" i="15" s="1"/>
  <c r="T9" i="15"/>
  <c r="U7" i="15"/>
  <c r="J60" i="15"/>
  <c r="J59" i="15"/>
  <c r="T57" i="15"/>
  <c r="U55" i="15"/>
  <c r="J16" i="15" l="1"/>
  <c r="E79" i="15" s="1"/>
  <c r="E80" i="15" s="1"/>
  <c r="J17" i="15"/>
  <c r="J18" i="15"/>
  <c r="K8" i="15" s="1"/>
  <c r="K11" i="15" s="1"/>
  <c r="J12" i="15"/>
  <c r="J14" i="15" s="1"/>
  <c r="K16" i="15" s="1"/>
  <c r="F79" i="15" s="1"/>
  <c r="I34" i="15"/>
  <c r="J24" i="15" s="1"/>
  <c r="I35" i="15"/>
  <c r="I33" i="15"/>
  <c r="J66" i="15"/>
  <c r="K56" i="15" s="1"/>
  <c r="K60" i="15" s="1"/>
  <c r="J28" i="15"/>
  <c r="J27" i="15"/>
  <c r="U23" i="15"/>
  <c r="T25" i="15"/>
  <c r="I49" i="15"/>
  <c r="U57" i="15"/>
  <c r="V55" i="15"/>
  <c r="I51" i="15"/>
  <c r="I46" i="15" s="1"/>
  <c r="J48" i="15" s="1"/>
  <c r="E73" i="15" s="1"/>
  <c r="E74" i="15" s="1"/>
  <c r="V7" i="15"/>
  <c r="U9" i="15"/>
  <c r="I30" i="15"/>
  <c r="J32" i="15" s="1"/>
  <c r="E82" i="15" s="1"/>
  <c r="E83" i="15" s="1"/>
  <c r="J62" i="15"/>
  <c r="K64" i="15" s="1"/>
  <c r="F76" i="15" s="1"/>
  <c r="F77" i="15" s="1"/>
  <c r="V41" i="15"/>
  <c r="W39" i="15"/>
  <c r="J67" i="15"/>
  <c r="J65" i="15"/>
  <c r="I50" i="15"/>
  <c r="J40" i="15" s="1"/>
  <c r="K12" i="15" l="1"/>
  <c r="K14" i="15" s="1"/>
  <c r="L16" i="15" s="1"/>
  <c r="F80" i="15"/>
  <c r="J19" i="15"/>
  <c r="K59" i="15"/>
  <c r="K62" i="15" s="1"/>
  <c r="L64" i="15" s="1"/>
  <c r="G76" i="15" s="1"/>
  <c r="G77" i="15" s="1"/>
  <c r="K17" i="15"/>
  <c r="J51" i="15"/>
  <c r="K66" i="15"/>
  <c r="L56" i="15" s="1"/>
  <c r="L60" i="15" s="1"/>
  <c r="K18" i="15"/>
  <c r="L8" i="15" s="1"/>
  <c r="J49" i="15"/>
  <c r="J44" i="15"/>
  <c r="J43" i="15"/>
  <c r="W55" i="15"/>
  <c r="V57" i="15"/>
  <c r="W41" i="15"/>
  <c r="X39" i="15"/>
  <c r="J35" i="15"/>
  <c r="J34" i="15"/>
  <c r="K24" i="15" s="1"/>
  <c r="V9" i="15"/>
  <c r="W7" i="15"/>
  <c r="V23" i="15"/>
  <c r="U25" i="15"/>
  <c r="K19" i="15"/>
  <c r="J30" i="15"/>
  <c r="K32" i="15" s="1"/>
  <c r="F82" i="15" s="1"/>
  <c r="F83" i="15" s="1"/>
  <c r="K67" i="15"/>
  <c r="K65" i="15"/>
  <c r="J50" i="15"/>
  <c r="K40" i="15" s="1"/>
  <c r="J33" i="15"/>
  <c r="L59" i="15" l="1"/>
  <c r="L62" i="15" s="1"/>
  <c r="M64" i="15" s="1"/>
  <c r="H76" i="15" s="1"/>
  <c r="H77" i="15" s="1"/>
  <c r="L12" i="15"/>
  <c r="L11" i="15"/>
  <c r="L19" i="15"/>
  <c r="G79" i="15"/>
  <c r="G80" i="15" s="1"/>
  <c r="K33" i="15"/>
  <c r="X7" i="15"/>
  <c r="W9" i="15"/>
  <c r="K28" i="15"/>
  <c r="K27" i="15"/>
  <c r="K35" i="15"/>
  <c r="L18" i="15"/>
  <c r="M8" i="15" s="1"/>
  <c r="L67" i="15"/>
  <c r="L65" i="15"/>
  <c r="J46" i="15"/>
  <c r="K48" i="15" s="1"/>
  <c r="F73" i="15" s="1"/>
  <c r="F74" i="15" s="1"/>
  <c r="L66" i="15"/>
  <c r="M56" i="15" s="1"/>
  <c r="K34" i="15"/>
  <c r="L24" i="15" s="1"/>
  <c r="Y39" i="15"/>
  <c r="X41" i="15"/>
  <c r="V25" i="15"/>
  <c r="W23" i="15"/>
  <c r="K44" i="15"/>
  <c r="K43" i="15"/>
  <c r="L17" i="15"/>
  <c r="X55" i="15"/>
  <c r="W57" i="15"/>
  <c r="L14" i="15" l="1"/>
  <c r="M16" i="15" s="1"/>
  <c r="H79" i="15" s="1"/>
  <c r="H80" i="15" s="1"/>
  <c r="M12" i="15"/>
  <c r="M11" i="15"/>
  <c r="M65" i="15"/>
  <c r="K30" i="15"/>
  <c r="L32" i="15" s="1"/>
  <c r="G82" i="15" s="1"/>
  <c r="G83" i="15" s="1"/>
  <c r="M67" i="15"/>
  <c r="L27" i="15"/>
  <c r="L28" i="15"/>
  <c r="M66" i="15"/>
  <c r="N56" i="15" s="1"/>
  <c r="Y55" i="15"/>
  <c r="X57" i="15"/>
  <c r="K51" i="15"/>
  <c r="K46" i="15" s="1"/>
  <c r="L48" i="15" s="1"/>
  <c r="G73" i="15" s="1"/>
  <c r="G74" i="15" s="1"/>
  <c r="K49" i="15"/>
  <c r="K50" i="15"/>
  <c r="L40" i="15" s="1"/>
  <c r="X23" i="15"/>
  <c r="W25" i="15"/>
  <c r="Z39" i="15"/>
  <c r="Y41" i="15"/>
  <c r="M59" i="15"/>
  <c r="M60" i="15"/>
  <c r="Y7" i="15"/>
  <c r="X9" i="15"/>
  <c r="M19" i="15" l="1"/>
  <c r="M18" i="15"/>
  <c r="N8" i="15" s="1"/>
  <c r="N12" i="15" s="1"/>
  <c r="M17" i="15"/>
  <c r="L33" i="15"/>
  <c r="L50" i="15"/>
  <c r="L44" i="15"/>
  <c r="L43" i="15"/>
  <c r="M40" i="15"/>
  <c r="M14" i="15"/>
  <c r="N16" i="15" s="1"/>
  <c r="L30" i="15"/>
  <c r="M32" i="15" s="1"/>
  <c r="H82" i="15" s="1"/>
  <c r="H83" i="15" s="1"/>
  <c r="L35" i="15"/>
  <c r="X25" i="15"/>
  <c r="Y23" i="15"/>
  <c r="N59" i="15"/>
  <c r="N60" i="15"/>
  <c r="L34" i="15"/>
  <c r="M24" i="15" s="1"/>
  <c r="Z7" i="15"/>
  <c r="Y9" i="15"/>
  <c r="Z55" i="15"/>
  <c r="Y57" i="15"/>
  <c r="M62" i="15"/>
  <c r="N64" i="15" s="1"/>
  <c r="I76" i="15" s="1"/>
  <c r="I77" i="15" s="1"/>
  <c r="L51" i="15"/>
  <c r="AA39" i="15"/>
  <c r="Z41" i="15"/>
  <c r="L49" i="15"/>
  <c r="N11" i="15" l="1"/>
  <c r="N14" i="15" s="1"/>
  <c r="O16" i="15" s="1"/>
  <c r="N19" i="15"/>
  <c r="I79" i="15"/>
  <c r="I80" i="15" s="1"/>
  <c r="N18" i="15"/>
  <c r="O8" i="15" s="1"/>
  <c r="N66" i="15"/>
  <c r="O56" i="15" s="1"/>
  <c r="O60" i="15" s="1"/>
  <c r="AA55" i="15"/>
  <c r="Z57" i="15"/>
  <c r="M33" i="15"/>
  <c r="N17" i="15"/>
  <c r="N62" i="15"/>
  <c r="O64" i="15" s="1"/>
  <c r="J76" i="15" s="1"/>
  <c r="J77" i="15" s="1"/>
  <c r="M35" i="15"/>
  <c r="M44" i="15"/>
  <c r="M43" i="15"/>
  <c r="L46" i="15"/>
  <c r="M48" i="15" s="1"/>
  <c r="H73" i="15" s="1"/>
  <c r="H74" i="15" s="1"/>
  <c r="AB39" i="15"/>
  <c r="AA41" i="15"/>
  <c r="Y25" i="15"/>
  <c r="Z23" i="15"/>
  <c r="M28" i="15"/>
  <c r="M27" i="15"/>
  <c r="M34" i="15"/>
  <c r="N24" i="15" s="1"/>
  <c r="AA7" i="15"/>
  <c r="Z9" i="15"/>
  <c r="N67" i="15"/>
  <c r="N65" i="15"/>
  <c r="O11" i="15" l="1"/>
  <c r="O12" i="15"/>
  <c r="O59" i="15"/>
  <c r="O62" i="15" s="1"/>
  <c r="P64" i="15" s="1"/>
  <c r="K76" i="15" s="1"/>
  <c r="K77" i="15" s="1"/>
  <c r="O19" i="15"/>
  <c r="J79" i="15"/>
  <c r="J80" i="15" s="1"/>
  <c r="M50" i="15"/>
  <c r="N40" i="15" s="1"/>
  <c r="N43" i="15" s="1"/>
  <c r="O65" i="15"/>
  <c r="O66" i="15"/>
  <c r="P56" i="15" s="1"/>
  <c r="P60" i="15" s="1"/>
  <c r="O18" i="15"/>
  <c r="P8" i="15" s="1"/>
  <c r="N28" i="15"/>
  <c r="N27" i="15"/>
  <c r="N44" i="15"/>
  <c r="AB55" i="15"/>
  <c r="AA57" i="15"/>
  <c r="AB7" i="15"/>
  <c r="AA9" i="15"/>
  <c r="O17" i="15"/>
  <c r="AC39" i="15"/>
  <c r="AB41" i="15"/>
  <c r="M49" i="15"/>
  <c r="Z25" i="15"/>
  <c r="AA23" i="15"/>
  <c r="M30" i="15"/>
  <c r="N32" i="15" s="1"/>
  <c r="I82" i="15" s="1"/>
  <c r="I83" i="15" s="1"/>
  <c r="M51" i="15"/>
  <c r="M46" i="15" s="1"/>
  <c r="N48" i="15" s="1"/>
  <c r="I73" i="15" s="1"/>
  <c r="I74" i="15" s="1"/>
  <c r="O67" i="15"/>
  <c r="O14" i="15" l="1"/>
  <c r="P16" i="15" s="1"/>
  <c r="P19" i="15" s="1"/>
  <c r="P12" i="15"/>
  <c r="P11" i="15"/>
  <c r="N34" i="15"/>
  <c r="O24" i="15" s="1"/>
  <c r="O27" i="15" s="1"/>
  <c r="P59" i="15"/>
  <c r="P62" i="15" s="1"/>
  <c r="Q64" i="15" s="1"/>
  <c r="L76" i="15" s="1"/>
  <c r="L77" i="15" s="1"/>
  <c r="P66" i="15"/>
  <c r="Q56" i="15" s="1"/>
  <c r="Q60" i="15" s="1"/>
  <c r="N50" i="15"/>
  <c r="O40" i="15" s="1"/>
  <c r="O43" i="15" s="1"/>
  <c r="Q59" i="15"/>
  <c r="AD39" i="15"/>
  <c r="AC41" i="15"/>
  <c r="AB9" i="15"/>
  <c r="AC7" i="15"/>
  <c r="P65" i="15"/>
  <c r="N30" i="15"/>
  <c r="O32" i="15" s="1"/>
  <c r="J82" i="15" s="1"/>
  <c r="J83" i="15" s="1"/>
  <c r="N33" i="15"/>
  <c r="N51" i="15"/>
  <c r="AC55" i="15"/>
  <c r="AB57" i="15"/>
  <c r="N49" i="15"/>
  <c r="N46" i="15" s="1"/>
  <c r="O48" i="15" s="1"/>
  <c r="J73" i="15" s="1"/>
  <c r="J74" i="15" s="1"/>
  <c r="N35" i="15"/>
  <c r="P67" i="15"/>
  <c r="AA25" i="15"/>
  <c r="AB23" i="15"/>
  <c r="P17" i="15" l="1"/>
  <c r="K79" i="15"/>
  <c r="K80" i="15" s="1"/>
  <c r="P18" i="15"/>
  <c r="Q8" i="15" s="1"/>
  <c r="Q11" i="15" s="1"/>
  <c r="O28" i="15"/>
  <c r="O30" i="15" s="1"/>
  <c r="P32" i="15" s="1"/>
  <c r="K82" i="15" s="1"/>
  <c r="K83" i="15" s="1"/>
  <c r="P14" i="15"/>
  <c r="Q16" i="15" s="1"/>
  <c r="L79" i="15" s="1"/>
  <c r="L80" i="15" s="1"/>
  <c r="O44" i="15"/>
  <c r="O50" i="15"/>
  <c r="P40" i="15" s="1"/>
  <c r="P43" i="15" s="1"/>
  <c r="AE39" i="15"/>
  <c r="AD41" i="15"/>
  <c r="O35" i="15"/>
  <c r="AD7" i="15"/>
  <c r="AC9" i="15"/>
  <c r="Q62" i="15"/>
  <c r="R64" i="15" s="1"/>
  <c r="M76" i="15" s="1"/>
  <c r="M77" i="15" s="1"/>
  <c r="O33" i="15"/>
  <c r="AD55" i="15"/>
  <c r="AC57" i="15"/>
  <c r="O49" i="15"/>
  <c r="O51" i="15"/>
  <c r="Q66" i="15"/>
  <c r="R56" i="15" s="1"/>
  <c r="AC23" i="15"/>
  <c r="AB25" i="15"/>
  <c r="Q67" i="15"/>
  <c r="Q65" i="15"/>
  <c r="O34" i="15"/>
  <c r="P24" i="15" s="1"/>
  <c r="Q12" i="15" l="1"/>
  <c r="Q14" i="15" s="1"/>
  <c r="R16" i="15" s="1"/>
  <c r="Q17" i="15"/>
  <c r="Q19" i="15"/>
  <c r="Q18" i="15"/>
  <c r="R8" i="15" s="1"/>
  <c r="R11" i="15" s="1"/>
  <c r="P44" i="15"/>
  <c r="O46" i="15"/>
  <c r="P48" i="15" s="1"/>
  <c r="K73" i="15" s="1"/>
  <c r="K74" i="15" s="1"/>
  <c r="R66" i="15"/>
  <c r="S56" i="15" s="1"/>
  <c r="P33" i="15"/>
  <c r="P34" i="15"/>
  <c r="Q24" i="15" s="1"/>
  <c r="P49" i="15"/>
  <c r="P28" i="15"/>
  <c r="P27" i="15"/>
  <c r="AE55" i="15"/>
  <c r="AD57" i="15"/>
  <c r="R59" i="15"/>
  <c r="R60" i="15"/>
  <c r="R67" i="15"/>
  <c r="R65" i="15"/>
  <c r="AE7" i="15"/>
  <c r="AD9" i="15"/>
  <c r="AD23" i="15"/>
  <c r="AC25" i="15"/>
  <c r="P35" i="15"/>
  <c r="AF39" i="15"/>
  <c r="AE41" i="15"/>
  <c r="P50" i="15" l="1"/>
  <c r="Q40" i="15" s="1"/>
  <c r="Q44" i="15" s="1"/>
  <c r="R12" i="15"/>
  <c r="R14" i="15" s="1"/>
  <c r="S16" i="15" s="1"/>
  <c r="P51" i="15"/>
  <c r="P46" i="15"/>
  <c r="Q48" i="15" s="1"/>
  <c r="L73" i="15" s="1"/>
  <c r="L74" i="15" s="1"/>
  <c r="R18" i="15"/>
  <c r="S8" i="15" s="1"/>
  <c r="S11" i="15" s="1"/>
  <c r="R19" i="15"/>
  <c r="M79" i="15"/>
  <c r="M80" i="15" s="1"/>
  <c r="R62" i="15"/>
  <c r="S64" i="15" s="1"/>
  <c r="N76" i="15" s="1"/>
  <c r="N77" i="15" s="1"/>
  <c r="AE57" i="15"/>
  <c r="AF55" i="15"/>
  <c r="AD25" i="15"/>
  <c r="AE23" i="15"/>
  <c r="P30" i="15"/>
  <c r="Q32" i="15" s="1"/>
  <c r="L82" i="15" s="1"/>
  <c r="L83" i="15" s="1"/>
  <c r="R17" i="15"/>
  <c r="AE9" i="15"/>
  <c r="AF7" i="15"/>
  <c r="Q27" i="15"/>
  <c r="Q28" i="15"/>
  <c r="AG39" i="15"/>
  <c r="AF41" i="15"/>
  <c r="Q50" i="15"/>
  <c r="S59" i="15"/>
  <c r="S60" i="15"/>
  <c r="R40" i="15" l="1"/>
  <c r="R43" i="15" s="1"/>
  <c r="Q43" i="15"/>
  <c r="Q51" i="15"/>
  <c r="Q49" i="15"/>
  <c r="S12" i="15"/>
  <c r="S14" i="15" s="1"/>
  <c r="T16" i="15" s="1"/>
  <c r="S19" i="15"/>
  <c r="N79" i="15"/>
  <c r="N80" i="15" s="1"/>
  <c r="Q35" i="15"/>
  <c r="Q33" i="15"/>
  <c r="S17" i="15"/>
  <c r="S62" i="15"/>
  <c r="T64" i="15" s="1"/>
  <c r="O76" i="15" s="1"/>
  <c r="O77" i="15" s="1"/>
  <c r="AF9" i="15"/>
  <c r="AG7" i="15"/>
  <c r="Q30" i="15"/>
  <c r="R32" i="15" s="1"/>
  <c r="M82" i="15" s="1"/>
  <c r="M83" i="15" s="1"/>
  <c r="S65" i="15"/>
  <c r="Q46" i="15"/>
  <c r="R48" i="15" s="1"/>
  <c r="M73" i="15" s="1"/>
  <c r="M74" i="15" s="1"/>
  <c r="S66" i="15"/>
  <c r="T56" i="15" s="1"/>
  <c r="S18" i="15"/>
  <c r="T8" i="15" s="1"/>
  <c r="AF23" i="15"/>
  <c r="AE25" i="15"/>
  <c r="AG41" i="15"/>
  <c r="AH39" i="15"/>
  <c r="Q34" i="15"/>
  <c r="R24" i="15" s="1"/>
  <c r="AF57" i="15"/>
  <c r="AG55" i="15"/>
  <c r="S67" i="15"/>
  <c r="R44" i="15" l="1"/>
  <c r="T11" i="15"/>
  <c r="T12" i="15"/>
  <c r="T19" i="15"/>
  <c r="O79" i="15"/>
  <c r="O80" i="15" s="1"/>
  <c r="R49" i="15"/>
  <c r="R50" i="15"/>
  <c r="S40" i="15" s="1"/>
  <c r="S44" i="15" s="1"/>
  <c r="R33" i="15"/>
  <c r="R34" i="15"/>
  <c r="S24" i="15" s="1"/>
  <c r="T66" i="15"/>
  <c r="U56" i="15" s="1"/>
  <c r="T67" i="15"/>
  <c r="AG57" i="15"/>
  <c r="AH55" i="15"/>
  <c r="AH7" i="15"/>
  <c r="AG9" i="15"/>
  <c r="R27" i="15"/>
  <c r="R28" i="15"/>
  <c r="AI39" i="15"/>
  <c r="AI41" i="15" s="1"/>
  <c r="AH41" i="15"/>
  <c r="T65" i="15"/>
  <c r="AG23" i="15"/>
  <c r="AF25" i="15"/>
  <c r="T17" i="15"/>
  <c r="R35" i="15"/>
  <c r="T59" i="15"/>
  <c r="T60" i="15"/>
  <c r="R51" i="15"/>
  <c r="T18" i="15"/>
  <c r="U8" i="15" s="1"/>
  <c r="R46" i="15" l="1"/>
  <c r="S48" i="15" s="1"/>
  <c r="N73" i="15" s="1"/>
  <c r="N74" i="15" s="1"/>
  <c r="S43" i="15"/>
  <c r="U11" i="15"/>
  <c r="U12" i="15"/>
  <c r="AH9" i="15"/>
  <c r="AI7" i="15"/>
  <c r="AI9" i="15" s="1"/>
  <c r="AI55" i="15"/>
  <c r="AI57" i="15" s="1"/>
  <c r="AH57" i="15"/>
  <c r="T14" i="15"/>
  <c r="U16" i="15" s="1"/>
  <c r="S27" i="15"/>
  <c r="S28" i="15"/>
  <c r="R30" i="15"/>
  <c r="S32" i="15" s="1"/>
  <c r="N82" i="15" s="1"/>
  <c r="N83" i="15" s="1"/>
  <c r="AH23" i="15"/>
  <c r="AG25" i="15"/>
  <c r="T62" i="15"/>
  <c r="U64" i="15" s="1"/>
  <c r="P76" i="15" s="1"/>
  <c r="P77" i="15" s="1"/>
  <c r="U60" i="15"/>
  <c r="U59" i="15"/>
  <c r="S50" i="15" l="1"/>
  <c r="T40" i="15" s="1"/>
  <c r="T44" i="15" s="1"/>
  <c r="S51" i="15"/>
  <c r="S49" i="15"/>
  <c r="S46" i="15"/>
  <c r="T48" i="15" s="1"/>
  <c r="O73" i="15" s="1"/>
  <c r="O74" i="15" s="1"/>
  <c r="U19" i="15"/>
  <c r="P79" i="15"/>
  <c r="P80" i="15" s="1"/>
  <c r="S34" i="15"/>
  <c r="T24" i="15" s="1"/>
  <c r="T27" i="15" s="1"/>
  <c r="U17" i="15"/>
  <c r="U67" i="15"/>
  <c r="AI23" i="15"/>
  <c r="AI25" i="15" s="1"/>
  <c r="AH25" i="15"/>
  <c r="U66" i="15"/>
  <c r="V56" i="15" s="1"/>
  <c r="S30" i="15"/>
  <c r="T32" i="15" s="1"/>
  <c r="O82" i="15" s="1"/>
  <c r="O83" i="15" s="1"/>
  <c r="U18" i="15"/>
  <c r="V8" i="15" s="1"/>
  <c r="U14" i="15"/>
  <c r="V16" i="15" s="1"/>
  <c r="U65" i="15"/>
  <c r="S35" i="15"/>
  <c r="U62" i="15"/>
  <c r="V64" i="15" s="1"/>
  <c r="Q76" i="15" s="1"/>
  <c r="Q77" i="15" s="1"/>
  <c r="S33" i="15"/>
  <c r="T43" i="15" l="1"/>
  <c r="T49" i="15"/>
  <c r="T50" i="15"/>
  <c r="U40" i="15" s="1"/>
  <c r="T51" i="15"/>
  <c r="V11" i="15"/>
  <c r="V12" i="15"/>
  <c r="V19" i="15"/>
  <c r="Q79" i="15"/>
  <c r="Q80" i="15" s="1"/>
  <c r="V18" i="15"/>
  <c r="W8" i="15" s="1"/>
  <c r="T33" i="15"/>
  <c r="T28" i="15"/>
  <c r="T30" i="15" s="1"/>
  <c r="U32" i="15" s="1"/>
  <c r="P82" i="15" s="1"/>
  <c r="P83" i="15" s="1"/>
  <c r="V65" i="15"/>
  <c r="T34" i="15"/>
  <c r="U24" i="15" s="1"/>
  <c r="U28" i="15" s="1"/>
  <c r="V67" i="15"/>
  <c r="U44" i="15"/>
  <c r="U43" i="15"/>
  <c r="T46" i="15"/>
  <c r="U48" i="15" s="1"/>
  <c r="P73" i="15" s="1"/>
  <c r="P74" i="15" s="1"/>
  <c r="V17" i="15"/>
  <c r="V60" i="15"/>
  <c r="V59" i="15"/>
  <c r="V66" i="15"/>
  <c r="W56" i="15" s="1"/>
  <c r="T35" i="15"/>
  <c r="W12" i="15" l="1"/>
  <c r="W11" i="15"/>
  <c r="U27" i="15"/>
  <c r="U30" i="15" s="1"/>
  <c r="V32" i="15" s="1"/>
  <c r="Q82" i="15" s="1"/>
  <c r="Q83" i="15" s="1"/>
  <c r="U49" i="15"/>
  <c r="U34" i="15"/>
  <c r="V24" i="15" s="1"/>
  <c r="V27" i="15" s="1"/>
  <c r="U33" i="15"/>
  <c r="U50" i="15"/>
  <c r="V40" i="15" s="1"/>
  <c r="V44" i="15" s="1"/>
  <c r="V28" i="15"/>
  <c r="W60" i="15"/>
  <c r="W59" i="15"/>
  <c r="U51" i="15"/>
  <c r="V14" i="15"/>
  <c r="W16" i="15" s="1"/>
  <c r="U35" i="15"/>
  <c r="U46" i="15"/>
  <c r="V48" i="15" s="1"/>
  <c r="Q73" i="15" s="1"/>
  <c r="Q74" i="15" s="1"/>
  <c r="V62" i="15"/>
  <c r="W64" i="15" s="1"/>
  <c r="R76" i="15" s="1"/>
  <c r="R77" i="15" s="1"/>
  <c r="V43" i="15" l="1"/>
  <c r="V46" i="15" s="1"/>
  <c r="W48" i="15" s="1"/>
  <c r="R73" i="15" s="1"/>
  <c r="R74" i="15" s="1"/>
  <c r="W19" i="15"/>
  <c r="R79" i="15"/>
  <c r="R80" i="15" s="1"/>
  <c r="V49" i="15"/>
  <c r="V34" i="15"/>
  <c r="W24" i="15" s="1"/>
  <c r="W27" i="15" s="1"/>
  <c r="W65" i="15"/>
  <c r="W62" i="15"/>
  <c r="X64" i="15" s="1"/>
  <c r="S76" i="15" s="1"/>
  <c r="S77" i="15" s="1"/>
  <c r="W66" i="15"/>
  <c r="X56" i="15" s="1"/>
  <c r="W67" i="15"/>
  <c r="V51" i="15"/>
  <c r="W17" i="15"/>
  <c r="V50" i="15"/>
  <c r="W40" i="15" s="1"/>
  <c r="V35" i="15"/>
  <c r="V30" i="15"/>
  <c r="W32" i="15" s="1"/>
  <c r="R82" i="15" s="1"/>
  <c r="R83" i="15" s="1"/>
  <c r="V33" i="15"/>
  <c r="W18" i="15"/>
  <c r="X8" i="15" s="1"/>
  <c r="W14" i="15"/>
  <c r="X16" i="15" s="1"/>
  <c r="X66" i="15" l="1"/>
  <c r="X11" i="15"/>
  <c r="X12" i="15"/>
  <c r="W28" i="15"/>
  <c r="W30" i="15" s="1"/>
  <c r="X32" i="15" s="1"/>
  <c r="S82" i="15" s="1"/>
  <c r="S83" i="15" s="1"/>
  <c r="X19" i="15"/>
  <c r="S79" i="15"/>
  <c r="S80" i="15" s="1"/>
  <c r="W50" i="15"/>
  <c r="X40" i="15" s="1"/>
  <c r="X17" i="15"/>
  <c r="X60" i="15"/>
  <c r="X59" i="15"/>
  <c r="Y56" i="15"/>
  <c r="W33" i="15"/>
  <c r="X67" i="15"/>
  <c r="W35" i="15"/>
  <c r="W51" i="15"/>
  <c r="X65" i="15"/>
  <c r="W34" i="15"/>
  <c r="X24" i="15" s="1"/>
  <c r="X18" i="15"/>
  <c r="Y8" i="15" s="1"/>
  <c r="W49" i="15"/>
  <c r="W44" i="15"/>
  <c r="W43" i="15"/>
  <c r="X33" i="15" l="1"/>
  <c r="Y11" i="15"/>
  <c r="Y12" i="15"/>
  <c r="X14" i="15"/>
  <c r="Y16" i="15" s="1"/>
  <c r="X44" i="15"/>
  <c r="X43" i="15"/>
  <c r="W46" i="15"/>
  <c r="X48" i="15" s="1"/>
  <c r="S73" i="15" s="1"/>
  <c r="S74" i="15" s="1"/>
  <c r="Y60" i="15"/>
  <c r="Y59" i="15"/>
  <c r="X35" i="15"/>
  <c r="X34" i="15"/>
  <c r="Y24" i="15" s="1"/>
  <c r="X27" i="15"/>
  <c r="X28" i="15"/>
  <c r="X62" i="15"/>
  <c r="Y64" i="15" s="1"/>
  <c r="T76" i="15" s="1"/>
  <c r="T77" i="15" s="1"/>
  <c r="Y19" i="15" l="1"/>
  <c r="T79" i="15"/>
  <c r="T80" i="15" s="1"/>
  <c r="Y18" i="15"/>
  <c r="Z8" i="15" s="1"/>
  <c r="X49" i="15"/>
  <c r="Y27" i="15"/>
  <c r="Y28" i="15"/>
  <c r="Y62" i="15"/>
  <c r="Z64" i="15" s="1"/>
  <c r="U76" i="15" s="1"/>
  <c r="U77" i="15" s="1"/>
  <c r="X30" i="15"/>
  <c r="Y32" i="15" s="1"/>
  <c r="T82" i="15" s="1"/>
  <c r="T83" i="15" s="1"/>
  <c r="Y67" i="15"/>
  <c r="Y65" i="15"/>
  <c r="X51" i="15"/>
  <c r="X50" i="15"/>
  <c r="Y40" i="15" s="1"/>
  <c r="Y14" i="15"/>
  <c r="Z16" i="15" s="1"/>
  <c r="Y66" i="15"/>
  <c r="Z56" i="15" s="1"/>
  <c r="Y17" i="15"/>
  <c r="X46" i="15" l="1"/>
  <c r="Y48" i="15" s="1"/>
  <c r="T73" i="15" s="1"/>
  <c r="T74" i="15" s="1"/>
  <c r="Z11" i="15"/>
  <c r="Z12" i="15"/>
  <c r="Z14" i="15" s="1"/>
  <c r="AA16" i="15" s="1"/>
  <c r="Z19" i="15"/>
  <c r="U79" i="15"/>
  <c r="U80" i="15" s="1"/>
  <c r="Z18" i="15"/>
  <c r="AA8" i="15" s="1"/>
  <c r="Y35" i="15"/>
  <c r="Z66" i="15"/>
  <c r="AA56" i="15" s="1"/>
  <c r="Z60" i="15"/>
  <c r="Z59" i="15"/>
  <c r="Y33" i="15"/>
  <c r="Y44" i="15"/>
  <c r="Y43" i="15"/>
  <c r="Y34" i="15"/>
  <c r="Z24" i="15" s="1"/>
  <c r="Z67" i="15"/>
  <c r="Z17" i="15"/>
  <c r="Z65" i="15"/>
  <c r="Y30" i="15"/>
  <c r="Z32" i="15" s="1"/>
  <c r="U82" i="15" s="1"/>
  <c r="U83" i="15" s="1"/>
  <c r="Y51" i="15" l="1"/>
  <c r="Y49" i="15"/>
  <c r="Y50" i="15"/>
  <c r="Z40" i="15" s="1"/>
  <c r="Z43" i="15" s="1"/>
  <c r="AA12" i="15"/>
  <c r="AA11" i="15"/>
  <c r="AA19" i="15"/>
  <c r="V79" i="15"/>
  <c r="V80" i="15" s="1"/>
  <c r="AA18" i="15"/>
  <c r="AB8" i="15" s="1"/>
  <c r="Z34" i="15"/>
  <c r="AA24" i="15" s="1"/>
  <c r="AA17" i="15"/>
  <c r="Z33" i="15"/>
  <c r="AA60" i="15"/>
  <c r="AA59" i="15"/>
  <c r="Z35" i="15"/>
  <c r="Z44" i="15"/>
  <c r="Z62" i="15"/>
  <c r="AA64" i="15" s="1"/>
  <c r="V76" i="15" s="1"/>
  <c r="V77" i="15" s="1"/>
  <c r="Z28" i="15"/>
  <c r="Z27" i="15"/>
  <c r="Y46" i="15"/>
  <c r="Z48" i="15" s="1"/>
  <c r="U73" i="15" s="1"/>
  <c r="U74" i="15" s="1"/>
  <c r="AA14" i="15" l="1"/>
  <c r="AB16" i="15" s="1"/>
  <c r="AB19" i="15" s="1"/>
  <c r="AB12" i="15"/>
  <c r="AB11" i="15"/>
  <c r="Z50" i="15"/>
  <c r="AA40" i="15" s="1"/>
  <c r="AA44" i="15" s="1"/>
  <c r="Z49" i="15"/>
  <c r="AA66" i="15"/>
  <c r="AB56" i="15" s="1"/>
  <c r="AB60" i="15" s="1"/>
  <c r="AA62" i="15"/>
  <c r="AB64" i="15" s="1"/>
  <c r="W76" i="15" s="1"/>
  <c r="W77" i="15" s="1"/>
  <c r="AB17" i="15"/>
  <c r="Z30" i="15"/>
  <c r="AA32" i="15" s="1"/>
  <c r="V82" i="15" s="1"/>
  <c r="V83" i="15" s="1"/>
  <c r="AA67" i="15"/>
  <c r="Z46" i="15"/>
  <c r="AA48" i="15" s="1"/>
  <c r="V73" i="15" s="1"/>
  <c r="V74" i="15" s="1"/>
  <c r="AA28" i="15"/>
  <c r="AA27" i="15"/>
  <c r="AA65" i="15"/>
  <c r="Z51" i="15"/>
  <c r="W79" i="15" l="1"/>
  <c r="W80" i="15" s="1"/>
  <c r="AB18" i="15"/>
  <c r="AC8" i="15" s="1"/>
  <c r="AC12" i="15" s="1"/>
  <c r="AA43" i="15"/>
  <c r="AB14" i="15"/>
  <c r="AC16" i="15" s="1"/>
  <c r="AC19" i="15" s="1"/>
  <c r="AB66" i="15"/>
  <c r="AC56" i="15" s="1"/>
  <c r="AC60" i="15" s="1"/>
  <c r="AA33" i="15"/>
  <c r="AA49" i="15"/>
  <c r="AA50" i="15"/>
  <c r="AB40" i="15" s="1"/>
  <c r="AB43" i="15" s="1"/>
  <c r="AB59" i="15"/>
  <c r="AB62" i="15" s="1"/>
  <c r="AC64" i="15" s="1"/>
  <c r="X76" i="15" s="1"/>
  <c r="X77" i="15" s="1"/>
  <c r="AC18" i="15"/>
  <c r="AD8" i="15" s="1"/>
  <c r="AA34" i="15"/>
  <c r="AB24" i="15" s="1"/>
  <c r="AB27" i="15" s="1"/>
  <c r="AB67" i="15"/>
  <c r="AA35" i="15"/>
  <c r="AB65" i="15"/>
  <c r="AA30" i="15"/>
  <c r="AB32" i="15" s="1"/>
  <c r="W82" i="15" s="1"/>
  <c r="W83" i="15" s="1"/>
  <c r="AA51" i="15"/>
  <c r="X79" i="15" l="1"/>
  <c r="X80" i="15" s="1"/>
  <c r="AC17" i="15"/>
  <c r="AC11" i="15"/>
  <c r="AC14" i="15" s="1"/>
  <c r="AD16" i="15" s="1"/>
  <c r="AA46" i="15"/>
  <c r="AB48" i="15" s="1"/>
  <c r="W73" i="15" s="1"/>
  <c r="W74" i="15" s="1"/>
  <c r="AC59" i="15"/>
  <c r="AC62" i="15" s="1"/>
  <c r="AD64" i="15" s="1"/>
  <c r="Y76" i="15" s="1"/>
  <c r="Y77" i="15" s="1"/>
  <c r="AB44" i="15"/>
  <c r="AB46" i="15" s="1"/>
  <c r="AC48" i="15" s="1"/>
  <c r="X73" i="15" s="1"/>
  <c r="AD11" i="15"/>
  <c r="AD12" i="15"/>
  <c r="AB28" i="15"/>
  <c r="AB30" i="15" s="1"/>
  <c r="AC32" i="15" s="1"/>
  <c r="X82" i="15" s="1"/>
  <c r="X83" i="15" s="1"/>
  <c r="AB34" i="15"/>
  <c r="AC24" i="15" s="1"/>
  <c r="AC28" i="15" s="1"/>
  <c r="AC65" i="15"/>
  <c r="AC67" i="15"/>
  <c r="AC66" i="15"/>
  <c r="AD56" i="15" s="1"/>
  <c r="AB35" i="15"/>
  <c r="AB33" i="15"/>
  <c r="AB49" i="15" l="1"/>
  <c r="AB51" i="15"/>
  <c r="AC27" i="15"/>
  <c r="AC30" i="15" s="1"/>
  <c r="AD32" i="15" s="1"/>
  <c r="Y82" i="15" s="1"/>
  <c r="Y83" i="15" s="1"/>
  <c r="X74" i="15"/>
  <c r="AB50" i="15"/>
  <c r="AC40" i="15" s="1"/>
  <c r="AC44" i="15" s="1"/>
  <c r="AC50" i="15"/>
  <c r="AD19" i="15"/>
  <c r="Y79" i="15"/>
  <c r="Y80" i="15" s="1"/>
  <c r="AD18" i="15"/>
  <c r="AE8" i="15" s="1"/>
  <c r="AD66" i="15"/>
  <c r="AE56" i="15" s="1"/>
  <c r="AC49" i="15"/>
  <c r="AC33" i="15"/>
  <c r="AC34" i="15"/>
  <c r="AD24" i="15" s="1"/>
  <c r="AD67" i="15"/>
  <c r="AC35" i="15"/>
  <c r="AD14" i="15"/>
  <c r="AE16" i="15" s="1"/>
  <c r="AD17" i="15"/>
  <c r="AD65" i="15"/>
  <c r="AD60" i="15"/>
  <c r="AD59" i="15"/>
  <c r="AC51" i="15"/>
  <c r="AD40" i="15" l="1"/>
  <c r="AC43" i="15"/>
  <c r="AC46" i="15" s="1"/>
  <c r="AD48" i="15" s="1"/>
  <c r="Y73" i="15" s="1"/>
  <c r="Y74" i="15" s="1"/>
  <c r="AE11" i="15"/>
  <c r="AE12" i="15"/>
  <c r="AE19" i="15"/>
  <c r="Z79" i="15"/>
  <c r="Z80" i="15" s="1"/>
  <c r="AD34" i="15"/>
  <c r="AE24" i="15" s="1"/>
  <c r="AD33" i="15"/>
  <c r="AD44" i="15"/>
  <c r="AD43" i="15"/>
  <c r="AE17" i="15"/>
  <c r="AD62" i="15"/>
  <c r="AE64" i="15" s="1"/>
  <c r="Z76" i="15" s="1"/>
  <c r="Z77" i="15" s="1"/>
  <c r="AD28" i="15"/>
  <c r="AD27" i="15"/>
  <c r="AE59" i="15"/>
  <c r="AE60" i="15"/>
  <c r="AE18" i="15"/>
  <c r="AF8" i="15" s="1"/>
  <c r="AD35" i="15"/>
  <c r="AE66" i="15" l="1"/>
  <c r="AF56" i="15" s="1"/>
  <c r="AF59" i="15" s="1"/>
  <c r="AE14" i="15"/>
  <c r="AF16" i="15" s="1"/>
  <c r="AF19" i="15" s="1"/>
  <c r="AF11" i="15"/>
  <c r="AF12" i="15"/>
  <c r="AE65" i="15"/>
  <c r="AD49" i="15"/>
  <c r="AD46" i="15" s="1"/>
  <c r="AE48" i="15" s="1"/>
  <c r="Z73" i="15" s="1"/>
  <c r="Z74" i="15" s="1"/>
  <c r="AE28" i="15"/>
  <c r="AE27" i="15"/>
  <c r="AD51" i="15"/>
  <c r="AD30" i="15"/>
  <c r="AE32" i="15" s="1"/>
  <c r="Z82" i="15" s="1"/>
  <c r="Z83" i="15" s="1"/>
  <c r="AE67" i="15"/>
  <c r="AD50" i="15"/>
  <c r="AE40" i="15" s="1"/>
  <c r="AE62" i="15"/>
  <c r="AF64" i="15" s="1"/>
  <c r="AA76" i="15" s="1"/>
  <c r="AA77" i="15" s="1"/>
  <c r="AA79" i="15" l="1"/>
  <c r="AA80" i="15" s="1"/>
  <c r="AF18" i="15"/>
  <c r="AG8" i="15" s="1"/>
  <c r="AG12" i="15" s="1"/>
  <c r="AF17" i="15"/>
  <c r="AF60" i="15"/>
  <c r="AF62" i="15" s="1"/>
  <c r="AG64" i="15" s="1"/>
  <c r="AB76" i="15" s="1"/>
  <c r="AB77" i="15" s="1"/>
  <c r="AE34" i="15"/>
  <c r="AF24" i="15" s="1"/>
  <c r="AF28" i="15" s="1"/>
  <c r="AE35" i="15"/>
  <c r="AE43" i="15"/>
  <c r="AE44" i="15"/>
  <c r="AE33" i="15"/>
  <c r="AF65" i="15"/>
  <c r="AE30" i="15"/>
  <c r="AF32" i="15" s="1"/>
  <c r="AA82" i="15" s="1"/>
  <c r="AA83" i="15" s="1"/>
  <c r="AE51" i="15"/>
  <c r="AE49" i="15"/>
  <c r="AF67" i="15"/>
  <c r="AF66" i="15"/>
  <c r="AG56" i="15" s="1"/>
  <c r="AF14" i="15"/>
  <c r="AG16" i="15" s="1"/>
  <c r="AE50" i="15"/>
  <c r="AF40" i="15" s="1"/>
  <c r="AG11" i="15" l="1"/>
  <c r="AG14" i="15" s="1"/>
  <c r="AH16" i="15" s="1"/>
  <c r="AF27" i="15"/>
  <c r="AF30" i="15" s="1"/>
  <c r="AG32" i="15" s="1"/>
  <c r="AB82" i="15" s="1"/>
  <c r="AB83" i="15" s="1"/>
  <c r="AG19" i="15"/>
  <c r="AB79" i="15"/>
  <c r="AB80" i="15" s="1"/>
  <c r="AG17" i="15"/>
  <c r="AG66" i="15"/>
  <c r="AH56" i="15" s="1"/>
  <c r="AF35" i="15"/>
  <c r="AF43" i="15"/>
  <c r="AF44" i="15"/>
  <c r="AF33" i="15"/>
  <c r="AG60" i="15"/>
  <c r="AG59" i="15"/>
  <c r="AE46" i="15"/>
  <c r="AF48" i="15" s="1"/>
  <c r="AA73" i="15" s="1"/>
  <c r="AA74" i="15" s="1"/>
  <c r="AG67" i="15"/>
  <c r="AG18" i="15"/>
  <c r="AH8" i="15" s="1"/>
  <c r="AG65" i="15"/>
  <c r="AF34" i="15"/>
  <c r="AG24" i="15" s="1"/>
  <c r="AH11" i="15" l="1"/>
  <c r="AH12" i="15"/>
  <c r="AH19" i="15"/>
  <c r="AC79" i="15"/>
  <c r="AC80" i="15" s="1"/>
  <c r="AG34" i="15"/>
  <c r="AH17" i="15"/>
  <c r="AH59" i="15"/>
  <c r="AH60" i="15"/>
  <c r="AF50" i="15"/>
  <c r="AG40" i="15" s="1"/>
  <c r="AG27" i="15"/>
  <c r="AH24" i="15"/>
  <c r="AG28" i="15"/>
  <c r="AG35" i="15"/>
  <c r="AG33" i="15"/>
  <c r="AG62" i="15"/>
  <c r="AH64" i="15" s="1"/>
  <c r="AC76" i="15" s="1"/>
  <c r="AC77" i="15" s="1"/>
  <c r="AF51" i="15"/>
  <c r="AF49" i="15"/>
  <c r="AH18" i="15"/>
  <c r="AI8" i="15" s="1"/>
  <c r="AF46" i="15" l="1"/>
  <c r="AG48" i="15" s="1"/>
  <c r="AB73" i="15" s="1"/>
  <c r="AB74" i="15" s="1"/>
  <c r="AI11" i="15"/>
  <c r="AI12" i="15"/>
  <c r="AG30" i="15"/>
  <c r="AH32" i="15" s="1"/>
  <c r="AC82" i="15" s="1"/>
  <c r="AC83" i="15" s="1"/>
  <c r="AH14" i="15"/>
  <c r="AI16" i="15" s="1"/>
  <c r="AG43" i="15"/>
  <c r="AG44" i="15"/>
  <c r="AH62" i="15"/>
  <c r="AI64" i="15" s="1"/>
  <c r="AD76" i="15" s="1"/>
  <c r="AD77" i="15" s="1"/>
  <c r="AH67" i="15"/>
  <c r="AH65" i="15"/>
  <c r="AH28" i="15"/>
  <c r="AH27" i="15"/>
  <c r="AH66" i="15"/>
  <c r="AI56" i="15" s="1"/>
  <c r="AG51" i="15" l="1"/>
  <c r="AG50" i="15"/>
  <c r="AH40" i="15" s="1"/>
  <c r="AH44" i="15" s="1"/>
  <c r="AG49" i="15"/>
  <c r="AI19" i="15"/>
  <c r="AD79" i="15"/>
  <c r="AD80" i="15" s="1"/>
  <c r="AI14" i="15"/>
  <c r="AI18" i="15"/>
  <c r="AI66" i="15"/>
  <c r="AH34" i="15"/>
  <c r="AI24" i="15" s="1"/>
  <c r="AI28" i="15" s="1"/>
  <c r="AG46" i="15"/>
  <c r="AH48" i="15" s="1"/>
  <c r="AC73" i="15" s="1"/>
  <c r="AC74" i="15" s="1"/>
  <c r="AH30" i="15"/>
  <c r="AI32" i="15" s="1"/>
  <c r="AD82" i="15" s="1"/>
  <c r="AD83" i="15" s="1"/>
  <c r="AI60" i="15"/>
  <c r="AI59" i="15"/>
  <c r="AH43" i="15"/>
  <c r="AI17" i="15"/>
  <c r="AH35" i="15"/>
  <c r="AH33" i="15"/>
  <c r="AI67" i="15"/>
  <c r="AI65" i="15"/>
  <c r="AH50" i="15" l="1"/>
  <c r="AI40" i="15" s="1"/>
  <c r="AI44" i="15" s="1"/>
  <c r="AI27" i="15"/>
  <c r="AI30" i="15" s="1"/>
  <c r="AI62" i="15"/>
  <c r="AH49" i="15"/>
  <c r="AI35" i="15"/>
  <c r="AI34" i="15"/>
  <c r="AI33" i="15"/>
  <c r="AH51" i="15"/>
  <c r="AH46" i="15" s="1"/>
  <c r="AI48" i="15" s="1"/>
  <c r="AD73" i="15" s="1"/>
  <c r="AD74" i="15" s="1"/>
  <c r="AI43" i="15" l="1"/>
  <c r="AI50" i="15"/>
  <c r="AI49" i="15"/>
  <c r="AI51" i="15"/>
  <c r="AI46" i="15" s="1"/>
</calcChain>
</file>

<file path=xl/sharedStrings.xml><?xml version="1.0" encoding="utf-8"?>
<sst xmlns="http://schemas.openxmlformats.org/spreadsheetml/2006/main" count="967" uniqueCount="388">
  <si>
    <t>Author</t>
  </si>
  <si>
    <t>Kin Somera</t>
  </si>
  <si>
    <t>Spreadsheet Guidance</t>
  </si>
  <si>
    <t>Client</t>
  </si>
  <si>
    <t>Climate Change Commission</t>
  </si>
  <si>
    <t>Information from previous work</t>
  </si>
  <si>
    <t>Job Number</t>
  </si>
  <si>
    <t>J24-016N</t>
  </si>
  <si>
    <t>Information from online source</t>
  </si>
  <si>
    <t>Job Description</t>
  </si>
  <si>
    <t>NZ Process Heat Decarbonisation</t>
  </si>
  <si>
    <t>Variables</t>
  </si>
  <si>
    <t>Live calculation spreadsheet</t>
  </si>
  <si>
    <t>Grey cells can be changed by user</t>
  </si>
  <si>
    <t>Tab #</t>
  </si>
  <si>
    <t>Tab Name</t>
  </si>
  <si>
    <t>Brief Description</t>
  </si>
  <si>
    <t>Detail</t>
  </si>
  <si>
    <t>Guide</t>
  </si>
  <si>
    <t>Outlines how the spreadsheet functions and how to use it</t>
  </si>
  <si>
    <t>-</t>
  </si>
  <si>
    <t>Capital and Equipment Summary</t>
  </si>
  <si>
    <t>Summary tables of information from Section A analysis</t>
  </si>
  <si>
    <t>Contains information on capital equipment requirement based on section A and previous RETA work</t>
  </si>
  <si>
    <t>Personnel Requirement</t>
  </si>
  <si>
    <t>Summary table of personnel requirement for decarbonisation of process heat</t>
  </si>
  <si>
    <t>This contains the output of section A outlining a high level estimate of number of people, by profession type, required for the decarbonisation of process heat effort</t>
  </si>
  <si>
    <t>People Stats</t>
  </si>
  <si>
    <t>Population statistics from online sources</t>
  </si>
  <si>
    <t>This contains information from the 2018 census, stats NZ, and education NZ pertaining to the population and available skilled personnel in NZ</t>
  </si>
  <si>
    <t>EDB AMP</t>
  </si>
  <si>
    <t>Information regarding capital allocations of EDBs</t>
  </si>
  <si>
    <t>This contains a section of the asset management plans submitted by the EDBs to the Commerce Commission</t>
  </si>
  <si>
    <t>Personnel Replenishment</t>
  </si>
  <si>
    <t>Analysis of key professions' personnel replenishment based on actual and projected values</t>
  </si>
  <si>
    <t xml:space="preserve">This contains an estimation of replenishment from 2023 onwards using online information about graduation  and population numbers for 2018 to 2022. </t>
  </si>
  <si>
    <t>Personnel Analysis</t>
  </si>
  <si>
    <t>Analysis of capability of labour market to support decarbonisation</t>
  </si>
  <si>
    <t xml:space="preserve">This contains a high level comparison of available personnel against required personnel for decarbonisation. This tab provides an indicative timeframe for decarbonisation for each key profession type. </t>
  </si>
  <si>
    <t>EDB Capital Forecast</t>
  </si>
  <si>
    <t>Analysis and projection of capital allocation by EDBs</t>
  </si>
  <si>
    <t>This tab analyse the capital forecast based on the asset management plan submitted by the EDBs and projects it forward up to 2037</t>
  </si>
  <si>
    <t>EDB Capital Comparison</t>
  </si>
  <si>
    <t>Analysis of capital information and duration of capital projects of EDBs</t>
  </si>
  <si>
    <t>This tab analyse the capital capability of the EDBs to deliver the required growth to decarbonise process heat in NZ</t>
  </si>
  <si>
    <t>Variables used in this spreadsheet</t>
  </si>
  <si>
    <t>This contain all the relevant variables used in this spreadsheet</t>
  </si>
  <si>
    <t>Ref</t>
  </si>
  <si>
    <t>References used in this section of the study</t>
  </si>
  <si>
    <t>This tab contains all the relevant references used in this section of the study</t>
  </si>
  <si>
    <t>#</t>
  </si>
  <si>
    <t>Description of Tab</t>
  </si>
  <si>
    <t>Key equipment list</t>
  </si>
  <si>
    <t>[1]</t>
  </si>
  <si>
    <t>Equipment Type</t>
  </si>
  <si>
    <t>0-1 MWth</t>
  </si>
  <si>
    <t>1-2 MWth</t>
  </si>
  <si>
    <t>2-5 MWth</t>
  </si>
  <si>
    <t>5-10 MWth</t>
  </si>
  <si>
    <t>10-20 MWth</t>
  </si>
  <si>
    <t>20-40 MWth</t>
  </si>
  <si>
    <t>40+ MWth</t>
  </si>
  <si>
    <t>Heat Pump (no.)</t>
  </si>
  <si>
    <t>Electric Boiler (no.)</t>
  </si>
  <si>
    <t>Wood-Chip (Conversion) (no.)</t>
  </si>
  <si>
    <t>Wood-Pellet (Conversion) (no.)</t>
  </si>
  <si>
    <t>Wood-Chip (no.)</t>
  </si>
  <si>
    <t>Wood-Pellet (no.)</t>
  </si>
  <si>
    <t>Biogas (no.)</t>
  </si>
  <si>
    <t>Electrical capacity (MW)</t>
  </si>
  <si>
    <t>Transformer requirement list</t>
  </si>
  <si>
    <t>Size (MVA)</t>
  </si>
  <si>
    <t>Transformer Count</t>
  </si>
  <si>
    <t>Costing summary</t>
  </si>
  <si>
    <t>Northland</t>
  </si>
  <si>
    <t>Auckland</t>
  </si>
  <si>
    <t>Waikato</t>
  </si>
  <si>
    <t>Bay of Plenty</t>
  </si>
  <si>
    <t>Gisborne</t>
  </si>
  <si>
    <t>Hawke's Bay</t>
  </si>
  <si>
    <t>Taranaki</t>
  </si>
  <si>
    <t>Horizons</t>
  </si>
  <si>
    <t>Tauranga</t>
  </si>
  <si>
    <t>Southland</t>
  </si>
  <si>
    <t>Otago</t>
  </si>
  <si>
    <t>Canterbury</t>
  </si>
  <si>
    <t>Marlborough/Tasman</t>
  </si>
  <si>
    <t>Nelson/Marlborough</t>
  </si>
  <si>
    <t>West Coast</t>
  </si>
  <si>
    <t>Industrial Correction</t>
  </si>
  <si>
    <t>Commercial Correction</t>
  </si>
  <si>
    <t>Total</t>
  </si>
  <si>
    <t>Heat Pump</t>
  </si>
  <si>
    <t>Electric Boiler</t>
  </si>
  <si>
    <t>Wood-Chip (Conversion)</t>
  </si>
  <si>
    <t xml:space="preserve">$-   </t>
  </si>
  <si>
    <t xml:space="preserve"> $-   </t>
  </si>
  <si>
    <t>Wood-Pellet (Conversion)</t>
  </si>
  <si>
    <t>Wood-Chip</t>
  </si>
  <si>
    <t>Wood-Pellet</t>
  </si>
  <si>
    <t>Biogas</t>
  </si>
  <si>
    <t>Civil Costs</t>
  </si>
  <si>
    <t>Electrical &amp; Control Costs</t>
  </si>
  <si>
    <t>Mechanical Costs</t>
  </si>
  <si>
    <t>Electrical Supply Costs</t>
  </si>
  <si>
    <t>Transformer Costs</t>
  </si>
  <si>
    <t>Design Costs</t>
  </si>
  <si>
    <t>Project Management</t>
  </si>
  <si>
    <t>Contingency</t>
  </si>
  <si>
    <t>Estimated timeframe of EDB upgrades</t>
  </si>
  <si>
    <t>[10]</t>
  </si>
  <si>
    <t>Number</t>
  </si>
  <si>
    <t>MVA</t>
  </si>
  <si>
    <t>Timeframe (months)</t>
  </si>
  <si>
    <t>Min</t>
  </si>
  <si>
    <t>Max</t>
  </si>
  <si>
    <t>Start year</t>
  </si>
  <si>
    <t>Must be year. 
Start year must be later than 2023 and before end year.</t>
  </si>
  <si>
    <t>End year</t>
  </si>
  <si>
    <t>Duration of decarbonization</t>
  </si>
  <si>
    <t>Years</t>
  </si>
  <si>
    <t>Personnel Demand</t>
  </si>
  <si>
    <t>Profession Type</t>
  </si>
  <si>
    <t xml:space="preserve">Total Cost </t>
  </si>
  <si>
    <t>Charge out Rate ($/hr)</t>
  </si>
  <si>
    <t>Hours Required</t>
  </si>
  <si>
    <t>Hours per year (hr/p/y)</t>
  </si>
  <si>
    <t>Number of people required</t>
  </si>
  <si>
    <t>Yearly requirement</t>
  </si>
  <si>
    <t>Design Engineer</t>
  </si>
  <si>
    <t>Project Manager</t>
  </si>
  <si>
    <t>Electrical Engineer</t>
  </si>
  <si>
    <t>Electrician</t>
  </si>
  <si>
    <t>Controls Engineer</t>
  </si>
  <si>
    <t>Fitter &amp; Turner</t>
  </si>
  <si>
    <t>Quantum of work</t>
  </si>
  <si>
    <t xml:space="preserve">Society information based on 2018 Census </t>
  </si>
  <si>
    <t>[3]</t>
  </si>
  <si>
    <t>Project given definition</t>
  </si>
  <si>
    <t>Mechanical and Industrial Engineering and Technology Enrolments</t>
  </si>
  <si>
    <t>[5]</t>
  </si>
  <si>
    <t>Electrical and Electronic Engineering and Technology Enrolments</t>
  </si>
  <si>
    <t>Area</t>
  </si>
  <si>
    <t>Occupation</t>
  </si>
  <si>
    <t>Profession type</t>
  </si>
  <si>
    <t>NZQF Level</t>
  </si>
  <si>
    <t>Year</t>
  </si>
  <si>
    <t>Count</t>
  </si>
  <si>
    <t>Population proportion</t>
  </si>
  <si>
    <t>Total New Zealand</t>
  </si>
  <si>
    <t>Fitter (General)</t>
  </si>
  <si>
    <t>Certificates 3</t>
  </si>
  <si>
    <t>Fitter and Turner</t>
  </si>
  <si>
    <t>Fitter-Welder</t>
  </si>
  <si>
    <t>Electrical Engineering Technician</t>
  </si>
  <si>
    <t>Electrician (General)</t>
  </si>
  <si>
    <t>Electrician (Special Class)</t>
  </si>
  <si>
    <t>Chemical Engineer</t>
  </si>
  <si>
    <t>Mechanical Engineer</t>
  </si>
  <si>
    <t>Construction Project Manager</t>
  </si>
  <si>
    <t>Project Builder</t>
  </si>
  <si>
    <t>Certificates 4</t>
  </si>
  <si>
    <t>Program or Project Administrator</t>
  </si>
  <si>
    <t>Population forecast</t>
  </si>
  <si>
    <t>[4]</t>
  </si>
  <si>
    <t>[9]</t>
  </si>
  <si>
    <t>Population count</t>
  </si>
  <si>
    <t>Net migration</t>
  </si>
  <si>
    <t>% of population due to migration</t>
  </si>
  <si>
    <t>Certificates &amp; Diplomas 5-7</t>
  </si>
  <si>
    <t>not considered</t>
  </si>
  <si>
    <t>Bachelors degrees 7</t>
  </si>
  <si>
    <t>Graduate certificates/diplomas 7</t>
  </si>
  <si>
    <t>Honours &amp; postgrad. cert/dips. 8</t>
  </si>
  <si>
    <t>Electricity Distibution Businesses' 2022 Asset Management Plan</t>
  </si>
  <si>
    <t>[2]</t>
  </si>
  <si>
    <t>xlookup</t>
  </si>
  <si>
    <t>Source</t>
  </si>
  <si>
    <t>Schedule</t>
  </si>
  <si>
    <t>Section</t>
  </si>
  <si>
    <t>Category</t>
  </si>
  <si>
    <t>Selection</t>
  </si>
  <si>
    <t>Index</t>
  </si>
  <si>
    <t>Units</t>
  </si>
  <si>
    <t>Alpine Energy</t>
  </si>
  <si>
    <t>Aurora Energy</t>
  </si>
  <si>
    <t>Buller Electricity</t>
  </si>
  <si>
    <t>Centralines</t>
  </si>
  <si>
    <t>Counties Energy</t>
  </si>
  <si>
    <t>EA Networks</t>
  </si>
  <si>
    <t>FirstLight Network</t>
  </si>
  <si>
    <t>Electra</t>
  </si>
  <si>
    <t>Electricity Invercargill</t>
  </si>
  <si>
    <t>Horizon Energy</t>
  </si>
  <si>
    <t>MainPower NZ</t>
  </si>
  <si>
    <t>Marlborough Lines</t>
  </si>
  <si>
    <t>Nelson Electricity</t>
  </si>
  <si>
    <t>Network Tasman</t>
  </si>
  <si>
    <t>Network Waitaki</t>
  </si>
  <si>
    <t>Northpower</t>
  </si>
  <si>
    <t>Orion NZ</t>
  </si>
  <si>
    <t>OtagoNet</t>
  </si>
  <si>
    <t>Powerco</t>
  </si>
  <si>
    <t>Scanpower</t>
  </si>
  <si>
    <t>The Lines Company</t>
  </si>
  <si>
    <t>The Power Company</t>
  </si>
  <si>
    <t>Top Energy</t>
  </si>
  <si>
    <t>Unison Networks</t>
  </si>
  <si>
    <t>Vector Lines</t>
  </si>
  <si>
    <t>WEL Networks</t>
  </si>
  <si>
    <t>Waipa Networks</t>
  </si>
  <si>
    <t>Wellington Electricity</t>
  </si>
  <si>
    <t>Westpower</t>
  </si>
  <si>
    <t>Industry</t>
  </si>
  <si>
    <t>2022AMP2022Capital ExpenditureAll assetsExpenditure on assetsconstant</t>
  </si>
  <si>
    <t>AMP2022</t>
  </si>
  <si>
    <t>11a(i)</t>
  </si>
  <si>
    <t>Capital Expenditure</t>
  </si>
  <si>
    <t>All assets</t>
  </si>
  <si>
    <t>Expenditure on assets</t>
  </si>
  <si>
    <t>constant</t>
  </si>
  <si>
    <t>$000</t>
  </si>
  <si>
    <t>2022AMP2022Capital ExpenditureConsumer connectionConsumer connectionconstant</t>
  </si>
  <si>
    <t>Consumer connection</t>
  </si>
  <si>
    <t>2022AMP2022Capital ExpenditureReliability, safety and environmentTotal reliability, safety and environmentconstant</t>
  </si>
  <si>
    <t>Reliability, safety and environment</t>
  </si>
  <si>
    <t>Total reliability, safety and environment</t>
  </si>
  <si>
    <t>2022AMP2022Capital ExpenditureSystem growthSystem growthconstant</t>
  </si>
  <si>
    <t>System growth</t>
  </si>
  <si>
    <t>2023AMP2022Capital ExpenditureAll assetsExpenditure on assetsconstant</t>
  </si>
  <si>
    <t>2023AMP2022Capital ExpenditureConsumer connectionConsumer connectionconstant</t>
  </si>
  <si>
    <t>2023AMP2022Capital ExpenditureReliability, safety and environmentTotal reliability, safety and environmentconstant</t>
  </si>
  <si>
    <t>2023AMP2022Capital ExpenditureSystem growthSystem growthconstant</t>
  </si>
  <si>
    <t>2024AMP2022Capital ExpenditureAll assetsExpenditure on assetsconstant</t>
  </si>
  <si>
    <t>2024AMP2022Capital ExpenditureConsumer connectionConsumer connectionconstant</t>
  </si>
  <si>
    <t>2024AMP2022Capital ExpenditureReliability, safety and environmentTotal reliability, safety and environmentconstant</t>
  </si>
  <si>
    <t>2024AMP2022Capital ExpenditureSystem growthSystem growthconstant</t>
  </si>
  <si>
    <t>2025AMP2022Capital ExpenditureAll assetsExpenditure on assetsconstant</t>
  </si>
  <si>
    <t>2025AMP2022Capital ExpenditureConsumer connectionConsumer connectionconstant</t>
  </si>
  <si>
    <t>2025AMP2022Capital ExpenditureReliability, safety and environmentTotal reliability, safety and environmentconstant</t>
  </si>
  <si>
    <t>2025AMP2022Capital ExpenditureSystem growthSystem growthconstant</t>
  </si>
  <si>
    <t>2026AMP2022Capital ExpenditureAll assetsExpenditure on assetsconstant</t>
  </si>
  <si>
    <t>2026AMP2022Capital ExpenditureConsumer connectionConsumer connectionconstant</t>
  </si>
  <si>
    <t>2026AMP2022Capital ExpenditureReliability, safety and environmentTotal reliability, safety and environmentconstant</t>
  </si>
  <si>
    <t>2026AMP2022Capital ExpenditureSystem growthSystem growthconstant</t>
  </si>
  <si>
    <t>2027AMP2022Capital ExpenditureAll assetsExpenditure on assetsconstant</t>
  </si>
  <si>
    <t>2027AMP2022Capital ExpenditureConsumer connectionConsumer connectionconstant</t>
  </si>
  <si>
    <t>2027AMP2022Capital ExpenditureReliability, safety and environmentTotal reliability, safety and environmentconstant</t>
  </si>
  <si>
    <t>2027AMP2022Capital ExpenditureSystem growthSystem growthconstant</t>
  </si>
  <si>
    <t>2028AMP2022Capital ExpenditureAll assetsExpenditure on assetsconstant</t>
  </si>
  <si>
    <t>2028AMP2022Capital ExpenditureConsumer connectionConsumer connectionconstant</t>
  </si>
  <si>
    <t>2028AMP2022Capital ExpenditureReliability, safety and environmentTotal reliability, safety and environmentconstant</t>
  </si>
  <si>
    <t>2028AMP2022Capital ExpenditureSystem growthSystem growthconstant</t>
  </si>
  <si>
    <t>2029AMP2022Capital ExpenditureAll assetsExpenditure on assetsconstant</t>
  </si>
  <si>
    <t>2029AMP2022Capital ExpenditureConsumer connectionConsumer connectionconstant</t>
  </si>
  <si>
    <t>2029AMP2022Capital ExpenditureReliability, safety and environmentTotal reliability, safety and environmentconstant</t>
  </si>
  <si>
    <t>2029AMP2022Capital ExpenditureSystem growthSystem growthconstant</t>
  </si>
  <si>
    <t>2030AMP2022Capital ExpenditureAll assetsExpenditure on assetsconstant</t>
  </si>
  <si>
    <t>2030AMP2022Capital ExpenditureConsumer connectionConsumer connectionconstant</t>
  </si>
  <si>
    <t>2030AMP2022Capital ExpenditureReliability, safety and environmentTotal reliability, safety and environmentconstant</t>
  </si>
  <si>
    <t>2030AMP2022Capital ExpenditureSystem growthSystem growthconstant</t>
  </si>
  <si>
    <t>2031AMP2022Capital ExpenditureAll assetsExpenditure on assetsconstant</t>
  </si>
  <si>
    <t>2031AMP2022Capital ExpenditureConsumer connectionConsumer connectionconstant</t>
  </si>
  <si>
    <t>2031AMP2022Capital ExpenditureReliability, safety and environmentTotal reliability, safety and environmentconstant</t>
  </si>
  <si>
    <t>2031AMP2022Capital ExpenditureSystem growthSystem growthconstant</t>
  </si>
  <si>
    <t>2032AMP2022Capital ExpenditureAll assetsExpenditure on assetsconstant</t>
  </si>
  <si>
    <t>2032AMP2022Capital ExpenditureConsumer connectionConsumer connectionconstant</t>
  </si>
  <si>
    <t>2032AMP2022Capital ExpenditureReliability, safety and environmentTotal reliability, safety and environmentconstant</t>
  </si>
  <si>
    <t>2032AMP2022Capital ExpenditureSystem growthSystem growthconstant</t>
  </si>
  <si>
    <t>Assessment of the proportion of the population in key professions identified</t>
  </si>
  <si>
    <t>Fitter turner (% of population)</t>
  </si>
  <si>
    <t>Electrician (% of population)</t>
  </si>
  <si>
    <t>Design Engineer (% of population)</t>
  </si>
  <si>
    <t>Electrical Engineer (% of population)</t>
  </si>
  <si>
    <t>Key professions' replenishment projections based on the five year (2018-2022) average of population proportion in each profession and population size future projections</t>
  </si>
  <si>
    <t>SCENARIO SELECTED</t>
  </si>
  <si>
    <t>Base case</t>
  </si>
  <si>
    <t>Based on the scenario chosen, the quantum of work or assumed personnel variables are changed. 
The number of personnel on a given year was determined by calculating the net impact of projected entry to the market (replenishment) and retirement. Personnel were allocated to each requirement category based on the percentage that the category accounts for of total replenishment required.</t>
  </si>
  <si>
    <t>Description</t>
  </si>
  <si>
    <t>Number of personnel</t>
  </si>
  <si>
    <t>Projected available addition based on personnel replenishment tab</t>
  </si>
  <si>
    <t>Projected number of personnel required for economic growth</t>
  </si>
  <si>
    <t>Projected number of retiree</t>
  </si>
  <si>
    <t>Projected personnel required for process heat decarbonisation</t>
  </si>
  <si>
    <t>Total replenishment required</t>
  </si>
  <si>
    <t>Personnel allocated to process heat decarbonisation (based on requirement proportion)</t>
  </si>
  <si>
    <t>Personnel allocated to economic growth (based on requirement proportion)</t>
  </si>
  <si>
    <t>Personnel allocated to retirement (based on requirement proportion)</t>
  </si>
  <si>
    <t>Projected work completion year (green indicates completion)</t>
  </si>
  <si>
    <t>For Graph Only</t>
  </si>
  <si>
    <t>People Requirement Line Based on quantum of work</t>
  </si>
  <si>
    <t>People Allocated</t>
  </si>
  <si>
    <t>Cumulative People Allocated</t>
  </si>
  <si>
    <t>Relevant fields selected from the AMP</t>
  </si>
  <si>
    <t>Capital budget and relevant allocations from AMP</t>
  </si>
  <si>
    <t>Forecasted in Excel</t>
  </si>
  <si>
    <t>According to AMP</t>
  </si>
  <si>
    <t>Relevant field of allocations for process heat decarbonisation</t>
  </si>
  <si>
    <t>Tags used in Asset Management Plan (AMP)</t>
  </si>
  <si>
    <t>Capital Expenditure (000,000 NZD)</t>
  </si>
  <si>
    <t>Total capital budget</t>
  </si>
  <si>
    <t>AMP2022Capital ExpenditureAll assetsExpenditure on assetsconstant</t>
  </si>
  <si>
    <t>AMP2022Capital ExpenditureSystem growthSystem growthconstant</t>
  </si>
  <si>
    <t>Total Capital Budget</t>
  </si>
  <si>
    <t>AMP2022Capital ExpenditureReliability, safety and environmentTotal reliability, safety and environmentconstant</t>
  </si>
  <si>
    <t>Total Relevant Allocation Budget</t>
  </si>
  <si>
    <t>AMP2022Capital ExpenditureConsumer connectionConsumer connectionconstant</t>
  </si>
  <si>
    <t>Quantum of work scenarios</t>
  </si>
  <si>
    <t>0% Demand Reduction</t>
  </si>
  <si>
    <t>5% Demand Reduction</t>
  </si>
  <si>
    <t>15% Demand Reduction</t>
  </si>
  <si>
    <t>20% Demand Reduction</t>
  </si>
  <si>
    <t>Economic growth rate increase</t>
  </si>
  <si>
    <t>Economic growth rate decrease</t>
  </si>
  <si>
    <t>Retirement rate increase</t>
  </si>
  <si>
    <t>Retirement rate decrease</t>
  </si>
  <si>
    <t>Migration effect rate increase</t>
  </si>
  <si>
    <t>Migration effect rate decrease</t>
  </si>
  <si>
    <t>Workforce entry increase 10%</t>
  </si>
  <si>
    <t>Workforce entry increase 20%</t>
  </si>
  <si>
    <t>Personnel effect scenario</t>
  </si>
  <si>
    <t>Scenario</t>
  </si>
  <si>
    <t>Economic growth rate</t>
  </si>
  <si>
    <t>Retirement rate</t>
  </si>
  <si>
    <t>Migration effect rate</t>
  </si>
  <si>
    <t>Workforce entry inflation factor</t>
  </si>
  <si>
    <t>List for data validation</t>
  </si>
  <si>
    <t>List for Electricity demand reduction</t>
  </si>
  <si>
    <t>Estimated capital cost requirement from the EDB to support decarbonisation</t>
  </si>
  <si>
    <t>Cost description</t>
  </si>
  <si>
    <t>Amount (M NZD)</t>
  </si>
  <si>
    <t>Design management</t>
  </si>
  <si>
    <t>Project management</t>
  </si>
  <si>
    <t>High level forecast vs requirement comparison of EDB's capital capacity</t>
  </si>
  <si>
    <t>Amount</t>
  </si>
  <si>
    <t>Unit</t>
  </si>
  <si>
    <t>EDB Capital Forecast till 2037 ($M)</t>
  </si>
  <si>
    <t>M NZD</t>
  </si>
  <si>
    <t>EDB Relevant Allocation Forecast till 2037 ($M)</t>
  </si>
  <si>
    <t>Percentage of Total Capital Forecast Required for Decarbonisation</t>
  </si>
  <si>
    <t>%</t>
  </si>
  <si>
    <t>Percentage of Relevant Allocations Forecast Required for Decarbonisation</t>
  </si>
  <si>
    <t>Project duration analysis based on RETA work</t>
  </si>
  <si>
    <t>&gt;3</t>
  </si>
  <si>
    <t>Minimum Project Duration</t>
  </si>
  <si>
    <t>Maximum Project Duration</t>
  </si>
  <si>
    <t>Average Project Duration</t>
  </si>
  <si>
    <t>Modelling duration of decarbonisation effort based on EDB allocation</t>
  </si>
  <si>
    <t>Further Electricity Demand Reduction Scenario</t>
  </si>
  <si>
    <t>Total upgrade requirement</t>
  </si>
  <si>
    <t>Number of EDBs</t>
  </si>
  <si>
    <t>Preferred MVA capacity installed per project</t>
  </si>
  <si>
    <t>Estimated project per EDB</t>
  </si>
  <si>
    <t>per year</t>
  </si>
  <si>
    <t>Duration of preferred MVA</t>
  </si>
  <si>
    <t>months</t>
  </si>
  <si>
    <t>Estimated duration to realize requirement</t>
  </si>
  <si>
    <t># of years required to realize upgrade</t>
  </si>
  <si>
    <t>years</t>
  </si>
  <si>
    <t>Capital Cost Assumptions</t>
  </si>
  <si>
    <t>% of equipment cost</t>
  </si>
  <si>
    <t>Project management costs</t>
  </si>
  <si>
    <t>Field of study allocation for replenishment</t>
  </si>
  <si>
    <t>[7]</t>
  </si>
  <si>
    <t>[8]</t>
  </si>
  <si>
    <t>Mechanical and Industrial Engineering and Technology</t>
  </si>
  <si>
    <t>Electrical and Electronic Engineering and Technology</t>
  </si>
  <si>
    <t>Assumed passing rate</t>
  </si>
  <si>
    <t>Fitter/Turner</t>
  </si>
  <si>
    <t>Business as usual requirement</t>
  </si>
  <si>
    <t>[6]</t>
  </si>
  <si>
    <t>Rate of change per year</t>
  </si>
  <si>
    <t>Economic growth</t>
  </si>
  <si>
    <t>Retirement</t>
  </si>
  <si>
    <t xml:space="preserve">Average migration </t>
  </si>
  <si>
    <t>Workforce Entry Inflation Factor</t>
  </si>
  <si>
    <t>Reference number</t>
  </si>
  <si>
    <t>Description/Link</t>
  </si>
  <si>
    <t>Obtained from section A</t>
  </si>
  <si>
    <t>https://comcom.govt.nz/regulated-industries/electricity-lines/electricity-distributor-performance-and-data/information-disclosed-by-electricity-distributors</t>
  </si>
  <si>
    <t>https://www.stats.govt.nz/tools/2018-census-place-summaries/new-zealand</t>
  </si>
  <si>
    <t>https://www.stats.govt.nz/topics/population</t>
  </si>
  <si>
    <t>https://www.educationcounts.govt.nz/statistics/achievement-and-attainment</t>
  </si>
  <si>
    <t>https://www.stats.govt.nz/news/labour-force-will-grow-and-age</t>
  </si>
  <si>
    <t>https://www.educationcounts.govt.nz/data-services/code-sets-and-classifications/new_zealand_standard_classification_of_education_nzsced</t>
  </si>
  <si>
    <t>https://www.educationcounts.govt.nz/publications/80898/5567</t>
  </si>
  <si>
    <t>https://www.stats.govt.nz/information-releases/international-migration-june-2023/#:~:text=ended%20December%202022-,Annual%20migration,of%2017%2C600%20(%C2%B1%20100)</t>
  </si>
  <si>
    <t>RETA work conducted in BoP. Identifying information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</si>
</sst>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Red]\-&quot;$&quot;#,##0"/>
    <numFmt numFmtId="165" formatCode="_-&quot;$&quot;* #,##0.00_-;\-&quot;$&quot;* #,##0.00_-;_-&quot;$&quot;* &quot;-&quot;??_-;_-@_-"/>
    <numFmt numFmtId="166" formatCode="_-* #,##0.00_-;\-* #,##0.00_-;_-* &quot;-&quot;??_-;_-@_-"/>
    <numFmt numFmtId="167" formatCode="_-* #,##0_-;\-* #,##0_-;_-* &quot;-&quot;??_-;_-@_-"/>
    <numFmt numFmtId="168" formatCode="0.000%"/>
    <numFmt numFmtId="169" formatCode="&quot;&quot;"/>
    <numFmt numFmtId="170" formatCode="0.0"/>
    <numFmt numFmtId="171" formatCode="_-&quot;$&quot;* #,##0_-;\-&quot;$&quot;* #,##0_-;_-&quot;$&quot;* &quot;-&quot;??_-;_-@_-"/>
  </numFmts>
  <fonts count="28">
    <font>
      <sz val="11"/>
      <color theme="1"/>
      <name val="Calibri"/>
      <family val="2"/>
      <scheme val="minor"/>
    </font>
    <font>
      <b/>
      <sz val="11"/>
      <color theme="1"/>
      <name val="Calibri"/>
      <family val="2"/>
      <scheme val="minor"/>
    </font>
    <font>
      <b/>
      <sz val="11"/>
      <color rgb="FF41484F"/>
      <name val="Arial"/>
      <family val="3"/>
    </font>
    <font>
      <sz val="11"/>
      <name val="Calibri"/>
      <family val="2"/>
    </font>
    <font>
      <u/>
      <sz val="11"/>
      <color theme="10"/>
      <name val="Calibri"/>
      <family val="2"/>
      <scheme val="minor"/>
    </font>
    <font>
      <sz val="11"/>
      <color theme="1"/>
      <name val="Calibri"/>
      <family val="2"/>
      <scheme val="minor"/>
    </font>
    <font>
      <sz val="10"/>
      <name val="Arial"/>
      <family val="2"/>
    </font>
    <font>
      <sz val="10"/>
      <name val="MS Sans Serif"/>
      <family val="2"/>
    </font>
    <font>
      <u/>
      <sz val="10"/>
      <color indexed="12"/>
      <name val="MS Sans Serif"/>
      <family val="2"/>
    </font>
    <font>
      <sz val="11"/>
      <color theme="1"/>
      <name val="Calibri"/>
      <family val="2"/>
    </font>
    <font>
      <sz val="11"/>
      <color rgb="FFFF0000"/>
      <name val="Calibri"/>
      <family val="2"/>
      <scheme val="minor"/>
    </font>
    <font>
      <sz val="11"/>
      <color theme="1"/>
      <name val="Paralucent Textbook"/>
    </font>
    <font>
      <b/>
      <sz val="11"/>
      <color rgb="FF41484F"/>
      <name val="Paralucent Textbook"/>
    </font>
    <font>
      <sz val="11"/>
      <color rgb="FF41484F"/>
      <name val="Paralucent Textbook"/>
    </font>
    <font>
      <sz val="11"/>
      <color theme="0"/>
      <name val="Calibri"/>
      <family val="2"/>
      <scheme val="minor"/>
    </font>
    <font>
      <sz val="11"/>
      <name val="Calibri"/>
      <family val="2"/>
      <scheme val="minor"/>
    </font>
    <font>
      <b/>
      <sz val="11"/>
      <color rgb="FFFF0000"/>
      <name val="Paralucent Textbook"/>
    </font>
    <font>
      <b/>
      <sz val="11"/>
      <color rgb="FF41484F"/>
      <name val="Calibri"/>
      <family val="2"/>
      <scheme val="minor"/>
    </font>
    <font>
      <sz val="11"/>
      <color rgb="FF41484F"/>
      <name val="Calibri"/>
      <family val="2"/>
      <scheme val="minor"/>
    </font>
    <font>
      <sz val="12"/>
      <color theme="1"/>
      <name val="Calibri"/>
      <family val="2"/>
      <scheme val="minor"/>
    </font>
    <font>
      <sz val="9"/>
      <color theme="1"/>
      <name val="Calibri"/>
      <family val="2"/>
      <scheme val="minor"/>
    </font>
    <font>
      <b/>
      <sz val="11"/>
      <color rgb="FFFF0000"/>
      <name val="Calibri"/>
      <family val="2"/>
      <scheme val="minor"/>
    </font>
    <font>
      <sz val="14"/>
      <color theme="0"/>
      <name val="Calibri"/>
      <family val="2"/>
      <scheme val="minor"/>
    </font>
    <font>
      <sz val="11"/>
      <color rgb="FF41484F"/>
      <name val="Arial"/>
      <family val="2"/>
    </font>
    <font>
      <b/>
      <sz val="11"/>
      <color rgb="FF41484F"/>
      <name val="Paralucent Light"/>
      <family val="3"/>
    </font>
    <font>
      <sz val="11"/>
      <color theme="1"/>
      <name val="Paralucent Light"/>
      <family val="3"/>
    </font>
    <font>
      <sz val="16"/>
      <color theme="1"/>
      <name val="Calibri"/>
      <family val="2"/>
      <scheme val="minor"/>
    </font>
    <font>
      <b/>
      <sz val="16"/>
      <color theme="1"/>
      <name val="Calibri"/>
      <family val="2"/>
      <scheme val="minor"/>
    </font>
  </fonts>
  <fills count="16">
    <fill>
      <patternFill patternType="none"/>
    </fill>
    <fill>
      <patternFill patternType="gray125"/>
    </fill>
    <fill>
      <patternFill patternType="solid">
        <fgColor rgb="FF4AC0AF"/>
        <bgColor rgb="FF000000"/>
      </patternFill>
    </fill>
    <fill>
      <patternFill patternType="solid">
        <fgColor rgb="FF02BDB4"/>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7030A0"/>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4AC0AF"/>
        <bgColor indexed="64"/>
      </patternFill>
    </fill>
    <fill>
      <patternFill patternType="solid">
        <fgColor theme="0"/>
        <bgColor rgb="FF000000"/>
      </patternFill>
    </fill>
    <fill>
      <patternFill patternType="solid">
        <fgColor theme="0" tint="-4.9989318521683403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s>
  <cellStyleXfs count="11">
    <xf numFmtId="0" fontId="0" fillId="0" borderId="0"/>
    <xf numFmtId="0" fontId="3" fillId="0" borderId="0"/>
    <xf numFmtId="0" fontId="4" fillId="0" borderId="0" applyNumberForma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6" fillId="0" borderId="0"/>
    <xf numFmtId="0" fontId="8" fillId="0" borderId="0" applyNumberFormat="0" applyFill="0" applyBorder="0" applyAlignment="0" applyProtection="0"/>
    <xf numFmtId="0" fontId="7" fillId="0" borderId="0"/>
    <xf numFmtId="0" fontId="6" fillId="0" borderId="0"/>
    <xf numFmtId="9" fontId="6" fillId="0" borderId="0" applyFont="0" applyFill="0" applyBorder="0" applyAlignment="0" applyProtection="0"/>
    <xf numFmtId="165" fontId="5" fillId="0" borderId="0" applyFont="0" applyFill="0" applyBorder="0" applyAlignment="0" applyProtection="0"/>
  </cellStyleXfs>
  <cellXfs count="342">
    <xf numFmtId="0" fontId="0" fillId="0" borderId="0" xfId="0"/>
    <xf numFmtId="0" fontId="0" fillId="0" borderId="8" xfId="0" applyBorder="1"/>
    <xf numFmtId="0" fontId="2" fillId="2" borderId="1" xfId="0" applyFont="1" applyFill="1" applyBorder="1"/>
    <xf numFmtId="0" fontId="0" fillId="0" borderId="7" xfId="0" applyBorder="1"/>
    <xf numFmtId="0" fontId="0" fillId="0" borderId="10" xfId="0" applyBorder="1"/>
    <xf numFmtId="167" fontId="0" fillId="0" borderId="8" xfId="3" applyNumberFormat="1" applyFont="1" applyBorder="1"/>
    <xf numFmtId="0" fontId="0" fillId="6" borderId="9" xfId="0" applyFill="1" applyBorder="1"/>
    <xf numFmtId="0" fontId="0" fillId="6" borderId="12" xfId="0" applyFill="1" applyBorder="1"/>
    <xf numFmtId="167" fontId="0" fillId="0" borderId="8" xfId="3" applyNumberFormat="1" applyFont="1" applyBorder="1" applyAlignment="1">
      <alignment horizontal="center"/>
    </xf>
    <xf numFmtId="168" fontId="0" fillId="0" borderId="8" xfId="4" applyNumberFormat="1" applyFont="1" applyBorder="1"/>
    <xf numFmtId="0" fontId="0" fillId="0" borderId="13" xfId="0" applyBorder="1"/>
    <xf numFmtId="0" fontId="0" fillId="0" borderId="23" xfId="0" applyBorder="1"/>
    <xf numFmtId="167" fontId="0" fillId="0" borderId="23" xfId="3" applyNumberFormat="1" applyFont="1" applyBorder="1"/>
    <xf numFmtId="0" fontId="0" fillId="6" borderId="14" xfId="0" applyFill="1" applyBorder="1"/>
    <xf numFmtId="0" fontId="9" fillId="0" borderId="8" xfId="0" applyFont="1" applyBorder="1" applyAlignment="1">
      <alignment vertical="center"/>
    </xf>
    <xf numFmtId="3" fontId="9" fillId="0" borderId="8" xfId="0" applyNumberFormat="1" applyFont="1" applyBorder="1" applyAlignment="1">
      <alignment vertical="center"/>
    </xf>
    <xf numFmtId="0" fontId="0" fillId="0" borderId="17" xfId="0" applyBorder="1"/>
    <xf numFmtId="0" fontId="0" fillId="0" borderId="18" xfId="0" applyBorder="1"/>
    <xf numFmtId="167" fontId="0" fillId="0" borderId="18" xfId="3" applyNumberFormat="1" applyFont="1" applyBorder="1"/>
    <xf numFmtId="0" fontId="0" fillId="6" borderId="19" xfId="0" applyFill="1" applyBorder="1"/>
    <xf numFmtId="0" fontId="9" fillId="0" borderId="11" xfId="0" applyFont="1" applyBorder="1" applyAlignment="1">
      <alignment vertical="center"/>
    </xf>
    <xf numFmtId="3" fontId="9" fillId="0" borderId="11" xfId="0" applyNumberFormat="1" applyFont="1" applyBorder="1" applyAlignment="1">
      <alignment vertical="center"/>
    </xf>
    <xf numFmtId="0" fontId="0" fillId="12" borderId="28" xfId="0" applyFill="1" applyBorder="1"/>
    <xf numFmtId="0" fontId="0" fillId="12" borderId="26" xfId="0" applyFill="1" applyBorder="1"/>
    <xf numFmtId="0" fontId="11" fillId="0" borderId="0" xfId="0" applyFont="1"/>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xf>
    <xf numFmtId="0" fontId="12" fillId="2" borderId="41" xfId="0" applyFont="1" applyFill="1" applyBorder="1" applyAlignment="1">
      <alignment horizontal="center"/>
    </xf>
    <xf numFmtId="0" fontId="11" fillId="7" borderId="0" xfId="0" applyFont="1" applyFill="1"/>
    <xf numFmtId="0" fontId="0" fillId="0" borderId="42" xfId="0" applyBorder="1" applyAlignment="1">
      <alignment horizontal="center" vertical="center"/>
    </xf>
    <xf numFmtId="0" fontId="0" fillId="0" borderId="21" xfId="0" applyBorder="1" applyAlignment="1">
      <alignment horizontal="center" vertical="center" wrapText="1"/>
    </xf>
    <xf numFmtId="0" fontId="1" fillId="13" borderId="1" xfId="0" applyFont="1" applyFill="1" applyBorder="1" applyAlignment="1">
      <alignment horizontal="center"/>
    </xf>
    <xf numFmtId="0" fontId="1" fillId="13" borderId="3" xfId="0" applyFont="1" applyFill="1" applyBorder="1"/>
    <xf numFmtId="0" fontId="2" fillId="2" borderId="2" xfId="0" applyFont="1" applyFill="1" applyBorder="1"/>
    <xf numFmtId="0" fontId="2" fillId="2" borderId="43" xfId="0" applyFont="1" applyFill="1" applyBorder="1"/>
    <xf numFmtId="0" fontId="0" fillId="0" borderId="7" xfId="0" applyBorder="1" applyAlignment="1">
      <alignment horizontal="center"/>
    </xf>
    <xf numFmtId="10" fontId="0" fillId="0" borderId="9" xfId="4" applyNumberFormat="1" applyFont="1" applyBorder="1" applyAlignment="1">
      <alignment horizontal="center"/>
    </xf>
    <xf numFmtId="0" fontId="0" fillId="12" borderId="32" xfId="0" applyFill="1" applyBorder="1"/>
    <xf numFmtId="0" fontId="0" fillId="12" borderId="33" xfId="0" applyFill="1" applyBorder="1"/>
    <xf numFmtId="0" fontId="0" fillId="0" borderId="10" xfId="0" applyBorder="1" applyAlignment="1">
      <alignment horizontal="center"/>
    </xf>
    <xf numFmtId="167" fontId="0" fillId="0" borderId="11" xfId="3" applyNumberFormat="1" applyFont="1" applyBorder="1" applyAlignment="1">
      <alignment horizontal="center"/>
    </xf>
    <xf numFmtId="0" fontId="0" fillId="12" borderId="50" xfId="0" applyFill="1" applyBorder="1"/>
    <xf numFmtId="0" fontId="0" fillId="12" borderId="36" xfId="0" applyFill="1" applyBorder="1"/>
    <xf numFmtId="168" fontId="0" fillId="0" borderId="9" xfId="4" applyNumberFormat="1" applyFont="1" applyBorder="1"/>
    <xf numFmtId="168" fontId="0" fillId="0" borderId="12" xfId="4" applyNumberFormat="1" applyFont="1" applyBorder="1"/>
    <xf numFmtId="0" fontId="10" fillId="6" borderId="0" xfId="0" applyFont="1" applyFill="1"/>
    <xf numFmtId="167" fontId="15" fillId="8" borderId="8" xfId="3" applyNumberFormat="1" applyFont="1" applyFill="1" applyBorder="1" applyAlignment="1">
      <alignment horizontal="center"/>
    </xf>
    <xf numFmtId="10" fontId="15" fillId="8" borderId="9" xfId="4" applyNumberFormat="1" applyFont="1" applyFill="1" applyBorder="1" applyAlignment="1">
      <alignment horizontal="center"/>
    </xf>
    <xf numFmtId="0" fontId="1" fillId="13" borderId="1" xfId="0" applyFont="1" applyFill="1" applyBorder="1" applyAlignment="1">
      <alignment horizontal="center" vertical="center"/>
    </xf>
    <xf numFmtId="0" fontId="0" fillId="7" borderId="0" xfId="0" applyFill="1"/>
    <xf numFmtId="0" fontId="0" fillId="7" borderId="42" xfId="0" applyFill="1" applyBorder="1" applyAlignment="1">
      <alignment horizontal="center" vertical="center"/>
    </xf>
    <xf numFmtId="3" fontId="6" fillId="7" borderId="0" xfId="8" applyNumberFormat="1" applyFill="1" applyAlignment="1">
      <alignment horizontal="right" vertical="top" indent="1"/>
    </xf>
    <xf numFmtId="0" fontId="10" fillId="7" borderId="0" xfId="0" applyFont="1" applyFill="1"/>
    <xf numFmtId="0" fontId="4" fillId="7" borderId="0" xfId="2" applyFill="1"/>
    <xf numFmtId="0" fontId="0" fillId="7" borderId="7" xfId="0" applyFill="1" applyBorder="1" applyAlignment="1">
      <alignment horizontal="center" vertical="center" wrapText="1"/>
    </xf>
    <xf numFmtId="0" fontId="0" fillId="7" borderId="8" xfId="0" applyFill="1" applyBorder="1"/>
    <xf numFmtId="168" fontId="0" fillId="7" borderId="9" xfId="4" applyNumberFormat="1" applyFont="1" applyFill="1" applyBorder="1"/>
    <xf numFmtId="0" fontId="0" fillId="7" borderId="7" xfId="0" applyFill="1" applyBorder="1" applyAlignment="1">
      <alignment horizontal="center" wrapText="1"/>
    </xf>
    <xf numFmtId="0" fontId="0" fillId="7" borderId="10" xfId="0" applyFill="1" applyBorder="1" applyAlignment="1">
      <alignment horizontal="center" wrapText="1"/>
    </xf>
    <xf numFmtId="0" fontId="0" fillId="7" borderId="11" xfId="0" applyFill="1" applyBorder="1"/>
    <xf numFmtId="168" fontId="0" fillId="7" borderId="12" xfId="4" applyNumberFormat="1" applyFont="1" applyFill="1" applyBorder="1"/>
    <xf numFmtId="0" fontId="0" fillId="7" borderId="21" xfId="0" applyFill="1" applyBorder="1" applyAlignment="1">
      <alignment horizontal="center" vertical="center" wrapText="1"/>
    </xf>
    <xf numFmtId="0" fontId="0" fillId="0" borderId="8" xfId="0" applyBorder="1" applyAlignment="1">
      <alignment horizontal="center" vertical="center"/>
    </xf>
    <xf numFmtId="0" fontId="0" fillId="7" borderId="8" xfId="0" applyFill="1" applyBorder="1" applyAlignment="1">
      <alignment horizontal="center" vertical="center"/>
    </xf>
    <xf numFmtId="0" fontId="0" fillId="7" borderId="8" xfId="0" applyFill="1" applyBorder="1" applyAlignment="1">
      <alignment horizontal="center" vertical="center" wrapText="1"/>
    </xf>
    <xf numFmtId="0" fontId="0" fillId="7" borderId="5" xfId="0" applyFill="1" applyBorder="1" applyAlignment="1">
      <alignment horizontal="center" vertical="center"/>
    </xf>
    <xf numFmtId="0" fontId="17" fillId="2" borderId="1" xfId="0" applyFont="1" applyFill="1" applyBorder="1"/>
    <xf numFmtId="0" fontId="17" fillId="2" borderId="3" xfId="0" applyFont="1" applyFill="1" applyBorder="1"/>
    <xf numFmtId="0" fontId="0" fillId="7" borderId="4" xfId="0" applyFill="1" applyBorder="1" applyAlignment="1">
      <alignment horizontal="center"/>
    </xf>
    <xf numFmtId="0" fontId="0" fillId="7" borderId="6" xfId="0" applyFill="1" applyBorder="1"/>
    <xf numFmtId="0" fontId="0" fillId="7" borderId="7" xfId="0" applyFill="1" applyBorder="1" applyAlignment="1">
      <alignment horizontal="center"/>
    </xf>
    <xf numFmtId="0" fontId="4" fillId="7" borderId="9" xfId="2" applyFill="1" applyBorder="1"/>
    <xf numFmtId="0" fontId="0" fillId="7" borderId="10" xfId="0" applyFill="1" applyBorder="1" applyAlignment="1">
      <alignment horizontal="center"/>
    </xf>
    <xf numFmtId="0" fontId="0" fillId="7" borderId="12" xfId="0" applyFill="1" applyBorder="1"/>
    <xf numFmtId="0" fontId="17" fillId="2" borderId="2" xfId="0" applyFont="1" applyFill="1" applyBorder="1"/>
    <xf numFmtId="0" fontId="17" fillId="2" borderId="51" xfId="0" applyFont="1" applyFill="1" applyBorder="1"/>
    <xf numFmtId="0" fontId="18" fillId="7" borderId="37" xfId="0" applyFont="1" applyFill="1" applyBorder="1"/>
    <xf numFmtId="9" fontId="18" fillId="7" borderId="33" xfId="4" applyFont="1" applyFill="1" applyBorder="1" applyAlignment="1">
      <alignment horizontal="center"/>
    </xf>
    <xf numFmtId="9" fontId="18" fillId="7" borderId="36" xfId="4" applyFont="1" applyFill="1" applyBorder="1" applyAlignment="1">
      <alignment horizontal="center"/>
    </xf>
    <xf numFmtId="0" fontId="4" fillId="7" borderId="0" xfId="2" applyNumberFormat="1" applyFill="1" applyBorder="1" applyAlignment="1">
      <alignment horizontal="left"/>
    </xf>
    <xf numFmtId="9" fontId="18" fillId="7" borderId="52" xfId="0" applyNumberFormat="1" applyFont="1" applyFill="1" applyBorder="1" applyAlignment="1">
      <alignment horizontal="center"/>
    </xf>
    <xf numFmtId="0" fontId="18" fillId="7" borderId="38" xfId="0" applyFont="1" applyFill="1" applyBorder="1"/>
    <xf numFmtId="9" fontId="18" fillId="7" borderId="21" xfId="0" applyNumberFormat="1" applyFont="1" applyFill="1" applyBorder="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18" fillId="7" borderId="53" xfId="0" applyFont="1" applyFill="1" applyBorder="1"/>
    <xf numFmtId="0" fontId="18" fillId="7" borderId="53" xfId="0" applyFont="1" applyFill="1" applyBorder="1" applyAlignment="1">
      <alignment horizontal="left"/>
    </xf>
    <xf numFmtId="0" fontId="18" fillId="7" borderId="42" xfId="0" applyFont="1" applyFill="1" applyBorder="1" applyAlignment="1">
      <alignment horizontal="left"/>
    </xf>
    <xf numFmtId="0" fontId="18" fillId="7" borderId="24" xfId="0" applyFont="1" applyFill="1" applyBorder="1" applyAlignment="1">
      <alignment horizontal="center"/>
    </xf>
    <xf numFmtId="0" fontId="18" fillId="7" borderId="20" xfId="0" applyFont="1" applyFill="1" applyBorder="1" applyAlignment="1">
      <alignment horizontal="center"/>
    </xf>
    <xf numFmtId="0" fontId="17" fillId="2" borderId="43" xfId="0" applyFont="1" applyFill="1" applyBorder="1" applyAlignment="1">
      <alignment horizontal="center"/>
    </xf>
    <xf numFmtId="0" fontId="18" fillId="0" borderId="13" xfId="0" applyFont="1" applyBorder="1"/>
    <xf numFmtId="0" fontId="18" fillId="0" borderId="53" xfId="0" applyFont="1" applyBorder="1"/>
    <xf numFmtId="0" fontId="18" fillId="7" borderId="42" xfId="0" applyFont="1" applyFill="1" applyBorder="1"/>
    <xf numFmtId="0" fontId="18" fillId="0" borderId="4" xfId="0" applyFont="1" applyBorder="1"/>
    <xf numFmtId="167" fontId="18" fillId="0" borderId="6" xfId="3" applyNumberFormat="1" applyFont="1" applyBorder="1"/>
    <xf numFmtId="0" fontId="18" fillId="0" borderId="7" xfId="0" applyFont="1" applyBorder="1"/>
    <xf numFmtId="167" fontId="18" fillId="0" borderId="9" xfId="3" applyNumberFormat="1" applyFont="1" applyBorder="1"/>
    <xf numFmtId="0" fontId="18" fillId="0" borderId="10" xfId="0" applyFont="1" applyBorder="1"/>
    <xf numFmtId="167" fontId="18" fillId="0" borderId="12" xfId="3" applyNumberFormat="1" applyFont="1" applyBorder="1"/>
    <xf numFmtId="0" fontId="17" fillId="0" borderId="42" xfId="0" applyFont="1" applyBorder="1"/>
    <xf numFmtId="167" fontId="17" fillId="0" borderId="21" xfId="3" applyNumberFormat="1" applyFont="1" applyBorder="1"/>
    <xf numFmtId="171" fontId="18" fillId="0" borderId="8" xfId="10" applyNumberFormat="1" applyFont="1" applyBorder="1"/>
    <xf numFmtId="9" fontId="18" fillId="0" borderId="8" xfId="4" applyFont="1" applyBorder="1"/>
    <xf numFmtId="170" fontId="18" fillId="0" borderId="8" xfId="0" applyNumberFormat="1" applyFont="1" applyBorder="1"/>
    <xf numFmtId="1" fontId="18" fillId="0" borderId="8" xfId="0" applyNumberFormat="1" applyFont="1" applyBorder="1"/>
    <xf numFmtId="0" fontId="18" fillId="12" borderId="8" xfId="0" applyFont="1" applyFill="1" applyBorder="1"/>
    <xf numFmtId="0" fontId="18" fillId="0" borderId="9" xfId="0" applyFont="1" applyBorder="1"/>
    <xf numFmtId="9" fontId="18" fillId="0" borderId="11" xfId="4" applyFont="1" applyBorder="1"/>
    <xf numFmtId="0" fontId="18" fillId="0" borderId="12" xfId="0" applyFont="1" applyBorder="1"/>
    <xf numFmtId="171" fontId="18" fillId="0" borderId="5" xfId="10" applyNumberFormat="1" applyFont="1" applyBorder="1"/>
    <xf numFmtId="0" fontId="18" fillId="0" borderId="6" xfId="0" applyFont="1" applyBorder="1"/>
    <xf numFmtId="0" fontId="18" fillId="0" borderId="11" xfId="0" applyFont="1" applyBorder="1"/>
    <xf numFmtId="1" fontId="18" fillId="0" borderId="5" xfId="0" applyNumberFormat="1" applyFont="1" applyBorder="1"/>
    <xf numFmtId="0" fontId="18" fillId="0" borderId="5" xfId="0" applyFont="1" applyBorder="1" applyAlignment="1">
      <alignment horizontal="center"/>
    </xf>
    <xf numFmtId="0" fontId="18" fillId="0" borderId="6"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170" fontId="18" fillId="0" borderId="11" xfId="0" applyNumberFormat="1" applyFont="1" applyBorder="1" applyAlignment="1">
      <alignment horizontal="center"/>
    </xf>
    <xf numFmtId="0" fontId="18" fillId="0" borderId="11" xfId="0" applyFont="1" applyBorder="1" applyAlignment="1">
      <alignment horizontal="center"/>
    </xf>
    <xf numFmtId="1" fontId="18" fillId="0" borderId="12" xfId="0" applyNumberFormat="1" applyFont="1" applyBorder="1" applyAlignment="1">
      <alignment horizontal="center"/>
    </xf>
    <xf numFmtId="0" fontId="0" fillId="7" borderId="10" xfId="0" applyFill="1" applyBorder="1" applyAlignment="1">
      <alignment horizontal="center" vertical="center"/>
    </xf>
    <xf numFmtId="0" fontId="0" fillId="7" borderId="0" xfId="0" applyFill="1" applyAlignment="1">
      <alignment horizontal="center" vertical="center"/>
    </xf>
    <xf numFmtId="0" fontId="14" fillId="7" borderId="0" xfId="0" applyFont="1" applyFill="1"/>
    <xf numFmtId="0" fontId="1" fillId="3" borderId="44" xfId="0" applyFont="1" applyFill="1" applyBorder="1" applyAlignment="1">
      <alignment horizontal="center" wrapText="1"/>
    </xf>
    <xf numFmtId="0" fontId="0" fillId="7" borderId="40" xfId="0" applyFill="1" applyBorder="1" applyAlignment="1">
      <alignment horizontal="center"/>
    </xf>
    <xf numFmtId="0" fontId="19" fillId="7" borderId="0" xfId="0" applyFont="1" applyFill="1" applyAlignment="1">
      <alignment vertical="top" wrapText="1"/>
    </xf>
    <xf numFmtId="0" fontId="1" fillId="3" borderId="48" xfId="0" applyFont="1" applyFill="1" applyBorder="1" applyAlignment="1">
      <alignment horizontal="center" wrapText="1"/>
    </xf>
    <xf numFmtId="0" fontId="0" fillId="7" borderId="58" xfId="0" applyFill="1" applyBorder="1" applyAlignment="1">
      <alignment horizontal="center"/>
    </xf>
    <xf numFmtId="0" fontId="1" fillId="3" borderId="49" xfId="0" applyFont="1" applyFill="1" applyBorder="1" applyAlignment="1">
      <alignment horizontal="center" wrapText="1"/>
    </xf>
    <xf numFmtId="0" fontId="0" fillId="7" borderId="55" xfId="0" applyFill="1" applyBorder="1" applyAlignment="1">
      <alignment horizontal="center"/>
    </xf>
    <xf numFmtId="0" fontId="1" fillId="3" borderId="1" xfId="0" applyFont="1" applyFill="1" applyBorder="1" applyAlignment="1">
      <alignment horizont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0" fillId="7" borderId="4" xfId="0" applyFill="1" applyBorder="1" applyAlignment="1">
      <alignment horizontal="center" vertical="center"/>
    </xf>
    <xf numFmtId="0" fontId="4" fillId="7" borderId="5" xfId="2"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4" fillId="7" borderId="8" xfId="2" applyFill="1" applyBorder="1" applyAlignment="1">
      <alignment horizontal="center" vertical="center" wrapText="1"/>
    </xf>
    <xf numFmtId="0" fontId="0" fillId="7" borderId="9" xfId="0" applyFill="1" applyBorder="1" applyAlignment="1">
      <alignment horizontal="center" vertical="center" wrapText="1"/>
    </xf>
    <xf numFmtId="0" fontId="4" fillId="7" borderId="8" xfId="2" applyFill="1" applyBorder="1" applyAlignment="1">
      <alignment horizontal="center" vertical="center"/>
    </xf>
    <xf numFmtId="0" fontId="0" fillId="0" borderId="9" xfId="0" applyBorder="1" applyAlignment="1">
      <alignment horizontal="center" vertical="center" wrapText="1"/>
    </xf>
    <xf numFmtId="0" fontId="4" fillId="7" borderId="11" xfId="2" applyFill="1" applyBorder="1" applyAlignment="1">
      <alignment horizontal="center" vertical="center"/>
    </xf>
    <xf numFmtId="0" fontId="0" fillId="7" borderId="11"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44" xfId="0" applyFill="1" applyBorder="1" applyAlignment="1">
      <alignment horizontal="center"/>
    </xf>
    <xf numFmtId="0" fontId="14" fillId="9" borderId="48" xfId="0" applyFont="1" applyFill="1" applyBorder="1" applyAlignment="1">
      <alignment horizontal="center"/>
    </xf>
    <xf numFmtId="0" fontId="14" fillId="10" borderId="48" xfId="0" applyFont="1" applyFill="1" applyBorder="1" applyAlignment="1">
      <alignment horizontal="center"/>
    </xf>
    <xf numFmtId="0" fontId="0" fillId="8" borderId="48" xfId="0" applyFill="1" applyBorder="1" applyAlignment="1">
      <alignment horizontal="center"/>
    </xf>
    <xf numFmtId="0" fontId="0" fillId="11" borderId="48" xfId="0" applyFill="1" applyBorder="1" applyAlignment="1">
      <alignment horizontal="center"/>
    </xf>
    <xf numFmtId="0" fontId="0" fillId="12" borderId="49" xfId="0" applyFill="1" applyBorder="1" applyAlignment="1">
      <alignment horizontal="center"/>
    </xf>
    <xf numFmtId="0" fontId="18" fillId="7" borderId="4" xfId="0" applyFont="1" applyFill="1" applyBorder="1"/>
    <xf numFmtId="0" fontId="18" fillId="7" borderId="5" xfId="0" applyFont="1" applyFill="1" applyBorder="1" applyAlignment="1">
      <alignment horizontal="center"/>
    </xf>
    <xf numFmtId="0" fontId="18" fillId="7" borderId="6" xfId="0" applyFont="1" applyFill="1" applyBorder="1" applyAlignment="1">
      <alignment horizontal="center"/>
    </xf>
    <xf numFmtId="0" fontId="18" fillId="7" borderId="7" xfId="0" applyFont="1" applyFill="1" applyBorder="1"/>
    <xf numFmtId="0" fontId="18" fillId="7" borderId="8" xfId="0" applyFont="1" applyFill="1" applyBorder="1" applyAlignment="1">
      <alignment horizontal="center"/>
    </xf>
    <xf numFmtId="0" fontId="18" fillId="7" borderId="9" xfId="0" applyFont="1" applyFill="1" applyBorder="1" applyAlignment="1">
      <alignment horizontal="center"/>
    </xf>
    <xf numFmtId="0" fontId="18" fillId="7" borderId="10" xfId="0" applyFont="1" applyFill="1" applyBorder="1"/>
    <xf numFmtId="0" fontId="18" fillId="7" borderId="11" xfId="0" applyFont="1" applyFill="1" applyBorder="1" applyAlignment="1">
      <alignment horizontal="center"/>
    </xf>
    <xf numFmtId="0" fontId="18" fillId="7" borderId="12" xfId="0" applyFont="1" applyFill="1" applyBorder="1" applyAlignment="1">
      <alignment horizontal="center"/>
    </xf>
    <xf numFmtId="0" fontId="17" fillId="2" borderId="1" xfId="0" applyFont="1" applyFill="1" applyBorder="1" applyAlignment="1">
      <alignment horizontal="center"/>
    </xf>
    <xf numFmtId="0" fontId="18" fillId="7" borderId="6" xfId="0" applyFont="1" applyFill="1" applyBorder="1"/>
    <xf numFmtId="0" fontId="18" fillId="7" borderId="9" xfId="0" applyFont="1" applyFill="1" applyBorder="1"/>
    <xf numFmtId="0" fontId="18" fillId="7" borderId="13" xfId="0" applyFont="1" applyFill="1" applyBorder="1"/>
    <xf numFmtId="0" fontId="18" fillId="7" borderId="14" xfId="0" applyFont="1" applyFill="1" applyBorder="1"/>
    <xf numFmtId="0" fontId="18" fillId="7" borderId="12" xfId="0" applyFont="1" applyFill="1" applyBorder="1"/>
    <xf numFmtId="0" fontId="18" fillId="7" borderId="0" xfId="0" applyFont="1" applyFill="1"/>
    <xf numFmtId="0" fontId="17" fillId="2" borderId="22" xfId="0" applyFont="1" applyFill="1" applyBorder="1" applyAlignment="1">
      <alignment horizontal="center"/>
    </xf>
    <xf numFmtId="164" fontId="18" fillId="0" borderId="5" xfId="0" applyNumberFormat="1" applyFont="1" applyBorder="1" applyAlignment="1">
      <alignment horizontal="left"/>
    </xf>
    <xf numFmtId="164" fontId="18" fillId="0" borderId="6" xfId="0" applyNumberFormat="1" applyFont="1" applyBorder="1" applyAlignment="1">
      <alignment horizontal="left"/>
    </xf>
    <xf numFmtId="164" fontId="18" fillId="0" borderId="8" xfId="0" applyNumberFormat="1" applyFont="1" applyBorder="1" applyAlignment="1">
      <alignment horizontal="left"/>
    </xf>
    <xf numFmtId="0" fontId="18" fillId="0" borderId="8" xfId="0" applyFont="1" applyBorder="1" applyAlignment="1">
      <alignment horizontal="left"/>
    </xf>
    <xf numFmtId="164" fontId="18" fillId="0" borderId="23" xfId="0" applyNumberFormat="1" applyFont="1" applyBorder="1" applyAlignment="1">
      <alignment horizontal="left"/>
    </xf>
    <xf numFmtId="164" fontId="18" fillId="0" borderId="11" xfId="0" applyNumberFormat="1" applyFont="1" applyBorder="1" applyAlignment="1">
      <alignment horizontal="left"/>
    </xf>
    <xf numFmtId="164" fontId="18" fillId="0" borderId="12" xfId="0" applyNumberFormat="1" applyFont="1" applyBorder="1" applyAlignment="1">
      <alignment horizontal="left"/>
    </xf>
    <xf numFmtId="0" fontId="17" fillId="0" borderId="1" xfId="0" applyFont="1" applyBorder="1"/>
    <xf numFmtId="164" fontId="17" fillId="0" borderId="2" xfId="0" applyNumberFormat="1" applyFont="1" applyBorder="1" applyAlignment="1">
      <alignment horizontal="left"/>
    </xf>
    <xf numFmtId="164" fontId="17" fillId="0" borderId="20" xfId="0" applyNumberFormat="1" applyFont="1" applyBorder="1" applyAlignment="1">
      <alignment horizontal="left"/>
    </xf>
    <xf numFmtId="164" fontId="17" fillId="0" borderId="21" xfId="0" applyNumberFormat="1" applyFont="1" applyBorder="1" applyAlignment="1">
      <alignment horizontal="left"/>
    </xf>
    <xf numFmtId="0" fontId="17" fillId="2" borderId="45" xfId="0" applyFont="1" applyFill="1" applyBorder="1"/>
    <xf numFmtId="0" fontId="17" fillId="2" borderId="21" xfId="0" applyFont="1" applyFill="1" applyBorder="1"/>
    <xf numFmtId="0" fontId="0" fillId="0" borderId="4" xfId="0" applyBorder="1"/>
    <xf numFmtId="0" fontId="0" fillId="0" borderId="5" xfId="0" applyBorder="1"/>
    <xf numFmtId="0" fontId="0" fillId="0" borderId="9" xfId="0" applyBorder="1"/>
    <xf numFmtId="0" fontId="0" fillId="0" borderId="11" xfId="0" applyBorder="1"/>
    <xf numFmtId="0" fontId="0" fillId="0" borderId="12" xfId="0" applyBorder="1"/>
    <xf numFmtId="0" fontId="17" fillId="2" borderId="44" xfId="0" applyFont="1" applyFill="1" applyBorder="1" applyAlignment="1">
      <alignment horizontal="center" vertical="center"/>
    </xf>
    <xf numFmtId="0" fontId="0" fillId="12" borderId="46" xfId="0" applyFill="1" applyBorder="1" applyAlignment="1">
      <alignment horizontal="center" vertical="center"/>
    </xf>
    <xf numFmtId="0" fontId="17" fillId="2" borderId="48" xfId="0" applyFont="1" applyFill="1" applyBorder="1" applyAlignment="1">
      <alignment horizontal="center" vertical="center"/>
    </xf>
    <xf numFmtId="0" fontId="0" fillId="12" borderId="30" xfId="0" applyFill="1" applyBorder="1" applyAlignment="1">
      <alignment horizontal="center" vertical="center"/>
    </xf>
    <xf numFmtId="0" fontId="17" fillId="2" borderId="49" xfId="0" applyFont="1" applyFill="1" applyBorder="1" applyAlignment="1">
      <alignment horizontal="center" vertical="center"/>
    </xf>
    <xf numFmtId="0" fontId="0" fillId="0" borderId="47" xfId="0" applyBorder="1" applyAlignment="1">
      <alignment horizontal="center" vertical="center"/>
    </xf>
    <xf numFmtId="0" fontId="0" fillId="0" borderId="12" xfId="0"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3" xfId="0" applyFont="1" applyFill="1" applyBorder="1" applyAlignment="1">
      <alignment horizontal="center" vertical="center" wrapText="1"/>
    </xf>
    <xf numFmtId="164" fontId="18" fillId="7" borderId="5" xfId="0" applyNumberFormat="1" applyFont="1" applyFill="1" applyBorder="1" applyAlignment="1">
      <alignment horizontal="center" vertical="center"/>
    </xf>
    <xf numFmtId="3" fontId="18" fillId="7" borderId="5" xfId="0" applyNumberFormat="1" applyFont="1" applyFill="1" applyBorder="1" applyAlignment="1">
      <alignment horizontal="center" vertical="center"/>
    </xf>
    <xf numFmtId="0" fontId="18" fillId="7" borderId="5" xfId="0" applyFont="1" applyFill="1" applyBorder="1" applyAlignment="1">
      <alignment horizontal="center" vertical="center"/>
    </xf>
    <xf numFmtId="1" fontId="18" fillId="7" borderId="5" xfId="0" applyNumberFormat="1" applyFont="1" applyFill="1" applyBorder="1" applyAlignment="1">
      <alignment horizontal="center" vertical="center"/>
    </xf>
    <xf numFmtId="0" fontId="18" fillId="7" borderId="6" xfId="0" applyFont="1" applyFill="1" applyBorder="1" applyAlignment="1">
      <alignment horizontal="center" vertical="center"/>
    </xf>
    <xf numFmtId="164" fontId="18" fillId="7" borderId="8" xfId="0" applyNumberFormat="1" applyFont="1" applyFill="1" applyBorder="1" applyAlignment="1">
      <alignment horizontal="center" vertical="center"/>
    </xf>
    <xf numFmtId="3" fontId="18" fillId="7" borderId="8" xfId="0" applyNumberFormat="1" applyFont="1" applyFill="1" applyBorder="1" applyAlignment="1">
      <alignment horizontal="center" vertical="center"/>
    </xf>
    <xf numFmtId="0" fontId="18" fillId="7" borderId="8" xfId="0" applyFont="1" applyFill="1" applyBorder="1" applyAlignment="1">
      <alignment horizontal="center" vertical="center"/>
    </xf>
    <xf numFmtId="1" fontId="18" fillId="7" borderId="8" xfId="0" applyNumberFormat="1" applyFont="1" applyFill="1" applyBorder="1" applyAlignment="1">
      <alignment horizontal="center" vertical="center"/>
    </xf>
    <xf numFmtId="0" fontId="18" fillId="7" borderId="9" xfId="0" applyFont="1" applyFill="1" applyBorder="1" applyAlignment="1">
      <alignment horizontal="center" vertical="center"/>
    </xf>
    <xf numFmtId="164" fontId="18" fillId="7" borderId="11" xfId="0" applyNumberFormat="1" applyFont="1" applyFill="1" applyBorder="1" applyAlignment="1">
      <alignment horizontal="center" vertical="center"/>
    </xf>
    <xf numFmtId="3" fontId="18" fillId="7" borderId="11" xfId="0" applyNumberFormat="1" applyFont="1" applyFill="1" applyBorder="1" applyAlignment="1">
      <alignment horizontal="center" vertical="center"/>
    </xf>
    <xf numFmtId="0" fontId="18" fillId="7" borderId="11" xfId="0" applyFont="1" applyFill="1" applyBorder="1" applyAlignment="1">
      <alignment horizontal="center" vertical="center"/>
    </xf>
    <xf numFmtId="1" fontId="18" fillId="7" borderId="11" xfId="0" applyNumberFormat="1" applyFont="1" applyFill="1" applyBorder="1" applyAlignment="1">
      <alignment horizontal="center" vertical="center"/>
    </xf>
    <xf numFmtId="0" fontId="18" fillId="7" borderId="12" xfId="0" applyFont="1" applyFill="1" applyBorder="1" applyAlignment="1">
      <alignment horizontal="center" vertical="center"/>
    </xf>
    <xf numFmtId="0" fontId="17" fillId="7" borderId="42" xfId="0" applyFont="1" applyFill="1" applyBorder="1"/>
    <xf numFmtId="164" fontId="17" fillId="7" borderId="20" xfId="0" applyNumberFormat="1" applyFont="1" applyFill="1" applyBorder="1" applyAlignment="1">
      <alignment horizontal="center" vertical="center"/>
    </xf>
    <xf numFmtId="3" fontId="17" fillId="7" borderId="20" xfId="0" applyNumberFormat="1" applyFont="1" applyFill="1" applyBorder="1" applyAlignment="1">
      <alignment horizontal="center" vertical="center"/>
    </xf>
    <xf numFmtId="3" fontId="17" fillId="7" borderId="21" xfId="0" applyNumberFormat="1" applyFont="1" applyFill="1" applyBorder="1" applyAlignment="1">
      <alignment horizontal="center" vertical="center"/>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wrapText="1"/>
    </xf>
    <xf numFmtId="0" fontId="18" fillId="7" borderId="17" xfId="0" applyFont="1" applyFill="1" applyBorder="1"/>
    <xf numFmtId="1" fontId="18" fillId="7" borderId="19" xfId="0" applyNumberFormat="1" applyFont="1" applyFill="1" applyBorder="1" applyAlignment="1">
      <alignment horizontal="center" vertical="center"/>
    </xf>
    <xf numFmtId="1" fontId="18" fillId="7" borderId="9" xfId="0" applyNumberFormat="1" applyFont="1" applyFill="1" applyBorder="1" applyAlignment="1">
      <alignment horizontal="center" vertical="center"/>
    </xf>
    <xf numFmtId="0" fontId="17" fillId="7" borderId="10" xfId="0" applyFont="1" applyFill="1" applyBorder="1"/>
    <xf numFmtId="3" fontId="17" fillId="7" borderId="12" xfId="0" applyNumberFormat="1" applyFont="1" applyFill="1" applyBorder="1" applyAlignment="1">
      <alignment horizontal="center" vertical="center"/>
    </xf>
    <xf numFmtId="164" fontId="18" fillId="7" borderId="0" xfId="0" applyNumberFormat="1" applyFont="1" applyFill="1" applyAlignment="1">
      <alignment wrapText="1"/>
    </xf>
    <xf numFmtId="0" fontId="0" fillId="7" borderId="1" xfId="0" applyFill="1" applyBorder="1" applyAlignment="1">
      <alignment horizontal="center" vertical="center"/>
    </xf>
    <xf numFmtId="0" fontId="0" fillId="0" borderId="0" xfId="0" applyAlignment="1">
      <alignment vertical="center" wrapText="1"/>
    </xf>
    <xf numFmtId="0" fontId="17" fillId="2" borderId="25" xfId="0" applyFont="1" applyFill="1" applyBorder="1"/>
    <xf numFmtId="0" fontId="15" fillId="0" borderId="4" xfId="1" applyFont="1" applyBorder="1"/>
    <xf numFmtId="1" fontId="15" fillId="0" borderId="5" xfId="1" applyNumberFormat="1" applyFont="1" applyBorder="1"/>
    <xf numFmtId="0" fontId="15" fillId="0" borderId="5" xfId="1" applyFont="1" applyBorder="1"/>
    <xf numFmtId="1" fontId="15" fillId="0" borderId="6" xfId="1" applyNumberFormat="1" applyFont="1" applyBorder="1"/>
    <xf numFmtId="0" fontId="15" fillId="0" borderId="7" xfId="1" applyFont="1" applyBorder="1"/>
    <xf numFmtId="1" fontId="15" fillId="0" borderId="8" xfId="1" applyNumberFormat="1" applyFont="1" applyBorder="1"/>
    <xf numFmtId="0" fontId="15" fillId="0" borderId="8" xfId="1" applyFont="1" applyBorder="1"/>
    <xf numFmtId="1" fontId="15" fillId="0" borderId="9" xfId="1" applyNumberFormat="1" applyFont="1" applyBorder="1"/>
    <xf numFmtId="0" fontId="15" fillId="0" borderId="10" xfId="1" applyFont="1" applyBorder="1"/>
    <xf numFmtId="1" fontId="15" fillId="0" borderId="11" xfId="1" applyNumberFormat="1" applyFont="1" applyBorder="1"/>
    <xf numFmtId="0" fontId="15" fillId="0" borderId="11" xfId="1" applyFont="1" applyBorder="1"/>
    <xf numFmtId="1" fontId="15" fillId="0" borderId="12" xfId="1" applyNumberFormat="1" applyFont="1" applyBorder="1"/>
    <xf numFmtId="0" fontId="15" fillId="7" borderId="0" xfId="0" applyFont="1" applyFill="1"/>
    <xf numFmtId="0" fontId="0" fillId="7" borderId="0" xfId="0" applyFill="1" applyAlignment="1">
      <alignment horizontal="center" vertical="center" wrapText="1"/>
    </xf>
    <xf numFmtId="168" fontId="0" fillId="7" borderId="0" xfId="4" applyNumberFormat="1" applyFont="1" applyFill="1"/>
    <xf numFmtId="168" fontId="0" fillId="0" borderId="11" xfId="4" applyNumberFormat="1" applyFont="1" applyBorder="1"/>
    <xf numFmtId="0" fontId="0" fillId="0" borderId="6" xfId="0" applyBorder="1"/>
    <xf numFmtId="164" fontId="18" fillId="0" borderId="9" xfId="0" applyNumberFormat="1" applyFont="1" applyBorder="1" applyAlignment="1">
      <alignment wrapText="1"/>
    </xf>
    <xf numFmtId="0" fontId="18" fillId="0" borderId="7" xfId="0" applyFont="1" applyBorder="1" applyAlignment="1">
      <alignment wrapText="1"/>
    </xf>
    <xf numFmtId="164" fontId="18" fillId="7" borderId="12" xfId="0" applyNumberFormat="1" applyFont="1" applyFill="1" applyBorder="1" applyAlignment="1">
      <alignment wrapText="1"/>
    </xf>
    <xf numFmtId="164" fontId="18" fillId="0" borderId="6" xfId="0" applyNumberFormat="1" applyFont="1" applyBorder="1" applyAlignment="1">
      <alignment wrapText="1"/>
    </xf>
    <xf numFmtId="0" fontId="17" fillId="2" borderId="1"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17" xfId="0" applyFont="1" applyFill="1" applyBorder="1" applyAlignment="1">
      <alignment horizontal="centerContinuous" vertical="center"/>
    </xf>
    <xf numFmtId="0" fontId="17" fillId="2" borderId="18" xfId="0" applyFont="1" applyFill="1" applyBorder="1" applyAlignment="1">
      <alignment horizontal="centerContinuous" vertical="center"/>
    </xf>
    <xf numFmtId="0" fontId="17" fillId="2" borderId="19" xfId="0" applyFont="1" applyFill="1" applyBorder="1" applyAlignment="1">
      <alignment horizontal="centerContinuous" vertical="center"/>
    </xf>
    <xf numFmtId="1" fontId="0" fillId="4" borderId="11" xfId="0" applyNumberFormat="1" applyFill="1" applyBorder="1"/>
    <xf numFmtId="1" fontId="0" fillId="5" borderId="11" xfId="0" applyNumberFormat="1" applyFill="1" applyBorder="1"/>
    <xf numFmtId="1" fontId="0" fillId="5" borderId="12" xfId="0" applyNumberFormat="1" applyFill="1" applyBorder="1"/>
    <xf numFmtId="1" fontId="0" fillId="4" borderId="5" xfId="0" applyNumberFormat="1" applyFill="1" applyBorder="1"/>
    <xf numFmtId="1" fontId="0" fillId="5" borderId="5" xfId="0" applyNumberFormat="1" applyFill="1" applyBorder="1"/>
    <xf numFmtId="1" fontId="0" fillId="5" borderId="6" xfId="0" applyNumberFormat="1" applyFill="1" applyBorder="1"/>
    <xf numFmtId="0" fontId="17" fillId="2" borderId="10" xfId="0" applyFont="1" applyFill="1" applyBorder="1" applyAlignment="1">
      <alignment horizontal="left"/>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167" fontId="0" fillId="0" borderId="5" xfId="3" applyNumberFormat="1" applyFont="1" applyBorder="1"/>
    <xf numFmtId="167" fontId="0" fillId="0" borderId="6" xfId="3" applyNumberFormat="1" applyFont="1" applyBorder="1"/>
    <xf numFmtId="167" fontId="0" fillId="0" borderId="14" xfId="3" applyNumberFormat="1" applyFont="1" applyBorder="1"/>
    <xf numFmtId="0" fontId="0" fillId="12" borderId="56" xfId="0" applyFill="1" applyBorder="1"/>
    <xf numFmtId="167" fontId="0" fillId="12" borderId="29" xfId="3" applyNumberFormat="1" applyFont="1" applyFill="1" applyBorder="1"/>
    <xf numFmtId="167" fontId="0" fillId="12" borderId="58" xfId="3" applyNumberFormat="1" applyFont="1" applyFill="1" applyBorder="1"/>
    <xf numFmtId="167" fontId="0" fillId="0" borderId="9" xfId="3" applyNumberFormat="1" applyFont="1" applyBorder="1"/>
    <xf numFmtId="0" fontId="0" fillId="0" borderId="57" xfId="0" applyBorder="1"/>
    <xf numFmtId="169" fontId="0" fillId="0" borderId="54" xfId="3" applyNumberFormat="1" applyFont="1" applyBorder="1"/>
    <xf numFmtId="169" fontId="0" fillId="0" borderId="59" xfId="3" applyNumberFormat="1" applyFont="1" applyBorder="1"/>
    <xf numFmtId="169" fontId="0" fillId="0" borderId="55" xfId="3" applyNumberFormat="1" applyFont="1" applyBorder="1"/>
    <xf numFmtId="0" fontId="11" fillId="7" borderId="24" xfId="0" applyFont="1" applyFill="1" applyBorder="1"/>
    <xf numFmtId="3" fontId="11" fillId="7" borderId="0" xfId="0" applyNumberFormat="1" applyFont="1" applyFill="1" applyAlignment="1">
      <alignment horizontal="center"/>
    </xf>
    <xf numFmtId="3" fontId="11" fillId="7" borderId="24" xfId="0" applyNumberFormat="1" applyFont="1" applyFill="1" applyBorder="1" applyAlignment="1">
      <alignment horizontal="center"/>
    </xf>
    <xf numFmtId="3" fontId="11" fillId="7" borderId="33" xfId="0" applyNumberFormat="1" applyFont="1" applyFill="1" applyBorder="1" applyAlignment="1">
      <alignment horizontal="center"/>
    </xf>
    <xf numFmtId="0" fontId="11" fillId="7" borderId="5" xfId="0" applyFont="1" applyFill="1" applyBorder="1"/>
    <xf numFmtId="3" fontId="11" fillId="7" borderId="27" xfId="0" applyNumberFormat="1" applyFont="1" applyFill="1" applyBorder="1" applyAlignment="1">
      <alignment horizontal="center"/>
    </xf>
    <xf numFmtId="3" fontId="11" fillId="7" borderId="5" xfId="0" applyNumberFormat="1" applyFont="1" applyFill="1" applyBorder="1" applyAlignment="1">
      <alignment horizontal="center"/>
    </xf>
    <xf numFmtId="3" fontId="11" fillId="7" borderId="34" xfId="0" applyNumberFormat="1" applyFont="1" applyFill="1" applyBorder="1" applyAlignment="1">
      <alignment horizontal="center"/>
    </xf>
    <xf numFmtId="0" fontId="11" fillId="7" borderId="20" xfId="0" applyFont="1" applyFill="1" applyBorder="1"/>
    <xf numFmtId="3" fontId="11" fillId="7" borderId="35" xfId="0" applyNumberFormat="1" applyFont="1" applyFill="1" applyBorder="1" applyAlignment="1">
      <alignment horizontal="center"/>
    </xf>
    <xf numFmtId="3" fontId="11" fillId="7" borderId="20" xfId="0" applyNumberFormat="1" applyFont="1" applyFill="1" applyBorder="1" applyAlignment="1">
      <alignment horizontal="center"/>
    </xf>
    <xf numFmtId="3" fontId="11" fillId="7" borderId="36" xfId="0" applyNumberFormat="1" applyFont="1" applyFill="1" applyBorder="1" applyAlignment="1">
      <alignment horizontal="center"/>
    </xf>
    <xf numFmtId="0" fontId="21" fillId="7" borderId="0" xfId="0" applyFont="1" applyFill="1"/>
    <xf numFmtId="0" fontId="22" fillId="7" borderId="0" xfId="0" applyFont="1" applyFill="1"/>
    <xf numFmtId="0" fontId="12" fillId="14" borderId="0" xfId="0" applyFont="1" applyFill="1" applyAlignment="1">
      <alignment vertical="center"/>
    </xf>
    <xf numFmtId="0" fontId="12" fillId="2" borderId="43" xfId="0" applyFont="1" applyFill="1" applyBorder="1" applyAlignment="1">
      <alignment horizontal="center"/>
    </xf>
    <xf numFmtId="0" fontId="16" fillId="14" borderId="0" xfId="0" applyFont="1" applyFill="1" applyAlignment="1">
      <alignment vertical="center"/>
    </xf>
    <xf numFmtId="0" fontId="4" fillId="0" borderId="0" xfId="2"/>
    <xf numFmtId="0" fontId="24" fillId="2" borderId="8" xfId="0" applyFont="1" applyFill="1" applyBorder="1" applyAlignment="1">
      <alignment horizontal="center" vertical="center"/>
    </xf>
    <xf numFmtId="0" fontId="24" fillId="2" borderId="8" xfId="0" applyFont="1" applyFill="1" applyBorder="1" applyAlignment="1">
      <alignment horizontal="center" vertical="center" wrapText="1"/>
    </xf>
    <xf numFmtId="0" fontId="25" fillId="0" borderId="8" xfId="0" applyFont="1" applyBorder="1"/>
    <xf numFmtId="9" fontId="25" fillId="0" borderId="8" xfId="0" applyNumberFormat="1" applyFont="1" applyBorder="1"/>
    <xf numFmtId="10" fontId="25" fillId="0" borderId="8" xfId="0" applyNumberFormat="1" applyFont="1" applyBorder="1"/>
    <xf numFmtId="0" fontId="23" fillId="0" borderId="0" xfId="0" applyFont="1"/>
    <xf numFmtId="0" fontId="2" fillId="2"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23" fillId="0" borderId="8" xfId="0" applyFont="1" applyBorder="1"/>
    <xf numFmtId="1" fontId="23" fillId="0" borderId="8" xfId="0" applyNumberFormat="1" applyFont="1" applyBorder="1" applyAlignment="1">
      <alignment horizontal="center" vertical="center"/>
    </xf>
    <xf numFmtId="0" fontId="2" fillId="0" borderId="8" xfId="0" applyFont="1" applyBorder="1"/>
    <xf numFmtId="3" fontId="2" fillId="0" borderId="8" xfId="0" applyNumberFormat="1" applyFont="1" applyBorder="1" applyAlignment="1">
      <alignment horizontal="center" vertical="center"/>
    </xf>
    <xf numFmtId="0" fontId="11" fillId="7" borderId="24" xfId="0" applyFont="1" applyFill="1" applyBorder="1" applyAlignment="1">
      <alignment wrapText="1"/>
    </xf>
    <xf numFmtId="0" fontId="11" fillId="7" borderId="23" xfId="0" applyFont="1" applyFill="1" applyBorder="1" applyAlignment="1">
      <alignment wrapText="1"/>
    </xf>
    <xf numFmtId="3" fontId="11" fillId="7" borderId="31" xfId="0" applyNumberFormat="1" applyFont="1" applyFill="1" applyBorder="1" applyAlignment="1">
      <alignment horizontal="center" vertical="center"/>
    </xf>
    <xf numFmtId="3" fontId="11" fillId="7" borderId="23" xfId="0" applyNumberFormat="1" applyFont="1" applyFill="1" applyBorder="1" applyAlignment="1">
      <alignment horizontal="center" vertical="center"/>
    </xf>
    <xf numFmtId="3" fontId="11" fillId="7" borderId="32" xfId="0" applyNumberFormat="1" applyFont="1" applyFill="1" applyBorder="1" applyAlignment="1">
      <alignment horizontal="center" vertical="center"/>
    </xf>
    <xf numFmtId="0" fontId="17" fillId="2" borderId="15" xfId="0" applyFont="1" applyFill="1" applyBorder="1"/>
    <xf numFmtId="0" fontId="17" fillId="2" borderId="61" xfId="0" applyFont="1" applyFill="1" applyBorder="1"/>
    <xf numFmtId="0" fontId="17" fillId="2" borderId="16" xfId="0" applyFont="1" applyFill="1" applyBorder="1"/>
    <xf numFmtId="0" fontId="0" fillId="7" borderId="17" xfId="0" applyFill="1" applyBorder="1"/>
    <xf numFmtId="0" fontId="0" fillId="7" borderId="19" xfId="0" applyFill="1" applyBorder="1"/>
    <xf numFmtId="9" fontId="0" fillId="12" borderId="18" xfId="4" applyFont="1" applyFill="1" applyBorder="1"/>
    <xf numFmtId="9" fontId="25" fillId="0" borderId="8" xfId="4" applyFont="1" applyBorder="1"/>
    <xf numFmtId="0" fontId="17" fillId="2" borderId="39" xfId="0" applyFont="1" applyFill="1" applyBorder="1" applyAlignment="1">
      <alignment horizontal="center"/>
    </xf>
    <xf numFmtId="0" fontId="17" fillId="2" borderId="40" xfId="0" applyFont="1" applyFill="1" applyBorder="1" applyAlignment="1">
      <alignment horizontal="center"/>
    </xf>
    <xf numFmtId="0" fontId="17" fillId="2" borderId="17"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1" xfId="0" applyFont="1" applyFill="1" applyBorder="1" applyAlignment="1">
      <alignment horizontal="center" vertical="center"/>
    </xf>
    <xf numFmtId="0" fontId="20" fillId="4" borderId="16" xfId="0" applyFont="1" applyFill="1" applyBorder="1" applyAlignment="1">
      <alignment horizontal="left" vertical="top" wrapText="1"/>
    </xf>
    <xf numFmtId="0" fontId="20" fillId="4" borderId="6" xfId="0" applyFont="1" applyFill="1" applyBorder="1" applyAlignment="1">
      <alignment horizontal="left" vertical="top" wrapText="1"/>
    </xf>
    <xf numFmtId="0" fontId="0" fillId="7" borderId="50" xfId="0" applyFill="1" applyBorder="1" applyAlignment="1">
      <alignment horizontal="center" vertical="center" wrapText="1"/>
    </xf>
    <xf numFmtId="0" fontId="0" fillId="7" borderId="36" xfId="0" applyFill="1" applyBorder="1" applyAlignment="1">
      <alignment horizontal="center" vertical="center" wrapText="1"/>
    </xf>
    <xf numFmtId="0" fontId="1" fillId="13" borderId="2" xfId="0" applyFont="1" applyFill="1" applyBorder="1" applyAlignment="1">
      <alignment horizontal="center" wrapText="1"/>
    </xf>
    <xf numFmtId="0" fontId="1" fillId="13" borderId="3" xfId="0" applyFont="1" applyFill="1" applyBorder="1" applyAlignment="1">
      <alignment horizontal="center" wrapText="1"/>
    </xf>
    <xf numFmtId="0" fontId="26" fillId="7" borderId="2"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7" fillId="13" borderId="1" xfId="0" applyFont="1" applyFill="1" applyBorder="1" applyAlignment="1">
      <alignment horizontal="center" vertical="center" wrapText="1"/>
    </xf>
    <xf numFmtId="0" fontId="27" fillId="13" borderId="22" xfId="0" applyFont="1" applyFill="1" applyBorder="1" applyAlignment="1">
      <alignment horizontal="center" vertical="center" wrapText="1"/>
    </xf>
    <xf numFmtId="0" fontId="0" fillId="15" borderId="60" xfId="0" applyFill="1" applyBorder="1" applyAlignment="1">
      <alignment horizontal="center" vertical="top" wrapText="1"/>
    </xf>
    <xf numFmtId="0" fontId="0" fillId="15" borderId="29" xfId="0" applyFill="1" applyBorder="1" applyAlignment="1">
      <alignment horizontal="center" vertical="top" wrapText="1"/>
    </xf>
    <xf numFmtId="0" fontId="0" fillId="15" borderId="30" xfId="0" applyFill="1" applyBorder="1" applyAlignment="1">
      <alignment horizontal="center" vertical="top" wrapText="1"/>
    </xf>
    <xf numFmtId="0" fontId="13" fillId="7" borderId="53"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42" xfId="0" applyFont="1" applyFill="1" applyBorder="1" applyAlignment="1">
      <alignment horizontal="center" vertical="center"/>
    </xf>
    <xf numFmtId="0" fontId="0" fillId="4" borderId="0" xfId="0" applyFill="1" applyAlignment="1">
      <alignment horizontal="left"/>
    </xf>
    <xf numFmtId="0" fontId="0" fillId="5" borderId="0" xfId="0" applyFill="1" applyAlignment="1">
      <alignment horizontal="left"/>
    </xf>
  </cellXfs>
  <cellStyles count="11">
    <cellStyle name="Comma" xfId="3" builtinId="3"/>
    <cellStyle name="Currency" xfId="10" builtinId="4"/>
    <cellStyle name="Hyperlink" xfId="2" builtinId="8"/>
    <cellStyle name="Hyperlink 2" xfId="6" xr:uid="{5FBD14A4-2E66-4097-8FC4-C1FC611EF1FB}"/>
    <cellStyle name="Normal" xfId="0" builtinId="0"/>
    <cellStyle name="Normal 2" xfId="7" xr:uid="{2D699100-B1FA-4255-AE77-52E21C4032C3}"/>
    <cellStyle name="Normal 3" xfId="1" xr:uid="{5D64B609-ED63-4208-8A4A-FDD4C3DC39B6}"/>
    <cellStyle name="Normal 3 2" xfId="8" xr:uid="{52EDC4F0-2F93-4A76-B3F7-E9BD5E854F54}"/>
    <cellStyle name="Normal 4" xfId="5" xr:uid="{F0AC50D3-B5B5-4D46-8378-151A32647444}"/>
    <cellStyle name="Per cent" xfId="4" builtinId="5"/>
    <cellStyle name="Percent 2" xfId="9" xr:uid="{B9BFBA2F-CB72-4FF6-978C-E59BB6523FD6}"/>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strike val="0"/>
        <color rgb="FFFF0000"/>
      </font>
    </dxf>
    <dxf>
      <font>
        <color rgb="FF9C0006"/>
      </font>
      <fill>
        <patternFill>
          <bgColor rgb="FFFFC7CE"/>
        </patternFill>
      </fill>
    </dxf>
    <dxf>
      <font>
        <strike val="0"/>
        <color rgb="FFFF0000"/>
      </font>
    </dxf>
    <dxf>
      <font>
        <strike val="0"/>
        <color rgb="FFFF0000"/>
      </font>
    </dxf>
    <dxf>
      <font>
        <strike val="0"/>
        <color rgb="FFFF0000"/>
      </font>
    </dxf>
    <dxf>
      <font>
        <color rgb="FF9C0006"/>
      </font>
      <fill>
        <patternFill>
          <bgColor rgb="FFFFC7CE"/>
        </patternFill>
      </fill>
    </dxf>
    <dxf>
      <font>
        <strike val="0"/>
        <color rgb="FFFF0000"/>
      </font>
    </dxf>
    <dxf>
      <font>
        <strike val="0"/>
        <color rgb="FFFF0000"/>
      </font>
    </dxf>
    <dxf>
      <font>
        <strike val="0"/>
        <color rgb="FFFF0000"/>
      </font>
    </dxf>
    <dxf>
      <font>
        <color rgb="FF9C0006"/>
      </font>
      <fill>
        <patternFill>
          <bgColor rgb="FFFFC7CE"/>
        </patternFill>
      </fill>
    </dxf>
    <dxf>
      <font>
        <strike val="0"/>
        <color rgb="FFFF0000"/>
      </font>
    </dxf>
    <dxf>
      <font>
        <strike val="0"/>
        <color rgb="FFFF0000"/>
      </font>
    </dxf>
    <dxf>
      <font>
        <strike val="0"/>
        <color rgb="FFFF0000"/>
      </font>
    </dxf>
    <dxf>
      <font>
        <color rgb="FF9C0006"/>
      </font>
      <fill>
        <patternFill>
          <bgColor rgb="FFFFC7CE"/>
        </patternFill>
      </fill>
    </dxf>
    <dxf>
      <font>
        <strike val="0"/>
        <color rgb="FFFF0000"/>
      </font>
    </dxf>
    <dxf>
      <font>
        <strike val="0"/>
        <color rgb="FFFF0000"/>
      </font>
    </dxf>
    <dxf>
      <fill>
        <patternFill>
          <bgColor rgb="FFFF0000"/>
        </patternFill>
      </fill>
    </dxf>
    <dxf>
      <fill>
        <patternFill>
          <bgColor rgb="FFFF0000"/>
        </patternFill>
      </fill>
    </dxf>
  </dxfs>
  <tableStyles count="0" defaultTableStyle="TableStyleMedium2" defaultPivotStyle="PivotStyleLight16"/>
  <colors>
    <mruColors>
      <color rgb="FF4AC0AF"/>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NZ"/>
              <a:t>Proportion of population in key professions</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Fitter &amp; Turner</c:v>
          </c:tx>
          <c:spPr>
            <a:ln w="19050" cap="rnd">
              <a:solidFill>
                <a:schemeClr val="accent1"/>
              </a:solidFill>
              <a:round/>
            </a:ln>
            <a:effectLst/>
          </c:spPr>
          <c:marker>
            <c:symbol val="none"/>
          </c:marker>
          <c:xVal>
            <c:numRef>
              <c:f>'Personnel Replenishment'!$C$6:$L$6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xVal>
          <c:yVal>
            <c:numRef>
              <c:f>'Personnel Replenishment'!$C$11:$L$11</c:f>
              <c:numCache>
                <c:formatCode>0.000%</c:formatCode>
                <c:ptCount val="10"/>
                <c:pt idx="0">
                  <c:v>2.2565374211000903E-4</c:v>
                </c:pt>
                <c:pt idx="1">
                  <c:v>2.4371820221723579E-4</c:v>
                </c:pt>
                <c:pt idx="2">
                  <c:v>2.2997016485550644E-4</c:v>
                </c:pt>
                <c:pt idx="3">
                  <c:v>2.1576144834930776E-4</c:v>
                </c:pt>
                <c:pt idx="4">
                  <c:v>1.8491879834052577E-4</c:v>
                </c:pt>
                <c:pt idx="5">
                  <c:v>1.8521929555269029E-4</c:v>
                </c:pt>
                <c:pt idx="6">
                  <c:v>1.6131955773065072E-4</c:v>
                </c:pt>
                <c:pt idx="7">
                  <c:v>1.2434091445659873E-4</c:v>
                </c:pt>
                <c:pt idx="8">
                  <c:v>2.0438927935159264E-4</c:v>
                </c:pt>
                <c:pt idx="9">
                  <c:v>2.2032804832750093E-4</c:v>
                </c:pt>
              </c:numCache>
            </c:numRef>
          </c:yVal>
          <c:smooth val="1"/>
          <c:extLst>
            <c:ext xmlns:c16="http://schemas.microsoft.com/office/drawing/2014/chart" uri="{C3380CC4-5D6E-409C-BE32-E72D297353CC}">
              <c16:uniqueId val="{00000000-C90D-4AFA-A8F6-B4E4E7FAA6C2}"/>
            </c:ext>
          </c:extLst>
        </c:ser>
        <c:ser>
          <c:idx val="1"/>
          <c:order val="1"/>
          <c:tx>
            <c:v>Electrician</c:v>
          </c:tx>
          <c:spPr>
            <a:ln w="19050" cap="rnd">
              <a:solidFill>
                <a:schemeClr val="accent2"/>
              </a:solidFill>
              <a:round/>
            </a:ln>
            <a:effectLst/>
          </c:spPr>
          <c:marker>
            <c:symbol val="none"/>
          </c:marker>
          <c:xVal>
            <c:numRef>
              <c:f>'Personnel Replenishment'!$C$6:$L$6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xVal>
          <c:yVal>
            <c:numRef>
              <c:f>'Personnel Replenishment'!$C$12:$L$12</c:f>
              <c:numCache>
                <c:formatCode>0.000%</c:formatCode>
                <c:ptCount val="10"/>
                <c:pt idx="0">
                  <c:v>2.3579801623083859E-4</c:v>
                </c:pt>
                <c:pt idx="1">
                  <c:v>2.3949701184154985E-4</c:v>
                </c:pt>
                <c:pt idx="2">
                  <c:v>2.1929920076656722E-4</c:v>
                </c:pt>
                <c:pt idx="3">
                  <c:v>2.1703940362087328E-4</c:v>
                </c:pt>
                <c:pt idx="4">
                  <c:v>2.1222924093647715E-4</c:v>
                </c:pt>
                <c:pt idx="5">
                  <c:v>1.8747057980802686E-4</c:v>
                </c:pt>
                <c:pt idx="6">
                  <c:v>1.6434052323122469E-4</c:v>
                </c:pt>
                <c:pt idx="7">
                  <c:v>1.6388604706067523E-4</c:v>
                </c:pt>
                <c:pt idx="8">
                  <c:v>2.5137532058184381E-4</c:v>
                </c:pt>
                <c:pt idx="9">
                  <c:v>2.4574299622685776E-4</c:v>
                </c:pt>
              </c:numCache>
            </c:numRef>
          </c:yVal>
          <c:smooth val="1"/>
          <c:extLst>
            <c:ext xmlns:c16="http://schemas.microsoft.com/office/drawing/2014/chart" uri="{C3380CC4-5D6E-409C-BE32-E72D297353CC}">
              <c16:uniqueId val="{00000001-C90D-4AFA-A8F6-B4E4E7FAA6C2}"/>
            </c:ext>
          </c:extLst>
        </c:ser>
        <c:ser>
          <c:idx val="2"/>
          <c:order val="2"/>
          <c:tx>
            <c:v>Design Engineer</c:v>
          </c:tx>
          <c:spPr>
            <a:ln w="19050" cap="rnd">
              <a:solidFill>
                <a:schemeClr val="accent3"/>
              </a:solidFill>
              <a:round/>
            </a:ln>
            <a:effectLst/>
          </c:spPr>
          <c:marker>
            <c:symbol val="none"/>
          </c:marker>
          <c:xVal>
            <c:numRef>
              <c:f>'Personnel Replenishment'!$C$6:$L$6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xVal>
          <c:yVal>
            <c:numRef>
              <c:f>'Personnel Replenishment'!$C$13:$L$13</c:f>
              <c:numCache>
                <c:formatCode>0.000%</c:formatCode>
                <c:ptCount val="10"/>
                <c:pt idx="0">
                  <c:v>9.2651036970243467E-5</c:v>
                </c:pt>
                <c:pt idx="1">
                  <c:v>9.4421363666659255E-5</c:v>
                </c:pt>
                <c:pt idx="2">
                  <c:v>9.9523073237657613E-5</c:v>
                </c:pt>
                <c:pt idx="3">
                  <c:v>1.0713525026624068E-4</c:v>
                </c:pt>
                <c:pt idx="4">
                  <c:v>1.309233431317364E-4</c:v>
                </c:pt>
                <c:pt idx="5">
                  <c:v>1.5165469392767239E-4</c:v>
                </c:pt>
                <c:pt idx="6">
                  <c:v>1.4138118542686242E-4</c:v>
                </c:pt>
                <c:pt idx="7">
                  <c:v>1.4873691666010861E-4</c:v>
                </c:pt>
                <c:pt idx="8">
                  <c:v>1.301904892421543E-4</c:v>
                </c:pt>
                <c:pt idx="9">
                  <c:v>1.1690876033704131E-4</c:v>
                </c:pt>
              </c:numCache>
            </c:numRef>
          </c:yVal>
          <c:smooth val="1"/>
          <c:extLst>
            <c:ext xmlns:c16="http://schemas.microsoft.com/office/drawing/2014/chart" uri="{C3380CC4-5D6E-409C-BE32-E72D297353CC}">
              <c16:uniqueId val="{00000002-C90D-4AFA-A8F6-B4E4E7FAA6C2}"/>
            </c:ext>
          </c:extLst>
        </c:ser>
        <c:ser>
          <c:idx val="3"/>
          <c:order val="3"/>
          <c:tx>
            <c:v>Electrical Engineer</c:v>
          </c:tx>
          <c:spPr>
            <a:ln w="19050" cap="rnd">
              <a:solidFill>
                <a:schemeClr val="accent4"/>
              </a:solidFill>
              <a:round/>
            </a:ln>
            <a:effectLst/>
          </c:spPr>
          <c:marker>
            <c:symbol val="none"/>
          </c:marker>
          <c:xVal>
            <c:numRef>
              <c:f>'Personnel Replenishment'!$C$6:$L$6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xVal>
          <c:yVal>
            <c:numRef>
              <c:f>'Personnel Replenishment'!$C$14:$L$14</c:f>
              <c:numCache>
                <c:formatCode>0.000%</c:formatCode>
                <c:ptCount val="10"/>
                <c:pt idx="0">
                  <c:v>1.3097385031559964E-4</c:v>
                </c:pt>
                <c:pt idx="1">
                  <c:v>1.6129390593410498E-4</c:v>
                </c:pt>
                <c:pt idx="2">
                  <c:v>1.2064722663821076E-4</c:v>
                </c:pt>
                <c:pt idx="3">
                  <c:v>1.4717784877529285E-4</c:v>
                </c:pt>
                <c:pt idx="4">
                  <c:v>1.6469656221985949E-4</c:v>
                </c:pt>
                <c:pt idx="5">
                  <c:v>2.0220625857022984E-4</c:v>
                </c:pt>
                <c:pt idx="6">
                  <c:v>1.9213340583650534E-4</c:v>
                </c:pt>
                <c:pt idx="7">
                  <c:v>2.0048005036594002E-4</c:v>
                </c:pt>
                <c:pt idx="8">
                  <c:v>1.5152998296756004E-4</c:v>
                </c:pt>
                <c:pt idx="9">
                  <c:v>1.2570624230220329E-4</c:v>
                </c:pt>
              </c:numCache>
            </c:numRef>
          </c:yVal>
          <c:smooth val="1"/>
          <c:extLst>
            <c:ext xmlns:c16="http://schemas.microsoft.com/office/drawing/2014/chart" uri="{C3380CC4-5D6E-409C-BE32-E72D297353CC}">
              <c16:uniqueId val="{00000003-C90D-4AFA-A8F6-B4E4E7FAA6C2}"/>
            </c:ext>
          </c:extLst>
        </c:ser>
        <c:dLbls>
          <c:showLegendKey val="0"/>
          <c:showVal val="0"/>
          <c:showCatName val="0"/>
          <c:showSerName val="0"/>
          <c:showPercent val="0"/>
          <c:showBubbleSize val="0"/>
        </c:dLbls>
        <c:axId val="1579449071"/>
        <c:axId val="1577398367"/>
      </c:scatterChart>
      <c:valAx>
        <c:axId val="15794490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77398367"/>
        <c:crosses val="autoZero"/>
        <c:crossBetween val="midCat"/>
      </c:valAx>
      <c:valAx>
        <c:axId val="1577398367"/>
        <c:scaling>
          <c:orientation val="minMax"/>
          <c:min val="5.0000000000000023E-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NZ"/>
                  <a:t>Percentage</a:t>
                </a:r>
                <a:r>
                  <a:rPr lang="en-NZ" baseline="0"/>
                  <a:t> of NZ Population</a:t>
                </a:r>
                <a:endParaRPr lang="en-NZ"/>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79449071"/>
        <c:crosses val="autoZero"/>
        <c:crossBetween val="midCat"/>
        <c:majorUnit val="5.0000000000000023E-5"/>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b="0">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Paralucent Light" pitchFamily="50" charset="0"/>
                <a:ea typeface="+mn-ea"/>
                <a:cs typeface="+mn-cs"/>
              </a:defRPr>
            </a:pPr>
            <a:r>
              <a:rPr lang="en-NZ"/>
              <a:t>Electrician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aralucent Light" pitchFamily="50" charset="0"/>
              <a:ea typeface="+mn-ea"/>
              <a:cs typeface="+mn-cs"/>
            </a:defRPr>
          </a:pPr>
          <a:endParaRPr lang="en-US"/>
        </a:p>
      </c:txPr>
    </c:title>
    <c:autoTitleDeleted val="0"/>
    <c:plotArea>
      <c:layout>
        <c:manualLayout>
          <c:layoutTarget val="inner"/>
          <c:xMode val="edge"/>
          <c:yMode val="edge"/>
          <c:x val="0.15705336832895889"/>
          <c:y val="0.1388888888888889"/>
          <c:w val="0.60226531058617672"/>
          <c:h val="0.75371172353455818"/>
        </c:manualLayout>
      </c:layout>
      <c:scatterChart>
        <c:scatterStyle val="lineMarker"/>
        <c:varyColors val="0"/>
        <c:ser>
          <c:idx val="0"/>
          <c:order val="0"/>
          <c:tx>
            <c:v>Total Personnel Requirement</c:v>
          </c:tx>
          <c:spPr>
            <a:ln w="19050" cap="rnd">
              <a:solidFill>
                <a:schemeClr val="bg1">
                  <a:lumMod val="75000"/>
                </a:schemeClr>
              </a:solidFill>
              <a:prstDash val="sysDash"/>
              <a:round/>
            </a:ln>
            <a:effectLst/>
          </c:spPr>
          <c:marker>
            <c:symbol val="none"/>
          </c:marker>
          <c:xVal>
            <c:numRef>
              <c:f>'Personnel Analysis'!$D$71:$AD$71</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xVal>
          <c:yVal>
            <c:numRef>
              <c:f>'Personnel Analysis'!$D$78:$AD$78</c:f>
              <c:numCache>
                <c:formatCode>#,##0</c:formatCode>
                <c:ptCount val="27"/>
                <c:pt idx="0">
                  <c:v>2065.4885714285715</c:v>
                </c:pt>
                <c:pt idx="1">
                  <c:v>2065.4885714285715</c:v>
                </c:pt>
                <c:pt idx="2">
                  <c:v>2065.4885714285715</c:v>
                </c:pt>
                <c:pt idx="3">
                  <c:v>2065.4885714285715</c:v>
                </c:pt>
                <c:pt idx="4">
                  <c:v>2065.4885714285715</c:v>
                </c:pt>
                <c:pt idx="5">
                  <c:v>2065.4885714285715</c:v>
                </c:pt>
                <c:pt idx="6">
                  <c:v>2065.4885714285715</c:v>
                </c:pt>
                <c:pt idx="7">
                  <c:v>2065.4885714285715</c:v>
                </c:pt>
                <c:pt idx="8">
                  <c:v>2065.4885714285715</c:v>
                </c:pt>
                <c:pt idx="9">
                  <c:v>2065.4885714285715</c:v>
                </c:pt>
                <c:pt idx="10">
                  <c:v>2065.4885714285715</c:v>
                </c:pt>
                <c:pt idx="11">
                  <c:v>2065.4885714285715</c:v>
                </c:pt>
                <c:pt idx="12">
                  <c:v>2065.4885714285715</c:v>
                </c:pt>
                <c:pt idx="13">
                  <c:v>2065.4885714285715</c:v>
                </c:pt>
                <c:pt idx="14">
                  <c:v>2065.4885714285715</c:v>
                </c:pt>
                <c:pt idx="15">
                  <c:v>2065.4885714285715</c:v>
                </c:pt>
                <c:pt idx="16">
                  <c:v>2065.4885714285715</c:v>
                </c:pt>
                <c:pt idx="17">
                  <c:v>2065.4885714285715</c:v>
                </c:pt>
                <c:pt idx="18">
                  <c:v>2065.4885714285715</c:v>
                </c:pt>
                <c:pt idx="19">
                  <c:v>2065.4885714285715</c:v>
                </c:pt>
                <c:pt idx="20">
                  <c:v>2065.4885714285715</c:v>
                </c:pt>
                <c:pt idx="21">
                  <c:v>2065.4885714285715</c:v>
                </c:pt>
                <c:pt idx="22">
                  <c:v>2065.4885714285715</c:v>
                </c:pt>
                <c:pt idx="23">
                  <c:v>2065.4885714285715</c:v>
                </c:pt>
                <c:pt idx="24">
                  <c:v>2065.4885714285715</c:v>
                </c:pt>
                <c:pt idx="25">
                  <c:v>2065.4885714285715</c:v>
                </c:pt>
                <c:pt idx="26">
                  <c:v>2065.4885714285715</c:v>
                </c:pt>
              </c:numCache>
            </c:numRef>
          </c:yVal>
          <c:smooth val="0"/>
          <c:extLst>
            <c:ext xmlns:c16="http://schemas.microsoft.com/office/drawing/2014/chart" uri="{C3380CC4-5D6E-409C-BE32-E72D297353CC}">
              <c16:uniqueId val="{00000000-94B0-423C-AC42-47DF5E325C42}"/>
            </c:ext>
          </c:extLst>
        </c:ser>
        <c:ser>
          <c:idx val="1"/>
          <c:order val="1"/>
          <c:tx>
            <c:v>Cumulative Personnel Allocated</c:v>
          </c:tx>
          <c:spPr>
            <a:ln w="19050" cap="rnd">
              <a:solidFill>
                <a:schemeClr val="accent2"/>
              </a:solidFill>
              <a:round/>
            </a:ln>
            <a:effectLst/>
          </c:spPr>
          <c:marker>
            <c:symbol val="none"/>
          </c:marker>
          <c:xVal>
            <c:numRef>
              <c:f>'Personnel Analysis'!$D$71:$AD$71</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xVal>
          <c:yVal>
            <c:numRef>
              <c:f>'Personnel Analysis'!$D$80:$AD$80</c:f>
              <c:numCache>
                <c:formatCode>#,##0</c:formatCode>
                <c:ptCount val="27"/>
                <c:pt idx="0">
                  <c:v>0</c:v>
                </c:pt>
                <c:pt idx="1">
                  <c:v>92.46786334684424</c:v>
                </c:pt>
                <c:pt idx="2">
                  <c:v>184.37922698320787</c:v>
                </c:pt>
                <c:pt idx="3">
                  <c:v>275.68434947763996</c:v>
                </c:pt>
                <c:pt idx="4">
                  <c:v>366.27682083606874</c:v>
                </c:pt>
                <c:pt idx="5">
                  <c:v>456.18484222644304</c:v>
                </c:pt>
                <c:pt idx="6">
                  <c:v>545.27975570310798</c:v>
                </c:pt>
                <c:pt idx="7">
                  <c:v>633.62320043318505</c:v>
                </c:pt>
                <c:pt idx="8">
                  <c:v>721.16934264195959</c:v>
                </c:pt>
                <c:pt idx="9">
                  <c:v>807.90524768646992</c:v>
                </c:pt>
                <c:pt idx="10">
                  <c:v>893.90330593889712</c:v>
                </c:pt>
                <c:pt idx="11">
                  <c:v>979.22012347105533</c:v>
                </c:pt>
                <c:pt idx="12">
                  <c:v>1063.7717831250993</c:v>
                </c:pt>
                <c:pt idx="13">
                  <c:v>1147.624859341812</c:v>
                </c:pt>
                <c:pt idx="14">
                  <c:v>1230.7289602881842</c:v>
                </c:pt>
                <c:pt idx="15">
                  <c:v>1313.8684025192599</c:v>
                </c:pt>
                <c:pt idx="16">
                  <c:v>1396.390784092489</c:v>
                </c:pt>
                <c:pt idx="17">
                  <c:v>1478.3532093700296</c:v>
                </c:pt>
                <c:pt idx="18">
                  <c:v>1559.6787127257344</c:v>
                </c:pt>
                <c:pt idx="19">
                  <c:v>1640.4170728411032</c:v>
                </c:pt>
                <c:pt idx="20">
                  <c:v>1720.6212040683206</c:v>
                </c:pt>
                <c:pt idx="21">
                  <c:v>1800.2455574308356</c:v>
                </c:pt>
                <c:pt idx="22">
                  <c:v>1879.3100861754581</c:v>
                </c:pt>
                <c:pt idx="23">
                  <c:v>1957.8070092523812</c:v>
                </c:pt>
                <c:pt idx="24">
                  <c:v>2035.7812906442118</c:v>
                </c:pt>
                <c:pt idx="25">
                  <c:v>2113.1924430605686</c:v>
                </c:pt>
                <c:pt idx="26">
                  <c:v>2190.0875070459433</c:v>
                </c:pt>
              </c:numCache>
            </c:numRef>
          </c:yVal>
          <c:smooth val="0"/>
          <c:extLst>
            <c:ext xmlns:c16="http://schemas.microsoft.com/office/drawing/2014/chart" uri="{C3380CC4-5D6E-409C-BE32-E72D297353CC}">
              <c16:uniqueId val="{00000001-94B0-423C-AC42-47DF5E325C42}"/>
            </c:ext>
          </c:extLst>
        </c:ser>
        <c:dLbls>
          <c:showLegendKey val="0"/>
          <c:showVal val="0"/>
          <c:showCatName val="0"/>
          <c:showSerName val="0"/>
          <c:showPercent val="0"/>
          <c:showBubbleSize val="0"/>
        </c:dLbls>
        <c:axId val="1907151887"/>
        <c:axId val="772715423"/>
      </c:scatterChart>
      <c:valAx>
        <c:axId val="1907151887"/>
        <c:scaling>
          <c:orientation val="minMax"/>
          <c:max val="2050"/>
          <c:min val="202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crossAx val="772715423"/>
        <c:crosses val="autoZero"/>
        <c:crossBetween val="midCat"/>
      </c:valAx>
      <c:valAx>
        <c:axId val="7727154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aralucent Light" pitchFamily="50" charset="0"/>
                    <a:ea typeface="+mn-ea"/>
                    <a:cs typeface="+mn-cs"/>
                  </a:defRPr>
                </a:pPr>
                <a:r>
                  <a:rPr lang="en-NZ"/>
                  <a:t>Number of Personnel</a:t>
                </a:r>
              </a:p>
            </c:rich>
          </c:tx>
          <c:layout>
            <c:manualLayout>
              <c:xMode val="edge"/>
              <c:yMode val="edge"/>
              <c:x val="3.0555555555555555E-2"/>
              <c:y val="0.2730362350539515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aralucent Light" pitchFamily="50"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crossAx val="1907151887"/>
        <c:crosses val="autoZero"/>
        <c:crossBetween val="midCat"/>
      </c:valAx>
      <c:spPr>
        <a:noFill/>
        <a:ln>
          <a:noFill/>
        </a:ln>
        <a:effectLst/>
      </c:spPr>
    </c:plotArea>
    <c:legend>
      <c:legendPos val="r"/>
      <c:layout>
        <c:manualLayout>
          <c:xMode val="edge"/>
          <c:yMode val="edge"/>
          <c:x val="0.7596520122484689"/>
          <c:y val="0.29282298046077571"/>
          <c:w val="0.24034798775153104"/>
          <c:h val="0.493057742782152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ralucent Light" pitchFamily="50"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Paralucent Light" pitchFamily="50" charset="0"/>
                <a:ea typeface="+mn-ea"/>
                <a:cs typeface="+mn-cs"/>
              </a:defRPr>
            </a:pPr>
            <a:r>
              <a:rPr lang="en-NZ"/>
              <a:t>Design Engineer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aralucent Light" pitchFamily="50" charset="0"/>
              <a:ea typeface="+mn-ea"/>
              <a:cs typeface="+mn-cs"/>
            </a:defRPr>
          </a:pPr>
          <a:endParaRPr lang="en-US"/>
        </a:p>
      </c:txPr>
    </c:title>
    <c:autoTitleDeleted val="0"/>
    <c:plotArea>
      <c:layout>
        <c:manualLayout>
          <c:layoutTarget val="inner"/>
          <c:xMode val="edge"/>
          <c:yMode val="edge"/>
          <c:x val="0.15705336832895889"/>
          <c:y val="0.1388888888888889"/>
          <c:w val="0.60226531058617672"/>
          <c:h val="0.75371172353455818"/>
        </c:manualLayout>
      </c:layout>
      <c:scatterChart>
        <c:scatterStyle val="lineMarker"/>
        <c:varyColors val="0"/>
        <c:ser>
          <c:idx val="0"/>
          <c:order val="0"/>
          <c:tx>
            <c:v>Total Personnel Requirement</c:v>
          </c:tx>
          <c:spPr>
            <a:ln w="19050" cap="rnd">
              <a:solidFill>
                <a:schemeClr val="bg1">
                  <a:lumMod val="75000"/>
                </a:schemeClr>
              </a:solidFill>
              <a:prstDash val="sysDash"/>
              <a:round/>
            </a:ln>
            <a:effectLst/>
          </c:spPr>
          <c:marker>
            <c:symbol val="none"/>
          </c:marker>
          <c:xVal>
            <c:numRef>
              <c:f>'Personnel Analysis'!$D$71:$AD$71</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xVal>
          <c:yVal>
            <c:numRef>
              <c:f>'Personnel Analysis'!$D$72:$AD$72</c:f>
              <c:numCache>
                <c:formatCode>#,##0</c:formatCode>
                <c:ptCount val="27"/>
                <c:pt idx="0">
                  <c:v>1004.3733333333333</c:v>
                </c:pt>
                <c:pt idx="1">
                  <c:v>1004.3733333333333</c:v>
                </c:pt>
                <c:pt idx="2">
                  <c:v>1004.3733333333333</c:v>
                </c:pt>
                <c:pt idx="3">
                  <c:v>1004.3733333333333</c:v>
                </c:pt>
                <c:pt idx="4">
                  <c:v>1004.3733333333333</c:v>
                </c:pt>
                <c:pt idx="5">
                  <c:v>1004.3733333333333</c:v>
                </c:pt>
                <c:pt idx="6">
                  <c:v>1004.3733333333333</c:v>
                </c:pt>
                <c:pt idx="7">
                  <c:v>1004.3733333333333</c:v>
                </c:pt>
                <c:pt idx="8">
                  <c:v>1004.3733333333333</c:v>
                </c:pt>
                <c:pt idx="9">
                  <c:v>1004.3733333333333</c:v>
                </c:pt>
                <c:pt idx="10">
                  <c:v>1004.3733333333333</c:v>
                </c:pt>
                <c:pt idx="11">
                  <c:v>1004.3733333333333</c:v>
                </c:pt>
                <c:pt idx="12">
                  <c:v>1004.3733333333333</c:v>
                </c:pt>
                <c:pt idx="13">
                  <c:v>1004.3733333333333</c:v>
                </c:pt>
                <c:pt idx="14">
                  <c:v>1004.3733333333333</c:v>
                </c:pt>
                <c:pt idx="15">
                  <c:v>1004.3733333333333</c:v>
                </c:pt>
                <c:pt idx="16">
                  <c:v>1004.3733333333333</c:v>
                </c:pt>
                <c:pt idx="17">
                  <c:v>1004.3733333333333</c:v>
                </c:pt>
                <c:pt idx="18">
                  <c:v>1004.3733333333333</c:v>
                </c:pt>
                <c:pt idx="19">
                  <c:v>1004.3733333333333</c:v>
                </c:pt>
                <c:pt idx="20">
                  <c:v>1004.3733333333333</c:v>
                </c:pt>
                <c:pt idx="21">
                  <c:v>1004.3733333333333</c:v>
                </c:pt>
                <c:pt idx="22">
                  <c:v>1004.3733333333333</c:v>
                </c:pt>
                <c:pt idx="23">
                  <c:v>1004.3733333333333</c:v>
                </c:pt>
                <c:pt idx="24">
                  <c:v>1004.3733333333333</c:v>
                </c:pt>
                <c:pt idx="25">
                  <c:v>1004.3733333333333</c:v>
                </c:pt>
                <c:pt idx="26">
                  <c:v>1004.3733333333333</c:v>
                </c:pt>
              </c:numCache>
            </c:numRef>
          </c:yVal>
          <c:smooth val="0"/>
          <c:extLst>
            <c:ext xmlns:c16="http://schemas.microsoft.com/office/drawing/2014/chart" uri="{C3380CC4-5D6E-409C-BE32-E72D297353CC}">
              <c16:uniqueId val="{00000000-3095-4CCC-88BC-0A1E4C8C285A}"/>
            </c:ext>
          </c:extLst>
        </c:ser>
        <c:ser>
          <c:idx val="1"/>
          <c:order val="1"/>
          <c:tx>
            <c:v>Cumulative Personnel Allocated</c:v>
          </c:tx>
          <c:spPr>
            <a:ln w="19050" cap="rnd">
              <a:solidFill>
                <a:schemeClr val="accent4">
                  <a:lumMod val="75000"/>
                </a:schemeClr>
              </a:solidFill>
              <a:round/>
            </a:ln>
            <a:effectLst/>
          </c:spPr>
          <c:marker>
            <c:symbol val="none"/>
          </c:marker>
          <c:xVal>
            <c:numRef>
              <c:f>'Personnel Analysis'!$D$71:$AD$71</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xVal>
          <c:yVal>
            <c:numRef>
              <c:f>'Personnel Analysis'!$D$74:$AD$74</c:f>
              <c:numCache>
                <c:formatCode>#,##0</c:formatCode>
                <c:ptCount val="27"/>
                <c:pt idx="0">
                  <c:v>0</c:v>
                </c:pt>
                <c:pt idx="1">
                  <c:v>53.652791878172593</c:v>
                </c:pt>
                <c:pt idx="2">
                  <c:v>106.79564902102973</c:v>
                </c:pt>
                <c:pt idx="3">
                  <c:v>159.34937602974222</c:v>
                </c:pt>
                <c:pt idx="4">
                  <c:v>211.32288596351705</c:v>
                </c:pt>
                <c:pt idx="5">
                  <c:v>262.76096359752813</c:v>
                </c:pt>
                <c:pt idx="6">
                  <c:v>313.55771156500782</c:v>
                </c:pt>
                <c:pt idx="7">
                  <c:v>363.6971643452373</c:v>
                </c:pt>
                <c:pt idx="8">
                  <c:v>413.3137446561181</c:v>
                </c:pt>
                <c:pt idx="9">
                  <c:v>462.32725816963159</c:v>
                </c:pt>
                <c:pt idx="10">
                  <c:v>510.82312593822661</c:v>
                </c:pt>
                <c:pt idx="11">
                  <c:v>558.72611704574479</c:v>
                </c:pt>
                <c:pt idx="12">
                  <c:v>606.09903866094669</c:v>
                </c:pt>
                <c:pt idx="13">
                  <c:v>653.01913175636946</c:v>
                </c:pt>
                <c:pt idx="14">
                  <c:v>699.41426853448502</c:v>
                </c:pt>
                <c:pt idx="15">
                  <c:v>745.64641139162791</c:v>
                </c:pt>
                <c:pt idx="16">
                  <c:v>791.4598224703451</c:v>
                </c:pt>
                <c:pt idx="17">
                  <c:v>836.85224562974463</c:v>
                </c:pt>
                <c:pt idx="18">
                  <c:v>881.77661537764379</c:v>
                </c:pt>
                <c:pt idx="19">
                  <c:v>926.30098051148047</c:v>
                </c:pt>
                <c:pt idx="20">
                  <c:v>970.3925013728533</c:v>
                </c:pt>
                <c:pt idx="21">
                  <c:v>1014.1441526278071</c:v>
                </c:pt>
                <c:pt idx="22">
                  <c:v>1057.4653961511231</c:v>
                </c:pt>
                <c:pt idx="23">
                  <c:v>1100.372638844897</c:v>
                </c:pt>
                <c:pt idx="24">
                  <c:v>1142.9528010407796</c:v>
                </c:pt>
                <c:pt idx="25">
                  <c:v>1185.1217116894945</c:v>
                </c:pt>
                <c:pt idx="26">
                  <c:v>1226.9882180033851</c:v>
                </c:pt>
              </c:numCache>
            </c:numRef>
          </c:yVal>
          <c:smooth val="0"/>
          <c:extLst>
            <c:ext xmlns:c16="http://schemas.microsoft.com/office/drawing/2014/chart" uri="{C3380CC4-5D6E-409C-BE32-E72D297353CC}">
              <c16:uniqueId val="{00000001-3095-4CCC-88BC-0A1E4C8C285A}"/>
            </c:ext>
          </c:extLst>
        </c:ser>
        <c:dLbls>
          <c:showLegendKey val="0"/>
          <c:showVal val="0"/>
          <c:showCatName val="0"/>
          <c:showSerName val="0"/>
          <c:showPercent val="0"/>
          <c:showBubbleSize val="0"/>
        </c:dLbls>
        <c:axId val="1907151887"/>
        <c:axId val="772715423"/>
      </c:scatterChart>
      <c:valAx>
        <c:axId val="1907151887"/>
        <c:scaling>
          <c:orientation val="minMax"/>
          <c:max val="2050"/>
          <c:min val="202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crossAx val="772715423"/>
        <c:crosses val="autoZero"/>
        <c:crossBetween val="midCat"/>
      </c:valAx>
      <c:valAx>
        <c:axId val="7727154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aralucent Light" pitchFamily="50" charset="0"/>
                    <a:ea typeface="+mn-ea"/>
                    <a:cs typeface="+mn-cs"/>
                  </a:defRPr>
                </a:pPr>
                <a:r>
                  <a:rPr lang="en-NZ"/>
                  <a:t>Number of Personnel</a:t>
                </a:r>
              </a:p>
            </c:rich>
          </c:tx>
          <c:layout>
            <c:manualLayout>
              <c:xMode val="edge"/>
              <c:yMode val="edge"/>
              <c:x val="2.0850424629728644E-2"/>
              <c:y val="0.2101872166291646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aralucent Light" pitchFamily="50"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crossAx val="1907151887"/>
        <c:crosses val="autoZero"/>
        <c:crossBetween val="midCat"/>
      </c:valAx>
      <c:spPr>
        <a:noFill/>
        <a:ln>
          <a:noFill/>
        </a:ln>
        <a:effectLst/>
      </c:spPr>
    </c:plotArea>
    <c:legend>
      <c:legendPos val="r"/>
      <c:layout>
        <c:manualLayout>
          <c:xMode val="edge"/>
          <c:yMode val="edge"/>
          <c:x val="0.7596520122484689"/>
          <c:y val="0.29282298046077571"/>
          <c:w val="0.24034798775153104"/>
          <c:h val="0.493057742782152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ralucent Light" pitchFamily="50"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Paralucent Light" pitchFamily="50" charset="0"/>
                <a:ea typeface="+mn-ea"/>
                <a:cs typeface="+mn-cs"/>
              </a:defRPr>
            </a:pPr>
            <a:r>
              <a:rPr lang="en-NZ"/>
              <a:t>Electrical Engineer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aralucent Light" pitchFamily="50" charset="0"/>
              <a:ea typeface="+mn-ea"/>
              <a:cs typeface="+mn-cs"/>
            </a:defRPr>
          </a:pPr>
          <a:endParaRPr lang="en-US"/>
        </a:p>
      </c:txPr>
    </c:title>
    <c:autoTitleDeleted val="0"/>
    <c:plotArea>
      <c:layout>
        <c:manualLayout>
          <c:layoutTarget val="inner"/>
          <c:xMode val="edge"/>
          <c:yMode val="edge"/>
          <c:x val="0.15705336832895889"/>
          <c:y val="0.1388888888888889"/>
          <c:w val="0.60226531058617672"/>
          <c:h val="0.75371172353455818"/>
        </c:manualLayout>
      </c:layout>
      <c:scatterChart>
        <c:scatterStyle val="lineMarker"/>
        <c:varyColors val="0"/>
        <c:ser>
          <c:idx val="0"/>
          <c:order val="0"/>
          <c:tx>
            <c:v>Total Personnel Requirement</c:v>
          </c:tx>
          <c:spPr>
            <a:ln w="19050" cap="rnd">
              <a:solidFill>
                <a:schemeClr val="bg1">
                  <a:lumMod val="75000"/>
                </a:schemeClr>
              </a:solidFill>
              <a:prstDash val="sysDash"/>
              <a:round/>
            </a:ln>
            <a:effectLst/>
          </c:spPr>
          <c:marker>
            <c:symbol val="none"/>
          </c:marker>
          <c:xVal>
            <c:numRef>
              <c:f>'Personnel Analysis'!$D$71:$AD$71</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xVal>
          <c:yVal>
            <c:numRef>
              <c:f>'Personnel Analysis'!$D$75:$AD$75</c:f>
              <c:numCache>
                <c:formatCode>#,##0</c:formatCode>
                <c:ptCount val="27"/>
                <c:pt idx="0">
                  <c:v>894.73333333333335</c:v>
                </c:pt>
                <c:pt idx="1">
                  <c:v>894.73333333333335</c:v>
                </c:pt>
                <c:pt idx="2">
                  <c:v>894.73333333333335</c:v>
                </c:pt>
                <c:pt idx="3">
                  <c:v>894.73333333333335</c:v>
                </c:pt>
                <c:pt idx="4">
                  <c:v>894.73333333333335</c:v>
                </c:pt>
                <c:pt idx="5">
                  <c:v>894.73333333333335</c:v>
                </c:pt>
                <c:pt idx="6">
                  <c:v>894.73333333333335</c:v>
                </c:pt>
                <c:pt idx="7">
                  <c:v>894.73333333333335</c:v>
                </c:pt>
                <c:pt idx="8">
                  <c:v>894.73333333333335</c:v>
                </c:pt>
                <c:pt idx="9">
                  <c:v>894.73333333333335</c:v>
                </c:pt>
                <c:pt idx="10">
                  <c:v>894.73333333333335</c:v>
                </c:pt>
                <c:pt idx="11">
                  <c:v>894.73333333333335</c:v>
                </c:pt>
                <c:pt idx="12">
                  <c:v>894.73333333333335</c:v>
                </c:pt>
                <c:pt idx="13">
                  <c:v>894.73333333333335</c:v>
                </c:pt>
                <c:pt idx="14">
                  <c:v>894.73333333333335</c:v>
                </c:pt>
                <c:pt idx="15">
                  <c:v>894.73333333333335</c:v>
                </c:pt>
                <c:pt idx="16">
                  <c:v>894.73333333333335</c:v>
                </c:pt>
                <c:pt idx="17">
                  <c:v>894.73333333333335</c:v>
                </c:pt>
                <c:pt idx="18">
                  <c:v>894.73333333333335</c:v>
                </c:pt>
                <c:pt idx="19">
                  <c:v>894.73333333333335</c:v>
                </c:pt>
                <c:pt idx="20">
                  <c:v>894.73333333333335</c:v>
                </c:pt>
                <c:pt idx="21">
                  <c:v>894.73333333333335</c:v>
                </c:pt>
                <c:pt idx="22">
                  <c:v>894.73333333333335</c:v>
                </c:pt>
                <c:pt idx="23">
                  <c:v>894.73333333333335</c:v>
                </c:pt>
                <c:pt idx="24">
                  <c:v>894.73333333333335</c:v>
                </c:pt>
                <c:pt idx="25">
                  <c:v>894.73333333333335</c:v>
                </c:pt>
                <c:pt idx="26">
                  <c:v>894.73333333333335</c:v>
                </c:pt>
              </c:numCache>
            </c:numRef>
          </c:yVal>
          <c:smooth val="0"/>
          <c:extLst>
            <c:ext xmlns:c16="http://schemas.microsoft.com/office/drawing/2014/chart" uri="{C3380CC4-5D6E-409C-BE32-E72D297353CC}">
              <c16:uniqueId val="{00000000-4EF9-4961-A056-8A32EEFED2F4}"/>
            </c:ext>
          </c:extLst>
        </c:ser>
        <c:ser>
          <c:idx val="1"/>
          <c:order val="1"/>
          <c:tx>
            <c:v>Cumulative Personnel Allocated</c:v>
          </c:tx>
          <c:spPr>
            <a:ln w="19050" cap="rnd">
              <a:solidFill>
                <a:schemeClr val="accent6">
                  <a:lumMod val="75000"/>
                </a:schemeClr>
              </a:solidFill>
              <a:round/>
            </a:ln>
            <a:effectLst/>
          </c:spPr>
          <c:marker>
            <c:symbol val="none"/>
          </c:marker>
          <c:xVal>
            <c:numRef>
              <c:f>'Personnel Analysis'!$D$71:$AD$71</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xVal>
          <c:yVal>
            <c:numRef>
              <c:f>'Personnel Analysis'!$D$77:$AD$77</c:f>
              <c:numCache>
                <c:formatCode>#,##0</c:formatCode>
                <c:ptCount val="27"/>
                <c:pt idx="0">
                  <c:v>0</c:v>
                </c:pt>
                <c:pt idx="1">
                  <c:v>126.77185501066099</c:v>
                </c:pt>
                <c:pt idx="2">
                  <c:v>247.70358191829149</c:v>
                </c:pt>
                <c:pt idx="3">
                  <c:v>362.90358191829148</c:v>
                </c:pt>
                <c:pt idx="4">
                  <c:v>472.71530483125775</c:v>
                </c:pt>
                <c:pt idx="5">
                  <c:v>577.73543905944564</c:v>
                </c:pt>
                <c:pt idx="6">
                  <c:v>678.20528032928689</c:v>
                </c:pt>
                <c:pt idx="7">
                  <c:v>774.63966946955838</c:v>
                </c:pt>
                <c:pt idx="8">
                  <c:v>867.3799851080089</c:v>
                </c:pt>
                <c:pt idx="9">
                  <c:v>956.80464264225543</c:v>
                </c:pt>
                <c:pt idx="10">
                  <c:v>1043.0582374134972</c:v>
                </c:pt>
                <c:pt idx="11">
                  <c:v>1126.6271597192615</c:v>
                </c:pt>
                <c:pt idx="12">
                  <c:v>1207.4530900914103</c:v>
                </c:pt>
                <c:pt idx="13">
                  <c:v>1285.9213715216295</c:v>
                </c:pt>
                <c:pt idx="14">
                  <c:v>1362.0544092156429</c:v>
                </c:pt>
                <c:pt idx="15">
                  <c:v>1436.6301021793956</c:v>
                </c:pt>
                <c:pt idx="16">
                  <c:v>1509.3125276675764</c:v>
                </c:pt>
                <c:pt idx="17">
                  <c:v>1580.0293593507447</c:v>
                </c:pt>
                <c:pt idx="18">
                  <c:v>1649.0465677637467</c:v>
                </c:pt>
                <c:pt idx="19">
                  <c:v>1716.4149888163784</c:v>
                </c:pt>
                <c:pt idx="20">
                  <c:v>1782.3023882801854</c:v>
                </c:pt>
                <c:pt idx="21">
                  <c:v>1846.7452948545799</c:v>
                </c:pt>
                <c:pt idx="22">
                  <c:v>1909.8333082661475</c:v>
                </c:pt>
                <c:pt idx="23">
                  <c:v>1971.5977274375527</c:v>
                </c:pt>
                <c:pt idx="24">
                  <c:v>2032.0701683824345</c:v>
                </c:pt>
                <c:pt idx="25">
                  <c:v>2091.3729206760127</c:v>
                </c:pt>
                <c:pt idx="26">
                  <c:v>2149.4813096886332</c:v>
                </c:pt>
              </c:numCache>
            </c:numRef>
          </c:yVal>
          <c:smooth val="0"/>
          <c:extLst>
            <c:ext xmlns:c16="http://schemas.microsoft.com/office/drawing/2014/chart" uri="{C3380CC4-5D6E-409C-BE32-E72D297353CC}">
              <c16:uniqueId val="{00000001-4EF9-4961-A056-8A32EEFED2F4}"/>
            </c:ext>
          </c:extLst>
        </c:ser>
        <c:dLbls>
          <c:showLegendKey val="0"/>
          <c:showVal val="0"/>
          <c:showCatName val="0"/>
          <c:showSerName val="0"/>
          <c:showPercent val="0"/>
          <c:showBubbleSize val="0"/>
        </c:dLbls>
        <c:axId val="1907151887"/>
        <c:axId val="772715423"/>
      </c:scatterChart>
      <c:valAx>
        <c:axId val="1907151887"/>
        <c:scaling>
          <c:orientation val="minMax"/>
          <c:max val="2050"/>
          <c:min val="202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crossAx val="772715423"/>
        <c:crosses val="autoZero"/>
        <c:crossBetween val="midCat"/>
      </c:valAx>
      <c:valAx>
        <c:axId val="7727154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aralucent Light" pitchFamily="50" charset="0"/>
                    <a:ea typeface="+mn-ea"/>
                    <a:cs typeface="+mn-cs"/>
                  </a:defRPr>
                </a:pPr>
                <a:r>
                  <a:rPr lang="en-NZ"/>
                  <a:t>Number of Personnel</a:t>
                </a:r>
              </a:p>
            </c:rich>
          </c:tx>
          <c:layout>
            <c:manualLayout>
              <c:xMode val="edge"/>
              <c:yMode val="edge"/>
              <c:x val="3.0555555555555555E-2"/>
              <c:y val="0.2730362350539515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aralucent Light" pitchFamily="50"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crossAx val="1907151887"/>
        <c:crosses val="autoZero"/>
        <c:crossBetween val="midCat"/>
      </c:valAx>
      <c:spPr>
        <a:noFill/>
        <a:ln>
          <a:noFill/>
        </a:ln>
        <a:effectLst/>
      </c:spPr>
    </c:plotArea>
    <c:legend>
      <c:legendPos val="r"/>
      <c:layout>
        <c:manualLayout>
          <c:xMode val="edge"/>
          <c:yMode val="edge"/>
          <c:x val="0.7596520122484689"/>
          <c:y val="0.29282298046077571"/>
          <c:w val="0.24034798775153104"/>
          <c:h val="0.493057742782152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ralucent Light" pitchFamily="50"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Paralucent Light" pitchFamily="50" charset="0"/>
                <a:ea typeface="+mn-ea"/>
                <a:cs typeface="+mn-cs"/>
              </a:defRPr>
            </a:pPr>
            <a:r>
              <a:rPr lang="en-NZ"/>
              <a:t>Fitter &amp; Turner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aralucent Light" pitchFamily="50" charset="0"/>
              <a:ea typeface="+mn-ea"/>
              <a:cs typeface="+mn-cs"/>
            </a:defRPr>
          </a:pPr>
          <a:endParaRPr lang="en-US"/>
        </a:p>
      </c:txPr>
    </c:title>
    <c:autoTitleDeleted val="0"/>
    <c:plotArea>
      <c:layout>
        <c:manualLayout>
          <c:layoutTarget val="inner"/>
          <c:xMode val="edge"/>
          <c:yMode val="edge"/>
          <c:x val="0.15705336832895889"/>
          <c:y val="0.1388888888888889"/>
          <c:w val="0.60226531058617672"/>
          <c:h val="0.75371172353455818"/>
        </c:manualLayout>
      </c:layout>
      <c:scatterChart>
        <c:scatterStyle val="lineMarker"/>
        <c:varyColors val="0"/>
        <c:ser>
          <c:idx val="0"/>
          <c:order val="0"/>
          <c:tx>
            <c:v>Total Personnel Requirement</c:v>
          </c:tx>
          <c:spPr>
            <a:ln w="19050" cap="rnd">
              <a:solidFill>
                <a:schemeClr val="bg1">
                  <a:lumMod val="75000"/>
                </a:schemeClr>
              </a:solidFill>
              <a:prstDash val="sysDash"/>
              <a:round/>
            </a:ln>
            <a:effectLst/>
          </c:spPr>
          <c:marker>
            <c:symbol val="none"/>
          </c:marker>
          <c:xVal>
            <c:numRef>
              <c:f>'Personnel Analysis'!$D$71:$AD$71</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xVal>
          <c:yVal>
            <c:numRef>
              <c:f>'Personnel Analysis'!$D$81:$AD$81</c:f>
              <c:numCache>
                <c:formatCode>#,##0</c:formatCode>
                <c:ptCount val="27"/>
                <c:pt idx="0">
                  <c:v>2065.4914285714285</c:v>
                </c:pt>
                <c:pt idx="1">
                  <c:v>2065.4914285714285</c:v>
                </c:pt>
                <c:pt idx="2">
                  <c:v>2065.4914285714285</c:v>
                </c:pt>
                <c:pt idx="3">
                  <c:v>2065.4914285714285</c:v>
                </c:pt>
                <c:pt idx="4">
                  <c:v>2065.4914285714285</c:v>
                </c:pt>
                <c:pt idx="5">
                  <c:v>2065.4914285714285</c:v>
                </c:pt>
                <c:pt idx="6">
                  <c:v>2065.4914285714285</c:v>
                </c:pt>
                <c:pt idx="7">
                  <c:v>2065.4914285714285</c:v>
                </c:pt>
                <c:pt idx="8">
                  <c:v>2065.4914285714285</c:v>
                </c:pt>
                <c:pt idx="9">
                  <c:v>2065.4914285714285</c:v>
                </c:pt>
                <c:pt idx="10">
                  <c:v>2065.4914285714285</c:v>
                </c:pt>
                <c:pt idx="11">
                  <c:v>2065.4914285714285</c:v>
                </c:pt>
                <c:pt idx="12">
                  <c:v>2065.4914285714285</c:v>
                </c:pt>
                <c:pt idx="13">
                  <c:v>2065.4914285714285</c:v>
                </c:pt>
                <c:pt idx="14">
                  <c:v>2065.4914285714285</c:v>
                </c:pt>
                <c:pt idx="15">
                  <c:v>2065.4914285714285</c:v>
                </c:pt>
                <c:pt idx="16">
                  <c:v>2065.4914285714285</c:v>
                </c:pt>
                <c:pt idx="17">
                  <c:v>2065.4914285714285</c:v>
                </c:pt>
                <c:pt idx="18">
                  <c:v>2065.4914285714285</c:v>
                </c:pt>
                <c:pt idx="19">
                  <c:v>2065.4914285714285</c:v>
                </c:pt>
                <c:pt idx="20">
                  <c:v>2065.4914285714285</c:v>
                </c:pt>
                <c:pt idx="21">
                  <c:v>2065.4914285714285</c:v>
                </c:pt>
                <c:pt idx="22">
                  <c:v>2065.4914285714285</c:v>
                </c:pt>
                <c:pt idx="23">
                  <c:v>2065.4914285714285</c:v>
                </c:pt>
                <c:pt idx="24">
                  <c:v>2065.4914285714285</c:v>
                </c:pt>
                <c:pt idx="25">
                  <c:v>2065.4914285714285</c:v>
                </c:pt>
                <c:pt idx="26">
                  <c:v>2065.4914285714285</c:v>
                </c:pt>
              </c:numCache>
            </c:numRef>
          </c:yVal>
          <c:smooth val="0"/>
          <c:extLst>
            <c:ext xmlns:c16="http://schemas.microsoft.com/office/drawing/2014/chart" uri="{C3380CC4-5D6E-409C-BE32-E72D297353CC}">
              <c16:uniqueId val="{00000000-3535-424E-90E3-8B7C408E4530}"/>
            </c:ext>
          </c:extLst>
        </c:ser>
        <c:ser>
          <c:idx val="1"/>
          <c:order val="1"/>
          <c:tx>
            <c:v>Cumulative Personnel Allocated</c:v>
          </c:tx>
          <c:spPr>
            <a:ln w="19050" cap="rnd">
              <a:solidFill>
                <a:srgbClr val="0070C0"/>
              </a:solidFill>
              <a:round/>
            </a:ln>
            <a:effectLst/>
          </c:spPr>
          <c:marker>
            <c:symbol val="none"/>
          </c:marker>
          <c:xVal>
            <c:numRef>
              <c:f>'Personnel Analysis'!$D$71:$AD$71</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xVal>
          <c:yVal>
            <c:numRef>
              <c:f>'Personnel Analysis'!$D$83:$AD$83</c:f>
              <c:numCache>
                <c:formatCode>#,##0</c:formatCode>
                <c:ptCount val="27"/>
                <c:pt idx="0">
                  <c:v>0</c:v>
                </c:pt>
                <c:pt idx="1">
                  <c:v>148.15529905561385</c:v>
                </c:pt>
                <c:pt idx="2">
                  <c:v>293.89460659125541</c:v>
                </c:pt>
                <c:pt idx="3">
                  <c:v>436.65051210306643</c:v>
                </c:pt>
                <c:pt idx="4">
                  <c:v>576.34223427242887</c:v>
                </c:pt>
                <c:pt idx="5">
                  <c:v>713.3035602392797</c:v>
                </c:pt>
                <c:pt idx="6">
                  <c:v>847.30891260324051</c:v>
                </c:pt>
                <c:pt idx="7">
                  <c:v>978.66531398732354</c:v>
                </c:pt>
                <c:pt idx="8">
                  <c:v>1107.4203475443705</c:v>
                </c:pt>
                <c:pt idx="9">
                  <c:v>1233.8294754987307</c:v>
                </c:pt>
                <c:pt idx="10">
                  <c:v>1357.9244873752152</c:v>
                </c:pt>
                <c:pt idx="11">
                  <c:v>1479.7398719905998</c:v>
                </c:pt>
                <c:pt idx="12">
                  <c:v>1599.4913689965879</c:v>
                </c:pt>
                <c:pt idx="13">
                  <c:v>1717.09369965937</c:v>
                </c:pt>
                <c:pt idx="14">
                  <c:v>1832.7646216451856</c:v>
                </c:pt>
                <c:pt idx="15">
                  <c:v>1947.6027959190444</c:v>
                </c:pt>
                <c:pt idx="16">
                  <c:v>2060.6209777372264</c:v>
                </c:pt>
                <c:pt idx="17">
                  <c:v>2172.0825667063664</c:v>
                </c:pt>
                <c:pt idx="18">
                  <c:v>2281.898187705086</c:v>
                </c:pt>
                <c:pt idx="19">
                  <c:v>2390.2156877050861</c:v>
                </c:pt>
                <c:pt idx="20">
                  <c:v>2497.0393606764101</c:v>
                </c:pt>
                <c:pt idx="21">
                  <c:v>2602.375870503688</c:v>
                </c:pt>
                <c:pt idx="22">
                  <c:v>2706.4410625875066</c:v>
                </c:pt>
                <c:pt idx="23">
                  <c:v>2809.1486848855725</c:v>
                </c:pt>
                <c:pt idx="24">
                  <c:v>2910.5027704886852</c:v>
                </c:pt>
                <c:pt idx="25">
                  <c:v>3010.6180505321872</c:v>
                </c:pt>
                <c:pt idx="26">
                  <c:v>3109.4420803035855</c:v>
                </c:pt>
              </c:numCache>
            </c:numRef>
          </c:yVal>
          <c:smooth val="0"/>
          <c:extLst>
            <c:ext xmlns:c16="http://schemas.microsoft.com/office/drawing/2014/chart" uri="{C3380CC4-5D6E-409C-BE32-E72D297353CC}">
              <c16:uniqueId val="{00000001-3535-424E-90E3-8B7C408E4530}"/>
            </c:ext>
          </c:extLst>
        </c:ser>
        <c:dLbls>
          <c:showLegendKey val="0"/>
          <c:showVal val="0"/>
          <c:showCatName val="0"/>
          <c:showSerName val="0"/>
          <c:showPercent val="0"/>
          <c:showBubbleSize val="0"/>
        </c:dLbls>
        <c:axId val="1907151887"/>
        <c:axId val="772715423"/>
      </c:scatterChart>
      <c:valAx>
        <c:axId val="1907151887"/>
        <c:scaling>
          <c:orientation val="minMax"/>
          <c:max val="2050"/>
          <c:min val="202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crossAx val="772715423"/>
        <c:crosses val="autoZero"/>
        <c:crossBetween val="midCat"/>
      </c:valAx>
      <c:valAx>
        <c:axId val="7727154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aralucent Light" pitchFamily="50" charset="0"/>
                    <a:ea typeface="+mn-ea"/>
                    <a:cs typeface="+mn-cs"/>
                  </a:defRPr>
                </a:pPr>
                <a:r>
                  <a:rPr lang="en-NZ"/>
                  <a:t>Number of Personnel</a:t>
                </a:r>
              </a:p>
            </c:rich>
          </c:tx>
          <c:layout>
            <c:manualLayout>
              <c:xMode val="edge"/>
              <c:yMode val="edge"/>
              <c:x val="3.0555555555555555E-2"/>
              <c:y val="0.2730362350539515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aralucent Light" pitchFamily="50"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crossAx val="1907151887"/>
        <c:crosses val="autoZero"/>
        <c:crossBetween val="midCat"/>
      </c:valAx>
      <c:spPr>
        <a:noFill/>
        <a:ln>
          <a:noFill/>
        </a:ln>
        <a:effectLst/>
      </c:spPr>
    </c:plotArea>
    <c:legend>
      <c:legendPos val="r"/>
      <c:layout>
        <c:manualLayout>
          <c:xMode val="edge"/>
          <c:yMode val="edge"/>
          <c:x val="0.7596520122484689"/>
          <c:y val="0.29282298046077571"/>
          <c:w val="0.24034798775153104"/>
          <c:h val="0.493057742782152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aralucent Light"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ralucent Light" pitchFamily="50"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r>
              <a:rPr lang="en-US"/>
              <a:t>EDB Capital Forecast</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Total Capital Budget Forecast</c:v>
          </c:tx>
          <c:spPr>
            <a:ln w="25400" cap="rnd">
              <a:noFill/>
              <a:round/>
            </a:ln>
            <a:effectLst/>
          </c:spPr>
          <c:marker>
            <c:symbol val="circle"/>
            <c:size val="5"/>
            <c:spPr>
              <a:solidFill>
                <a:schemeClr val="accent1"/>
              </a:solidFill>
              <a:ln w="9525">
                <a:solidFill>
                  <a:schemeClr val="accent1"/>
                </a:solidFill>
              </a:ln>
              <a:effectLst/>
            </c:spPr>
          </c:marker>
          <c:xVal>
            <c:numRef>
              <c:f>'EDB Capital Forecast'!$F$7:$O$7</c:f>
              <c:numCache>
                <c:formatCode>General</c:formatCode>
                <c:ptCount val="10"/>
                <c:pt idx="0">
                  <c:v>2023</c:v>
                </c:pt>
                <c:pt idx="1">
                  <c:v>2024</c:v>
                </c:pt>
                <c:pt idx="2">
                  <c:v>2025</c:v>
                </c:pt>
                <c:pt idx="3">
                  <c:v>2026</c:v>
                </c:pt>
                <c:pt idx="4">
                  <c:v>2027</c:v>
                </c:pt>
                <c:pt idx="5">
                  <c:v>2028</c:v>
                </c:pt>
                <c:pt idx="6">
                  <c:v>2029</c:v>
                </c:pt>
                <c:pt idx="7">
                  <c:v>2030</c:v>
                </c:pt>
                <c:pt idx="8">
                  <c:v>2031</c:v>
                </c:pt>
                <c:pt idx="9">
                  <c:v>2032</c:v>
                </c:pt>
              </c:numCache>
            </c:numRef>
          </c:xVal>
          <c:yVal>
            <c:numRef>
              <c:f>'EDB Capital Forecast'!$F$8:$O$8</c:f>
              <c:numCache>
                <c:formatCode>0</c:formatCode>
                <c:ptCount val="10"/>
                <c:pt idx="0">
                  <c:v>1497.4896249999999</c:v>
                </c:pt>
                <c:pt idx="1">
                  <c:v>1382.91975</c:v>
                </c:pt>
                <c:pt idx="2">
                  <c:v>1263.1780000000001</c:v>
                </c:pt>
                <c:pt idx="3">
                  <c:v>1317.4768750000001</c:v>
                </c:pt>
                <c:pt idx="4">
                  <c:v>1316.224375</c:v>
                </c:pt>
                <c:pt idx="5">
                  <c:v>1306.415125</c:v>
                </c:pt>
                <c:pt idx="6">
                  <c:v>1304.927375</c:v>
                </c:pt>
                <c:pt idx="7">
                  <c:v>1281.0973750000001</c:v>
                </c:pt>
                <c:pt idx="8">
                  <c:v>1315.9871250000001</c:v>
                </c:pt>
                <c:pt idx="9">
                  <c:v>1286.077</c:v>
                </c:pt>
              </c:numCache>
            </c:numRef>
          </c:yVal>
          <c:smooth val="0"/>
          <c:extLst>
            <c:ext xmlns:c16="http://schemas.microsoft.com/office/drawing/2014/chart" uri="{C3380CC4-5D6E-409C-BE32-E72D297353CC}">
              <c16:uniqueId val="{00000000-E7DB-4F38-AA90-4259C527A9C9}"/>
            </c:ext>
          </c:extLst>
        </c:ser>
        <c:ser>
          <c:idx val="1"/>
          <c:order val="1"/>
          <c:tx>
            <c:v>Relevant Allocation Budget Forecast</c:v>
          </c:tx>
          <c:spPr>
            <a:ln w="25400" cap="rnd">
              <a:noFill/>
              <a:round/>
            </a:ln>
            <a:effectLst/>
          </c:spPr>
          <c:marker>
            <c:symbol val="circle"/>
            <c:size val="5"/>
            <c:spPr>
              <a:solidFill>
                <a:schemeClr val="accent2"/>
              </a:solidFill>
              <a:ln w="9525">
                <a:solidFill>
                  <a:schemeClr val="accent2"/>
                </a:solidFill>
              </a:ln>
              <a:effectLst/>
            </c:spPr>
          </c:marker>
          <c:xVal>
            <c:numRef>
              <c:f>'EDB Capital Forecast'!$F$7:$T$7</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xVal>
          <c:yVal>
            <c:numRef>
              <c:f>'EDB Capital Forecast'!$F$9:$O$9</c:f>
              <c:numCache>
                <c:formatCode>0</c:formatCode>
                <c:ptCount val="10"/>
                <c:pt idx="0">
                  <c:v>720.77250000000004</c:v>
                </c:pt>
                <c:pt idx="1">
                  <c:v>708.72131249999995</c:v>
                </c:pt>
                <c:pt idx="2">
                  <c:v>657.7194296875</c:v>
                </c:pt>
                <c:pt idx="3">
                  <c:v>667.35112499999991</c:v>
                </c:pt>
                <c:pt idx="4">
                  <c:v>659.99507812499996</c:v>
                </c:pt>
                <c:pt idx="5">
                  <c:v>639.81443749999994</c:v>
                </c:pt>
                <c:pt idx="6">
                  <c:v>643.36887499999989</c:v>
                </c:pt>
                <c:pt idx="7">
                  <c:v>637.55965624999999</c:v>
                </c:pt>
                <c:pt idx="8">
                  <c:v>650.06485156250005</c:v>
                </c:pt>
                <c:pt idx="9">
                  <c:v>626.13833593749996</c:v>
                </c:pt>
              </c:numCache>
            </c:numRef>
          </c:yVal>
          <c:smooth val="0"/>
          <c:extLst>
            <c:ext xmlns:c16="http://schemas.microsoft.com/office/drawing/2014/chart" uri="{C3380CC4-5D6E-409C-BE32-E72D297353CC}">
              <c16:uniqueId val="{00000000-CD3E-4EF5-BF24-2C6BDB404F04}"/>
            </c:ext>
          </c:extLst>
        </c:ser>
        <c:dLbls>
          <c:showLegendKey val="0"/>
          <c:showVal val="0"/>
          <c:showCatName val="0"/>
          <c:showSerName val="0"/>
          <c:showPercent val="0"/>
          <c:showBubbleSize val="0"/>
        </c:dLbls>
        <c:axId val="586875808"/>
        <c:axId val="237394927"/>
      </c:scatterChart>
      <c:valAx>
        <c:axId val="58687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37394927"/>
        <c:crosses val="autoZero"/>
        <c:crossBetween val="midCat"/>
      </c:valAx>
      <c:valAx>
        <c:axId val="2373949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Million NZD</a:t>
                </a:r>
              </a:p>
            </c:rich>
          </c:tx>
          <c:layout>
            <c:manualLayout>
              <c:xMode val="edge"/>
              <c:yMode val="edge"/>
              <c:x val="1.5520104781753788E-2"/>
              <c:y val="0.3560823818286920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58687580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b="0">
          <a:latin typeface="+mn-lt"/>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r>
              <a:rPr lang="en-US"/>
              <a:t>Capacity Upgrade Project Duration</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199715082398852"/>
          <c:y val="0.15034461122665554"/>
          <c:w val="0.55356145284625957"/>
          <c:h val="0.65289726633362799"/>
        </c:manualLayout>
      </c:layout>
      <c:stockChart>
        <c:ser>
          <c:idx val="0"/>
          <c:order val="0"/>
          <c:tx>
            <c:strRef>
              <c:f>'EDB Capital Comparison'!$B$23</c:f>
              <c:strCache>
                <c:ptCount val="1"/>
                <c:pt idx="0">
                  <c:v>Minimum Project Duration</c:v>
                </c:pt>
              </c:strCache>
            </c:strRef>
          </c:tx>
          <c:spPr>
            <a:ln w="19050" cap="rnd">
              <a:noFill/>
              <a:round/>
            </a:ln>
            <a:effectLst/>
          </c:spPr>
          <c:marker>
            <c:symbol val="triangle"/>
            <c:size val="7"/>
            <c:spPr>
              <a:solidFill>
                <a:schemeClr val="tx1"/>
              </a:solidFill>
              <a:ln w="9525">
                <a:solidFill>
                  <a:schemeClr val="tx1"/>
                </a:solidFill>
              </a:ln>
              <a:effectLst/>
            </c:spPr>
          </c:marker>
          <c:cat>
            <c:strRef>
              <c:f>'EDB Capital Comparison'!$C$22:$G$22</c:f>
              <c:strCache>
                <c:ptCount val="5"/>
                <c:pt idx="0">
                  <c:v>1.5</c:v>
                </c:pt>
                <c:pt idx="1">
                  <c:v>2</c:v>
                </c:pt>
                <c:pt idx="2">
                  <c:v>2.5</c:v>
                </c:pt>
                <c:pt idx="3">
                  <c:v>3</c:v>
                </c:pt>
                <c:pt idx="4">
                  <c:v>&gt;3</c:v>
                </c:pt>
              </c:strCache>
            </c:strRef>
          </c:cat>
          <c:val>
            <c:numRef>
              <c:f>'EDB Capital Comparison'!$C$23:$G$23</c:f>
              <c:numCache>
                <c:formatCode>General</c:formatCode>
                <c:ptCount val="5"/>
                <c:pt idx="0">
                  <c:v>2</c:v>
                </c:pt>
                <c:pt idx="1">
                  <c:v>3</c:v>
                </c:pt>
                <c:pt idx="2">
                  <c:v>3</c:v>
                </c:pt>
                <c:pt idx="3">
                  <c:v>6</c:v>
                </c:pt>
                <c:pt idx="4">
                  <c:v>4</c:v>
                </c:pt>
              </c:numCache>
            </c:numRef>
          </c:val>
          <c:smooth val="0"/>
          <c:extLst>
            <c:ext xmlns:c16="http://schemas.microsoft.com/office/drawing/2014/chart" uri="{C3380CC4-5D6E-409C-BE32-E72D297353CC}">
              <c16:uniqueId val="{00000000-3EA7-463D-AF3E-A4D175956350}"/>
            </c:ext>
          </c:extLst>
        </c:ser>
        <c:ser>
          <c:idx val="1"/>
          <c:order val="1"/>
          <c:tx>
            <c:strRef>
              <c:f>'EDB Capital Comparison'!$B$24</c:f>
              <c:strCache>
                <c:ptCount val="1"/>
                <c:pt idx="0">
                  <c:v>Maximum Project Duration</c:v>
                </c:pt>
              </c:strCache>
            </c:strRef>
          </c:tx>
          <c:spPr>
            <a:ln w="19050" cap="rnd">
              <a:noFill/>
              <a:round/>
            </a:ln>
            <a:effectLst/>
          </c:spPr>
          <c:marker>
            <c:symbol val="diamond"/>
            <c:size val="7"/>
            <c:spPr>
              <a:solidFill>
                <a:schemeClr val="tx1"/>
              </a:solidFill>
              <a:ln w="9525">
                <a:solidFill>
                  <a:schemeClr val="tx1"/>
                </a:solidFill>
              </a:ln>
              <a:effectLst/>
            </c:spPr>
          </c:marker>
          <c:cat>
            <c:strRef>
              <c:f>'EDB Capital Comparison'!$C$22:$G$22</c:f>
              <c:strCache>
                <c:ptCount val="5"/>
                <c:pt idx="0">
                  <c:v>1.5</c:v>
                </c:pt>
                <c:pt idx="1">
                  <c:v>2</c:v>
                </c:pt>
                <c:pt idx="2">
                  <c:v>2.5</c:v>
                </c:pt>
                <c:pt idx="3">
                  <c:v>3</c:v>
                </c:pt>
                <c:pt idx="4">
                  <c:v>&gt;3</c:v>
                </c:pt>
              </c:strCache>
            </c:strRef>
          </c:cat>
          <c:val>
            <c:numRef>
              <c:f>'EDB Capital Comparison'!$C$24:$G$24</c:f>
              <c:numCache>
                <c:formatCode>General</c:formatCode>
                <c:ptCount val="5"/>
                <c:pt idx="0">
                  <c:v>18</c:v>
                </c:pt>
                <c:pt idx="1">
                  <c:v>18</c:v>
                </c:pt>
                <c:pt idx="2">
                  <c:v>18</c:v>
                </c:pt>
                <c:pt idx="3">
                  <c:v>36</c:v>
                </c:pt>
                <c:pt idx="4">
                  <c:v>48</c:v>
                </c:pt>
              </c:numCache>
            </c:numRef>
          </c:val>
          <c:smooth val="0"/>
          <c:extLst>
            <c:ext xmlns:c16="http://schemas.microsoft.com/office/drawing/2014/chart" uri="{C3380CC4-5D6E-409C-BE32-E72D297353CC}">
              <c16:uniqueId val="{00000001-3EA7-463D-AF3E-A4D175956350}"/>
            </c:ext>
          </c:extLst>
        </c:ser>
        <c:ser>
          <c:idx val="2"/>
          <c:order val="2"/>
          <c:tx>
            <c:strRef>
              <c:f>'EDB Capital Comparison'!$B$25</c:f>
              <c:strCache>
                <c:ptCount val="1"/>
                <c:pt idx="0">
                  <c:v>Average Project Duration</c:v>
                </c:pt>
              </c:strCache>
            </c:strRef>
          </c:tx>
          <c:spPr>
            <a:ln w="19050" cap="rnd">
              <a:noFill/>
              <a:round/>
            </a:ln>
            <a:effectLst/>
          </c:spPr>
          <c:marker>
            <c:symbol val="square"/>
            <c:size val="6"/>
            <c:spPr>
              <a:solidFill>
                <a:schemeClr val="accent3"/>
              </a:solidFill>
              <a:ln w="9525">
                <a:solidFill>
                  <a:schemeClr val="accent3"/>
                </a:solidFill>
              </a:ln>
              <a:effectLst/>
            </c:spPr>
          </c:marker>
          <c:cat>
            <c:strRef>
              <c:f>'EDB Capital Comparison'!$C$22:$G$22</c:f>
              <c:strCache>
                <c:ptCount val="5"/>
                <c:pt idx="0">
                  <c:v>1.5</c:v>
                </c:pt>
                <c:pt idx="1">
                  <c:v>2</c:v>
                </c:pt>
                <c:pt idx="2">
                  <c:v>2.5</c:v>
                </c:pt>
                <c:pt idx="3">
                  <c:v>3</c:v>
                </c:pt>
                <c:pt idx="4">
                  <c:v>&gt;3</c:v>
                </c:pt>
              </c:strCache>
            </c:strRef>
          </c:cat>
          <c:val>
            <c:numRef>
              <c:f>'EDB Capital Comparison'!$C$25:$G$25</c:f>
              <c:numCache>
                <c:formatCode>General</c:formatCode>
                <c:ptCount val="5"/>
                <c:pt idx="0" formatCode="0.0">
                  <c:v>6.2857142857142856</c:v>
                </c:pt>
                <c:pt idx="1">
                  <c:v>9.5</c:v>
                </c:pt>
                <c:pt idx="2" formatCode="0.0">
                  <c:v>9.375</c:v>
                </c:pt>
                <c:pt idx="3" formatCode="0.0">
                  <c:v>19.5</c:v>
                </c:pt>
                <c:pt idx="4" formatCode="0">
                  <c:v>25.3125</c:v>
                </c:pt>
              </c:numCache>
            </c:numRef>
          </c:val>
          <c:smooth val="0"/>
          <c:extLst>
            <c:ext xmlns:c16="http://schemas.microsoft.com/office/drawing/2014/chart" uri="{C3380CC4-5D6E-409C-BE32-E72D297353CC}">
              <c16:uniqueId val="{00000002-3EA7-463D-AF3E-A4D175956350}"/>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axId val="1363515920"/>
        <c:axId val="1265795040"/>
      </c:stockChart>
      <c:catAx>
        <c:axId val="1363515920"/>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Network Upgrade Size (MVA)</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265795040"/>
        <c:crosses val="autoZero"/>
        <c:auto val="1"/>
        <c:lblAlgn val="ctr"/>
        <c:lblOffset val="100"/>
        <c:noMultiLvlLbl val="0"/>
      </c:catAx>
      <c:valAx>
        <c:axId val="1265795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Project</a:t>
                </a:r>
                <a:r>
                  <a:rPr lang="en-US" baseline="0"/>
                  <a:t> </a:t>
                </a:r>
                <a:r>
                  <a:rPr lang="en-US"/>
                  <a:t>Duration (months)</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363515920"/>
        <c:crosses val="autoZero"/>
        <c:crossBetween val="between"/>
      </c:valAx>
      <c:spPr>
        <a:noFill/>
        <a:ln>
          <a:noFill/>
        </a:ln>
        <a:effectLst/>
      </c:spPr>
    </c:plotArea>
    <c:legend>
      <c:legendPos val="r"/>
      <c:layout>
        <c:manualLayout>
          <c:xMode val="edge"/>
          <c:yMode val="edge"/>
          <c:x val="0.70550993119978578"/>
          <c:y val="0.25411771199063415"/>
          <c:w val="0.28413026971505795"/>
          <c:h val="0.51681731832639966"/>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b="0">
          <a:latin typeface="+mn-lt"/>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15</xdr:col>
      <xdr:colOff>77583</xdr:colOff>
      <xdr:row>2</xdr:row>
      <xdr:rowOff>132896</xdr:rowOff>
    </xdr:from>
    <xdr:to>
      <xdr:col>28</xdr:col>
      <xdr:colOff>220888</xdr:colOff>
      <xdr:row>26</xdr:row>
      <xdr:rowOff>54429</xdr:rowOff>
    </xdr:to>
    <xdr:graphicFrame macro="">
      <xdr:nvGraphicFramePr>
        <xdr:cNvPr id="2" name="Chart 1">
          <a:extLst>
            <a:ext uri="{FF2B5EF4-FFF2-40B4-BE49-F238E27FC236}">
              <a16:creationId xmlns:a16="http://schemas.microsoft.com/office/drawing/2014/main" id="{B1F01376-ABEA-5D09-FC77-06B03B05C1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36</xdr:col>
      <xdr:colOff>7793</xdr:colOff>
      <xdr:row>3</xdr:row>
      <xdr:rowOff>173182</xdr:rowOff>
    </xdr:from>
    <xdr:to>
      <xdr:col>46</xdr:col>
      <xdr:colOff>418780</xdr:colOff>
      <xdr:row>20</xdr:row>
      <xdr:rowOff>3712</xdr:rowOff>
    </xdr:to>
    <xdr:graphicFrame macro="">
      <xdr:nvGraphicFramePr>
        <xdr:cNvPr id="2" name="Chart 1">
          <a:extLst>
            <a:ext uri="{FF2B5EF4-FFF2-40B4-BE49-F238E27FC236}">
              <a16:creationId xmlns:a16="http://schemas.microsoft.com/office/drawing/2014/main" id="{9FBB9654-3B5C-4465-AF7D-2B5BEDDEEB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573313</xdr:colOff>
      <xdr:row>37</xdr:row>
      <xdr:rowOff>20326</xdr:rowOff>
    </xdr:from>
    <xdr:to>
      <xdr:col>46</xdr:col>
      <xdr:colOff>396018</xdr:colOff>
      <xdr:row>51</xdr:row>
      <xdr:rowOff>176892</xdr:rowOff>
    </xdr:to>
    <xdr:graphicFrame macro="">
      <xdr:nvGraphicFramePr>
        <xdr:cNvPr id="3" name="Chart 2">
          <a:extLst>
            <a:ext uri="{FF2B5EF4-FFF2-40B4-BE49-F238E27FC236}">
              <a16:creationId xmlns:a16="http://schemas.microsoft.com/office/drawing/2014/main" id="{441C000B-5BDD-4E72-BEF2-E640F6AA9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35</xdr:col>
      <xdr:colOff>578560</xdr:colOff>
      <xdr:row>52</xdr:row>
      <xdr:rowOff>159037</xdr:rowOff>
    </xdr:from>
    <xdr:to>
      <xdr:col>46</xdr:col>
      <xdr:colOff>397554</xdr:colOff>
      <xdr:row>68</xdr:row>
      <xdr:rowOff>-1</xdr:rowOff>
    </xdr:to>
    <xdr:graphicFrame macro="">
      <xdr:nvGraphicFramePr>
        <xdr:cNvPr id="4" name="Chart 3">
          <a:extLst>
            <a:ext uri="{FF2B5EF4-FFF2-40B4-BE49-F238E27FC236}">
              <a16:creationId xmlns:a16="http://schemas.microsoft.com/office/drawing/2014/main" id="{094A93BD-D0E2-47CA-AAF3-B1D5877A4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35</xdr:col>
      <xdr:colOff>584726</xdr:colOff>
      <xdr:row>20</xdr:row>
      <xdr:rowOff>173176</xdr:rowOff>
    </xdr:from>
    <xdr:to>
      <xdr:col>46</xdr:col>
      <xdr:colOff>407431</xdr:colOff>
      <xdr:row>35</xdr:row>
      <xdr:rowOff>176892</xdr:rowOff>
    </xdr:to>
    <xdr:graphicFrame macro="">
      <xdr:nvGraphicFramePr>
        <xdr:cNvPr id="5" name="Chart 4">
          <a:extLst>
            <a:ext uri="{FF2B5EF4-FFF2-40B4-BE49-F238E27FC236}">
              <a16:creationId xmlns:a16="http://schemas.microsoft.com/office/drawing/2014/main" id="{238B7629-B459-4BA6-9253-FD2FA9B4B0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1721756</xdr:colOff>
      <xdr:row>9</xdr:row>
      <xdr:rowOff>345167</xdr:rowOff>
    </xdr:from>
    <xdr:to>
      <xdr:col>16</xdr:col>
      <xdr:colOff>149678</xdr:colOff>
      <xdr:row>31</xdr:row>
      <xdr:rowOff>146276</xdr:rowOff>
    </xdr:to>
    <xdr:graphicFrame macro="">
      <xdr:nvGraphicFramePr>
        <xdr:cNvPr id="2" name="Chart 1">
          <a:extLst>
            <a:ext uri="{FF2B5EF4-FFF2-40B4-BE49-F238E27FC236}">
              <a16:creationId xmlns:a16="http://schemas.microsoft.com/office/drawing/2014/main" id="{18988DCB-6227-1422-9C94-CEC58ACA0F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320675</xdr:colOff>
      <xdr:row>1</xdr:row>
      <xdr:rowOff>18116</xdr:rowOff>
    </xdr:from>
    <xdr:to>
      <xdr:col>16</xdr:col>
      <xdr:colOff>291353</xdr:colOff>
      <xdr:row>20</xdr:row>
      <xdr:rowOff>2242</xdr:rowOff>
    </xdr:to>
    <xdr:graphicFrame macro="">
      <xdr:nvGraphicFramePr>
        <xdr:cNvPr id="3" name="Chart 2">
          <a:extLst>
            <a:ext uri="{FF2B5EF4-FFF2-40B4-BE49-F238E27FC236}">
              <a16:creationId xmlns:a16="http://schemas.microsoft.com/office/drawing/2014/main" id="{B8176CD4-0956-430E-98F6-4BFED3508C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8" Type="http://schemas.openxmlformats.org/officeDocument/2006/relationships/hyperlink" Target="https://www.stats.govt.nz/information-releases/international-migration-june-2023/" TargetMode="External"/><Relationship Id="rId3" Type="http://schemas.openxmlformats.org/officeDocument/2006/relationships/hyperlink" Target="https://www.stats.govt.nz/topics/population" TargetMode="External"/><Relationship Id="rId7" Type="http://schemas.openxmlformats.org/officeDocument/2006/relationships/hyperlink" Target="https://www.educationcounts.govt.nz/statistics/tertiary-participation" TargetMode="External"/><Relationship Id="rId2" Type="http://schemas.openxmlformats.org/officeDocument/2006/relationships/hyperlink" Target="https://www.stats.govt.nz/tools/2018-census-place-summaries/new-zealand" TargetMode="External"/><Relationship Id="rId1" Type="http://schemas.openxmlformats.org/officeDocument/2006/relationships/hyperlink" Target="https://comcom.govt.nz/regulated-industries/electricity-lines/electricity-distributor-performance-and-data/information-disclosed-by-electricity-distributors" TargetMode="External"/><Relationship Id="rId6" Type="http://schemas.openxmlformats.org/officeDocument/2006/relationships/hyperlink" Target="https://www.educationcounts.govt.nz/publications/80898/5567" TargetMode="External"/><Relationship Id="rId5" Type="http://schemas.openxmlformats.org/officeDocument/2006/relationships/hyperlink" Target="https://www.educationcounts.govt.nz/data-services/code-sets-and-classifications/new_zealand_standard_classification_of_education_nzsced" TargetMode="External"/><Relationship Id="rId4" Type="http://schemas.openxmlformats.org/officeDocument/2006/relationships/hyperlink" Target="https://www.stats.govt.nz/news/labour-force-will-grow-and-ag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8948-D773-4044-A937-E0CBBCCF3261}">
  <sheetPr>
    <tabColor theme="0"/>
  </sheetPr>
  <dimension ref="A1:K27"/>
  <sheetViews>
    <sheetView tabSelected="1" zoomScale="70" zoomScaleNormal="70" workbookViewId="0">
      <selection activeCell="G21" sqref="G21"/>
    </sheetView>
  </sheetViews>
  <sheetFormatPr defaultColWidth="0" defaultRowHeight="15" zeroHeight="1"/>
  <cols>
    <col min="1" max="1" width="8.7109375" style="24" customWidth="1"/>
    <col min="2" max="2" width="34" bestFit="1" customWidth="1"/>
    <col min="3" max="3" width="8.7109375" customWidth="1"/>
    <col min="4" max="4" width="9.28515625" bestFit="1" customWidth="1"/>
    <col min="5" max="5" width="25.5703125" bestFit="1" customWidth="1"/>
    <col min="6" max="6" width="62.5703125" bestFit="1" customWidth="1"/>
    <col min="7" max="7" width="69" customWidth="1"/>
    <col min="8" max="11" width="8.7109375" style="24" customWidth="1"/>
    <col min="12" max="16384" width="8.7109375" style="24" hidden="1"/>
  </cols>
  <sheetData>
    <row r="1" spans="1:11" ht="15.75" thickBot="1">
      <c r="A1" s="29"/>
      <c r="B1" s="50"/>
      <c r="C1" s="50"/>
      <c r="D1" s="50"/>
      <c r="E1" s="50"/>
      <c r="F1" s="50"/>
      <c r="G1" s="50"/>
      <c r="H1" s="29"/>
      <c r="I1" s="29"/>
      <c r="J1" s="29"/>
      <c r="K1" s="29"/>
    </row>
    <row r="2" spans="1:11" ht="15.75" thickBot="1">
      <c r="A2" s="29"/>
      <c r="C2" s="50"/>
      <c r="D2" s="50"/>
      <c r="E2" s="125" t="s">
        <v>0</v>
      </c>
      <c r="F2" s="126" t="s">
        <v>1</v>
      </c>
      <c r="G2" s="50"/>
      <c r="H2" s="29"/>
      <c r="I2" s="29"/>
      <c r="J2" s="29"/>
      <c r="K2" s="29"/>
    </row>
    <row r="3" spans="1:11" ht="15.75">
      <c r="A3" s="29"/>
      <c r="B3" s="146" t="s">
        <v>2</v>
      </c>
      <c r="C3" s="127"/>
      <c r="D3" s="50"/>
      <c r="E3" s="128" t="s">
        <v>3</v>
      </c>
      <c r="F3" s="129" t="s">
        <v>4</v>
      </c>
      <c r="G3" s="50"/>
      <c r="H3" s="29"/>
      <c r="I3" s="29"/>
      <c r="J3" s="29"/>
      <c r="K3" s="29"/>
    </row>
    <row r="4" spans="1:11" ht="15.75">
      <c r="A4" s="29"/>
      <c r="B4" s="147" t="s">
        <v>5</v>
      </c>
      <c r="C4" s="127"/>
      <c r="D4" s="50"/>
      <c r="E4" s="128" t="s">
        <v>6</v>
      </c>
      <c r="F4" s="129" t="s">
        <v>7</v>
      </c>
      <c r="G4" s="50"/>
      <c r="H4" s="29"/>
      <c r="I4" s="29"/>
      <c r="J4" s="29"/>
      <c r="K4" s="29"/>
    </row>
    <row r="5" spans="1:11" ht="16.5" thickBot="1">
      <c r="A5" s="29"/>
      <c r="B5" s="148" t="s">
        <v>8</v>
      </c>
      <c r="C5" s="127"/>
      <c r="D5" s="50"/>
      <c r="E5" s="130" t="s">
        <v>9</v>
      </c>
      <c r="F5" s="131" t="s">
        <v>10</v>
      </c>
      <c r="G5" s="50"/>
      <c r="H5" s="29"/>
      <c r="I5" s="29"/>
      <c r="J5" s="29"/>
      <c r="K5" s="29"/>
    </row>
    <row r="6" spans="1:11" ht="15.75">
      <c r="A6" s="29"/>
      <c r="B6" s="149" t="s">
        <v>11</v>
      </c>
      <c r="C6" s="127"/>
      <c r="D6" s="50"/>
      <c r="E6" s="50"/>
      <c r="F6" s="50"/>
      <c r="G6" s="50"/>
      <c r="H6" s="29"/>
      <c r="I6" s="29"/>
      <c r="J6" s="29"/>
      <c r="K6" s="29"/>
    </row>
    <row r="7" spans="1:11" ht="16.5" thickBot="1">
      <c r="A7" s="29"/>
      <c r="B7" s="150" t="s">
        <v>12</v>
      </c>
      <c r="C7" s="127"/>
      <c r="D7" s="50"/>
      <c r="E7" s="50"/>
      <c r="F7" s="50"/>
      <c r="G7" s="50"/>
      <c r="H7" s="29"/>
      <c r="I7" s="29"/>
      <c r="J7" s="29"/>
      <c r="K7" s="29"/>
    </row>
    <row r="8" spans="1:11" ht="16.5" thickBot="1">
      <c r="A8" s="29"/>
      <c r="B8" s="151" t="s">
        <v>13</v>
      </c>
      <c r="C8" s="127"/>
      <c r="D8" s="132" t="s">
        <v>14</v>
      </c>
      <c r="E8" s="133" t="s">
        <v>15</v>
      </c>
      <c r="F8" s="133" t="s">
        <v>16</v>
      </c>
      <c r="G8" s="134" t="s">
        <v>17</v>
      </c>
      <c r="H8" s="29"/>
      <c r="I8" s="29"/>
      <c r="J8" s="29"/>
      <c r="K8" s="29"/>
    </row>
    <row r="9" spans="1:11" ht="42.95" customHeight="1">
      <c r="A9" s="29"/>
      <c r="C9" s="127"/>
      <c r="D9" s="135">
        <v>1</v>
      </c>
      <c r="E9" s="136" t="s">
        <v>18</v>
      </c>
      <c r="F9" s="66" t="s">
        <v>19</v>
      </c>
      <c r="G9" s="137" t="s">
        <v>20</v>
      </c>
      <c r="H9" s="29"/>
      <c r="I9" s="29"/>
      <c r="J9" s="29"/>
      <c r="K9" s="29"/>
    </row>
    <row r="10" spans="1:11" ht="42.95" customHeight="1">
      <c r="A10" s="29"/>
      <c r="B10" s="50"/>
      <c r="C10" s="127"/>
      <c r="D10" s="138">
        <v>2</v>
      </c>
      <c r="E10" s="139" t="s">
        <v>21</v>
      </c>
      <c r="F10" s="64" t="s">
        <v>22</v>
      </c>
      <c r="G10" s="140" t="s">
        <v>23</v>
      </c>
      <c r="H10" s="29"/>
      <c r="I10" s="29"/>
      <c r="J10" s="29"/>
      <c r="K10" s="29"/>
    </row>
    <row r="11" spans="1:11" ht="42.95" customHeight="1">
      <c r="A11" s="29"/>
      <c r="B11" s="50"/>
      <c r="C11" s="127"/>
      <c r="D11" s="138">
        <v>3</v>
      </c>
      <c r="E11" s="141" t="s">
        <v>24</v>
      </c>
      <c r="F11" s="65" t="s">
        <v>25</v>
      </c>
      <c r="G11" s="140" t="s">
        <v>26</v>
      </c>
      <c r="H11" s="29"/>
      <c r="I11" s="29"/>
      <c r="J11" s="29"/>
      <c r="K11" s="29"/>
    </row>
    <row r="12" spans="1:11" ht="42.95" customHeight="1">
      <c r="A12" s="29"/>
      <c r="B12" s="50"/>
      <c r="C12" s="50"/>
      <c r="D12" s="138">
        <v>4</v>
      </c>
      <c r="E12" s="141" t="s">
        <v>27</v>
      </c>
      <c r="F12" s="64" t="s">
        <v>28</v>
      </c>
      <c r="G12" s="140" t="s">
        <v>29</v>
      </c>
      <c r="H12" s="29"/>
      <c r="I12" s="29"/>
      <c r="J12" s="29"/>
      <c r="K12" s="29"/>
    </row>
    <row r="13" spans="1:11" ht="42.95" customHeight="1">
      <c r="A13" s="29"/>
      <c r="B13" s="50"/>
      <c r="C13" s="50"/>
      <c r="D13" s="138">
        <v>5</v>
      </c>
      <c r="E13" s="141" t="s">
        <v>30</v>
      </c>
      <c r="F13" s="64" t="s">
        <v>31</v>
      </c>
      <c r="G13" s="140" t="s">
        <v>32</v>
      </c>
      <c r="H13" s="29"/>
      <c r="I13" s="29"/>
      <c r="J13" s="29"/>
      <c r="K13" s="29"/>
    </row>
    <row r="14" spans="1:11" ht="42.95" customHeight="1">
      <c r="A14" s="29"/>
      <c r="B14" s="50"/>
      <c r="C14" s="50"/>
      <c r="D14" s="138">
        <v>6</v>
      </c>
      <c r="E14" s="141" t="s">
        <v>33</v>
      </c>
      <c r="F14" s="65" t="s">
        <v>34</v>
      </c>
      <c r="G14" s="140" t="s">
        <v>35</v>
      </c>
      <c r="H14" s="29"/>
      <c r="I14" s="29"/>
      <c r="J14" s="29"/>
      <c r="K14" s="29"/>
    </row>
    <row r="15" spans="1:11" ht="42.95" customHeight="1">
      <c r="A15" s="29"/>
      <c r="B15" s="50"/>
      <c r="C15" s="50"/>
      <c r="D15" s="138">
        <v>7</v>
      </c>
      <c r="E15" s="141" t="s">
        <v>36</v>
      </c>
      <c r="F15" s="63" t="s">
        <v>37</v>
      </c>
      <c r="G15" s="142" t="s">
        <v>38</v>
      </c>
      <c r="H15" s="29"/>
      <c r="I15" s="29"/>
      <c r="J15" s="29"/>
      <c r="K15" s="29"/>
    </row>
    <row r="16" spans="1:11" ht="42.95" customHeight="1">
      <c r="A16" s="29"/>
      <c r="B16" s="50"/>
      <c r="C16" s="50"/>
      <c r="D16" s="138">
        <v>8</v>
      </c>
      <c r="E16" s="141" t="s">
        <v>39</v>
      </c>
      <c r="F16" s="65" t="s">
        <v>40</v>
      </c>
      <c r="G16" s="140" t="s">
        <v>41</v>
      </c>
      <c r="H16" s="29"/>
      <c r="I16" s="29"/>
      <c r="J16" s="29"/>
      <c r="K16" s="29"/>
    </row>
    <row r="17" spans="1:11" ht="42.95" customHeight="1">
      <c r="A17" s="29"/>
      <c r="B17" s="50"/>
      <c r="C17" s="50"/>
      <c r="D17" s="138">
        <v>9</v>
      </c>
      <c r="E17" s="141" t="s">
        <v>42</v>
      </c>
      <c r="F17" s="65" t="s">
        <v>43</v>
      </c>
      <c r="G17" s="140" t="s">
        <v>44</v>
      </c>
      <c r="H17" s="29"/>
      <c r="I17" s="29"/>
      <c r="J17" s="29"/>
      <c r="K17" s="29"/>
    </row>
    <row r="18" spans="1:11" ht="42.95" customHeight="1">
      <c r="A18" s="29"/>
      <c r="B18" s="50"/>
      <c r="C18" s="50"/>
      <c r="D18" s="138">
        <v>11</v>
      </c>
      <c r="E18" s="141" t="s">
        <v>11</v>
      </c>
      <c r="F18" s="64" t="s">
        <v>45</v>
      </c>
      <c r="G18" s="140" t="s">
        <v>46</v>
      </c>
      <c r="H18" s="29"/>
      <c r="I18" s="29"/>
      <c r="J18" s="29"/>
      <c r="K18" s="29"/>
    </row>
    <row r="19" spans="1:11" ht="42.95" customHeight="1" thickBot="1">
      <c r="A19" s="29"/>
      <c r="B19" s="50"/>
      <c r="C19" s="50"/>
      <c r="D19" s="122">
        <v>10</v>
      </c>
      <c r="E19" s="143" t="s">
        <v>47</v>
      </c>
      <c r="F19" s="144" t="s">
        <v>48</v>
      </c>
      <c r="G19" s="145" t="s">
        <v>49</v>
      </c>
      <c r="H19" s="29"/>
      <c r="I19" s="29"/>
      <c r="J19" s="29"/>
      <c r="K19" s="29"/>
    </row>
    <row r="20" spans="1:11">
      <c r="A20" s="29"/>
      <c r="B20" s="50"/>
      <c r="C20" s="50"/>
      <c r="D20" s="50"/>
      <c r="E20" s="50"/>
      <c r="F20" s="50"/>
      <c r="G20" s="50"/>
      <c r="H20" s="29"/>
      <c r="I20" s="29"/>
      <c r="J20" s="29"/>
      <c r="K20" s="29"/>
    </row>
    <row r="21" spans="1:11">
      <c r="A21" s="29"/>
      <c r="B21" s="50"/>
      <c r="C21" s="50"/>
      <c r="D21" s="50"/>
      <c r="E21" s="50"/>
      <c r="F21" s="50"/>
      <c r="G21" s="50"/>
      <c r="H21" s="29"/>
      <c r="I21" s="29"/>
      <c r="J21" s="29"/>
      <c r="K21" s="29"/>
    </row>
    <row r="22" spans="1:11">
      <c r="A22" s="29"/>
      <c r="B22" s="50"/>
      <c r="C22" s="50"/>
      <c r="D22" s="50"/>
      <c r="E22" s="50"/>
      <c r="F22" s="50"/>
      <c r="G22" s="50"/>
      <c r="H22" s="29"/>
      <c r="I22" s="29"/>
      <c r="J22" s="29"/>
      <c r="K22" s="29"/>
    </row>
    <row r="23" spans="1:11">
      <c r="A23" s="29"/>
      <c r="B23" s="50"/>
      <c r="C23" s="50"/>
      <c r="D23" s="50"/>
      <c r="E23" s="50"/>
      <c r="F23" s="50"/>
      <c r="G23" s="50"/>
      <c r="H23" s="29"/>
      <c r="I23" s="29"/>
      <c r="J23" s="29"/>
      <c r="K23" s="29"/>
    </row>
    <row r="24" spans="1:11">
      <c r="A24" s="29"/>
      <c r="B24" s="50"/>
      <c r="C24" s="50"/>
      <c r="D24" s="50"/>
      <c r="E24" s="50"/>
      <c r="F24" s="50"/>
      <c r="G24" s="50"/>
      <c r="H24" s="29"/>
      <c r="I24" s="29"/>
      <c r="J24" s="29"/>
      <c r="K24" s="29"/>
    </row>
    <row r="25" spans="1:11">
      <c r="A25" s="29"/>
      <c r="B25" s="50"/>
      <c r="C25" s="50"/>
      <c r="D25" s="50"/>
      <c r="E25" s="50"/>
      <c r="F25" s="50"/>
      <c r="G25" s="50"/>
      <c r="H25" s="29"/>
      <c r="I25" s="29"/>
      <c r="J25" s="29"/>
      <c r="K25" s="29"/>
    </row>
    <row r="26" spans="1:11">
      <c r="A26" s="29"/>
      <c r="B26" s="50"/>
      <c r="C26" s="50"/>
      <c r="D26" s="50"/>
      <c r="E26" s="50"/>
      <c r="F26" s="50"/>
      <c r="G26" s="50"/>
      <c r="H26" s="29"/>
      <c r="I26" s="29"/>
      <c r="J26" s="29"/>
      <c r="K26" s="29"/>
    </row>
    <row r="27" spans="1:11">
      <c r="A27" s="29"/>
      <c r="B27" s="50"/>
      <c r="C27" s="50"/>
      <c r="D27" s="50"/>
      <c r="E27" s="50"/>
      <c r="F27" s="50"/>
      <c r="G27" s="50"/>
      <c r="H27" s="29"/>
      <c r="I27" s="29"/>
      <c r="J27" s="29"/>
      <c r="K27" s="29"/>
    </row>
  </sheetData>
  <hyperlinks>
    <hyperlink ref="E9" location="'Site Guide'!A1" display="Guide" xr:uid="{24D2567F-4FFD-4FFE-88C1-2C852AA2415A}"/>
    <hyperlink ref="E10" location="'Capital and Equipment Summary'!A1" display="Capital and Equipment Summary" xr:uid="{9F56D462-8A35-4309-87B3-E4665340F1FA}"/>
    <hyperlink ref="E11" location="'Personnel Requirement'!A1" display="Personnel Requirement" xr:uid="{A509B4CA-5DBA-4186-B483-277FA1A8170F}"/>
    <hyperlink ref="E12" location="'People Stats'!A1" display="People Stats" xr:uid="{6061C0D6-F6A0-4914-9A39-02E6E9572B05}"/>
    <hyperlink ref="E13" location="'EDB AMP'!A1" display="EDB AMP" xr:uid="{8BA1F8E6-1898-4DA0-81DC-E1F272D94C0B}"/>
    <hyperlink ref="E18" location="Variables!A1" display="Variables" xr:uid="{E1F49124-9E12-4DC4-B2C3-049940888D3B}"/>
    <hyperlink ref="E14" location="'Personnel Replenishment'!A1" display="Personnel Replenishment" xr:uid="{7C9AF3F5-A109-4E68-AFF4-618790F0EE8D}"/>
    <hyperlink ref="E16" location="'EDB Capital Forecast'!A1" display="EDB Capital Forecast" xr:uid="{D4DECFF9-A510-4069-8AF8-AA3A49C56ECD}"/>
    <hyperlink ref="E17" location="'EDB Capital Comparison'!A1" display="EDB Capital Comparison" xr:uid="{686A98F4-CBE7-4053-9F07-9426BABA09B1}"/>
    <hyperlink ref="E19" location="Ref!A1" display="Ref" xr:uid="{5A199D56-3F0C-4E73-B63D-E880815942AB}"/>
    <hyperlink ref="E15" location="'Personnel Analysis'!A1" display="Personnel Analysis" xr:uid="{49BF1849-8F3C-42FB-89B5-9650BDB99867}"/>
  </hyperlinks>
  <pageMargins left="0.7" right="0.7" top="0.75" bottom="0.75" header="0.3" footer="0.3"/>
  <pageSetup scale="4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070D-3A83-4282-B4C3-2EEEA5894F55}">
  <sheetPr>
    <tabColor theme="4" tint="0.39997558519241921"/>
  </sheetPr>
  <dimension ref="A1:R37"/>
  <sheetViews>
    <sheetView zoomScale="85" zoomScaleNormal="85" workbookViewId="0">
      <selection activeCell="H32" sqref="H32"/>
    </sheetView>
  </sheetViews>
  <sheetFormatPr defaultColWidth="0" defaultRowHeight="15" zeroHeight="1"/>
  <cols>
    <col min="1" max="1" width="9.140625" style="50" customWidth="1"/>
    <col min="2" max="2" width="67.42578125" style="50" customWidth="1"/>
    <col min="3" max="3" width="21.5703125" style="50" customWidth="1"/>
    <col min="4" max="7" width="9.85546875" style="50" customWidth="1"/>
    <col min="8" max="8" width="9.140625" style="50" customWidth="1"/>
    <col min="9" max="9" width="8.42578125" style="50" customWidth="1"/>
    <col min="10" max="18" width="9.140625" style="50" customWidth="1"/>
    <col min="19" max="16384" width="9.140625" style="50" hidden="1"/>
  </cols>
  <sheetData>
    <row r="1" spans="2:4" ht="15.75" thickBot="1"/>
    <row r="2" spans="2:4" ht="15.75" thickBot="1">
      <c r="B2" s="49" t="s">
        <v>50</v>
      </c>
      <c r="C2" s="33" t="s">
        <v>51</v>
      </c>
    </row>
    <row r="3" spans="2:4" ht="60.75" thickBot="1">
      <c r="B3" s="30">
        <v>9</v>
      </c>
      <c r="C3" s="62" t="str">
        <f>VLOOKUP(B3,'Site Guide'!$D$9:$G$19,3,0)</f>
        <v>Analysis of capital information and duration of capital projects of EDBs</v>
      </c>
    </row>
    <row r="4" spans="2:4"/>
    <row r="5" spans="2:4" ht="15.75" thickBot="1">
      <c r="B5" s="53" t="s">
        <v>328</v>
      </c>
    </row>
    <row r="6" spans="2:4" ht="15.75" thickBot="1">
      <c r="B6" s="67" t="s">
        <v>329</v>
      </c>
      <c r="C6" s="68" t="s">
        <v>330</v>
      </c>
    </row>
    <row r="7" spans="2:4">
      <c r="B7" s="95" t="s">
        <v>104</v>
      </c>
      <c r="C7" s="96">
        <f>VLOOKUP(B7,'Capital and Equipment Summary'!$B$27:$T$43,19,0)/1000000</f>
        <v>892.79100000000005</v>
      </c>
    </row>
    <row r="8" spans="2:4">
      <c r="B8" s="97" t="s">
        <v>105</v>
      </c>
      <c r="C8" s="98">
        <f>VLOOKUP(B8,'Capital and Equipment Summary'!$B$27:$T$43,19,0)/1000000</f>
        <v>31.844999999999999</v>
      </c>
    </row>
    <row r="9" spans="2:4">
      <c r="B9" s="97" t="s">
        <v>331</v>
      </c>
      <c r="C9" s="98">
        <f>SUM($C$7:$C$8)*Variables!C10</f>
        <v>36.985440000000004</v>
      </c>
    </row>
    <row r="10" spans="2:4">
      <c r="B10" s="97" t="s">
        <v>332</v>
      </c>
      <c r="C10" s="98">
        <f>SUM($C$7:$C$8)*Variables!C9</f>
        <v>73.970880000000008</v>
      </c>
    </row>
    <row r="11" spans="2:4" ht="15.75" thickBot="1">
      <c r="B11" s="99" t="s">
        <v>108</v>
      </c>
      <c r="C11" s="100">
        <f>SUM($C$7:$C$10)*Variables!C11</f>
        <v>207.11846400000005</v>
      </c>
    </row>
    <row r="12" spans="2:4" ht="15.75" thickBot="1">
      <c r="B12" s="101" t="s">
        <v>91</v>
      </c>
      <c r="C12" s="102">
        <f>SUM(C7:C11)</f>
        <v>1242.7107840000003</v>
      </c>
    </row>
    <row r="13" spans="2:4"/>
    <row r="14" spans="2:4" ht="15.75" thickBot="1">
      <c r="B14" s="53" t="s">
        <v>333</v>
      </c>
    </row>
    <row r="15" spans="2:4" ht="15.75" thickBot="1">
      <c r="B15" s="67" t="s">
        <v>278</v>
      </c>
      <c r="C15" s="75" t="s">
        <v>334</v>
      </c>
      <c r="D15" s="68" t="s">
        <v>335</v>
      </c>
    </row>
    <row r="16" spans="2:4">
      <c r="B16" s="95" t="s">
        <v>336</v>
      </c>
      <c r="C16" s="111">
        <f>SUM('EDB Capital Forecast'!F8:T8)</f>
        <v>19663.37650892857</v>
      </c>
      <c r="D16" s="112" t="s">
        <v>337</v>
      </c>
    </row>
    <row r="17" spans="2:7">
      <c r="B17" s="97" t="s">
        <v>338</v>
      </c>
      <c r="C17" s="103">
        <f>SUM('EDB Capital Forecast'!F9:T9)</f>
        <v>9686.9784280133936</v>
      </c>
      <c r="D17" s="108" t="s">
        <v>337</v>
      </c>
    </row>
    <row r="18" spans="2:7">
      <c r="B18" s="97" t="s">
        <v>339</v>
      </c>
      <c r="C18" s="104">
        <f>$C$12/C16</f>
        <v>6.3199256924960034E-2</v>
      </c>
      <c r="D18" s="108" t="s">
        <v>340</v>
      </c>
    </row>
    <row r="19" spans="2:7" ht="15.75" thickBot="1">
      <c r="B19" s="99" t="s">
        <v>341</v>
      </c>
      <c r="C19" s="109">
        <f>$C$12/C17</f>
        <v>0.12828672978214276</v>
      </c>
      <c r="D19" s="110" t="s">
        <v>340</v>
      </c>
    </row>
    <row r="20" spans="2:7"/>
    <row r="21" spans="2:7" ht="15.75" thickBot="1">
      <c r="B21" s="53" t="s">
        <v>342</v>
      </c>
    </row>
    <row r="22" spans="2:7" ht="15.75" thickBot="1">
      <c r="B22" s="67" t="s">
        <v>112</v>
      </c>
      <c r="C22" s="84">
        <v>1.5</v>
      </c>
      <c r="D22" s="84">
        <v>2</v>
      </c>
      <c r="E22" s="84">
        <v>2.5</v>
      </c>
      <c r="F22" s="84">
        <v>3</v>
      </c>
      <c r="G22" s="85" t="s">
        <v>343</v>
      </c>
    </row>
    <row r="23" spans="2:7">
      <c r="B23" s="95" t="s">
        <v>344</v>
      </c>
      <c r="C23" s="115">
        <f>_xlfn.MINIFS('Capital and Equipment Summary'!$D$49:$D$87,'Capital and Equipment Summary'!$C$49:$C$87,"&lt;=1.5")</f>
        <v>2</v>
      </c>
      <c r="D23" s="115">
        <f>_xlfn.MINIFS('Capital and Equipment Summary'!$D$49:$D$89,'Capital and Equipment Summary'!$C$49:$C$89,"&gt;=1.5",'Capital and Equipment Summary'!$C$49:$C$89,"&lt;=2")</f>
        <v>3</v>
      </c>
      <c r="E23" s="115">
        <f>_xlfn.MINIFS('Capital and Equipment Summary'!D$49:D$89,'Capital and Equipment Summary'!$C$49:$C$89,"&gt;=2",'Capital and Equipment Summary'!$C$49:$C$89,"&lt;=2.5")</f>
        <v>3</v>
      </c>
      <c r="F23" s="115">
        <f>_xlfn.MINIFS('Capital and Equipment Summary'!$D$49:$D$89,'Capital and Equipment Summary'!$C$49:$C$89,"&gt;=2.5",'Capital and Equipment Summary'!$C$49:$C$89,"&lt;=3")</f>
        <v>6</v>
      </c>
      <c r="G23" s="116">
        <f>_xlfn.MINIFS('Capital and Equipment Summary'!E49:E89,'Capital and Equipment Summary'!$C$49:$C$89,"&gt;3")</f>
        <v>4</v>
      </c>
    </row>
    <row r="24" spans="2:7">
      <c r="B24" s="97" t="s">
        <v>345</v>
      </c>
      <c r="C24" s="117">
        <f>_xlfn.MAXIFS('Capital and Equipment Summary'!$E$49:$E$89,'Capital and Equipment Summary'!$C$49:$C$89,"&lt;=1.5")</f>
        <v>18</v>
      </c>
      <c r="D24" s="117">
        <f>_xlfn.MAXIFS('Capital and Equipment Summary'!$E$49:$E$89,'Capital and Equipment Summary'!$C$49:$C$89,"&gt;=1.5",'Capital and Equipment Summary'!$C$49:$C$89,"&lt;=2")</f>
        <v>18</v>
      </c>
      <c r="E24" s="117">
        <f>_xlfn.MAXIFS('Capital and Equipment Summary'!$E$49:$E$89,'Capital and Equipment Summary'!$C$49:$C$89,"&gt;=2",'Capital and Equipment Summary'!$C$49:$C$89,"&lt;=2.5")</f>
        <v>18</v>
      </c>
      <c r="F24" s="117">
        <f>_xlfn.MAXIFS('Capital and Equipment Summary'!$E$49:$E$89,'Capital and Equipment Summary'!$C$49:$C$89,"&gt;=2.5",'Capital and Equipment Summary'!$C$49:$C$89,"&lt;=3")</f>
        <v>36</v>
      </c>
      <c r="G24" s="118">
        <f>_xlfn.MAXIFS('Capital and Equipment Summary'!$E$49:$E$89,'Capital and Equipment Summary'!$C$49:$C$89,"&gt;3")</f>
        <v>48</v>
      </c>
    </row>
    <row r="25" spans="2:7" ht="15.75" thickBot="1">
      <c r="B25" s="99" t="s">
        <v>346</v>
      </c>
      <c r="C25" s="119">
        <f>AVERAGEIFS('Capital and Equipment Summary'!D49:D126,'Capital and Equipment Summary'!$C$49:$C$126,"&lt;="&amp;C22)</f>
        <v>6.2857142857142856</v>
      </c>
      <c r="D25" s="120">
        <f>AVERAGEIFS('Capital and Equipment Summary'!$D$49:$D$126,'Capital and Equipment Summary'!$C$49:$C$126,"&gt;"&amp;C22,'Capital and Equipment Summary'!$C$49:$C$126,"&lt;="&amp;D22)</f>
        <v>9.5</v>
      </c>
      <c r="E25" s="119">
        <f>AVERAGEIFS('Capital and Equipment Summary'!$D$49:$D$126,'Capital and Equipment Summary'!$C$49:$C$126,"&gt;"&amp;D22,'Capital and Equipment Summary'!$C$49:$C$126,"&lt;="&amp;E22)</f>
        <v>9.375</v>
      </c>
      <c r="F25" s="119">
        <f>AVERAGEIFS('Capital and Equipment Summary'!$D$49:$D$126,'Capital and Equipment Summary'!$C$49:$C$126,"&gt;"&amp;E22,'Capital and Equipment Summary'!$C$49:$C$126,"&lt;="&amp;F22)</f>
        <v>19.5</v>
      </c>
      <c r="G25" s="121">
        <f>AVERAGEIFS('Capital and Equipment Summary'!D49:D126,'Capital and Equipment Summary'!$C$49:$C$126,"&gt;3")</f>
        <v>25.3125</v>
      </c>
    </row>
    <row r="26" spans="2:7"/>
    <row r="27" spans="2:7" ht="15.75" thickBot="1">
      <c r="B27" s="53" t="s">
        <v>347</v>
      </c>
    </row>
    <row r="28" spans="2:7" ht="15.75" thickBot="1">
      <c r="B28" s="310" t="s">
        <v>278</v>
      </c>
      <c r="C28" s="311" t="s">
        <v>334</v>
      </c>
      <c r="D28" s="312" t="s">
        <v>335</v>
      </c>
    </row>
    <row r="29" spans="2:7">
      <c r="B29" s="313" t="s">
        <v>348</v>
      </c>
      <c r="C29" s="315">
        <v>0</v>
      </c>
      <c r="D29" s="314"/>
    </row>
    <row r="30" spans="2:7">
      <c r="B30" s="95" t="s">
        <v>349</v>
      </c>
      <c r="C30" s="114">
        <f>('Capital and Equipment Summary'!B19*'Capital and Equipment Summary'!C19)+('Capital and Equipment Summary'!B20*'Capital and Equipment Summary'!C20)+('Capital and Equipment Summary'!B21*'Capital and Equipment Summary'!C21)+('Capital and Equipment Summary'!B22*'Capital and Equipment Summary'!C22)+('Capital and Equipment Summary'!B23*'Capital and Equipment Summary'!C23)*(1+C29)</f>
        <v>1446.25</v>
      </c>
      <c r="D30" s="112" t="s">
        <v>112</v>
      </c>
    </row>
    <row r="31" spans="2:7">
      <c r="B31" s="97" t="s">
        <v>350</v>
      </c>
      <c r="C31" s="107">
        <v>27</v>
      </c>
      <c r="D31" s="108"/>
    </row>
    <row r="32" spans="2:7">
      <c r="B32" s="97" t="s">
        <v>351</v>
      </c>
      <c r="C32" s="107">
        <v>2.5</v>
      </c>
      <c r="D32" s="108" t="s">
        <v>112</v>
      </c>
    </row>
    <row r="33" spans="2:4">
      <c r="B33" s="93" t="s">
        <v>352</v>
      </c>
      <c r="C33" s="107">
        <v>1</v>
      </c>
      <c r="D33" s="108" t="s">
        <v>353</v>
      </c>
    </row>
    <row r="34" spans="2:4">
      <c r="B34" s="97" t="s">
        <v>354</v>
      </c>
      <c r="C34" s="105">
        <f>INDEX(B22:G25,4,MATCH(C32,B22:G22))</f>
        <v>9.375</v>
      </c>
      <c r="D34" s="108" t="s">
        <v>355</v>
      </c>
    </row>
    <row r="35" spans="2:4">
      <c r="B35" s="97" t="s">
        <v>356</v>
      </c>
      <c r="C35" s="106">
        <f>C30/(C31*C33*C32/C34)</f>
        <v>200.86805555555554</v>
      </c>
      <c r="D35" s="108" t="s">
        <v>355</v>
      </c>
    </row>
    <row r="36" spans="2:4" ht="15.75" thickBot="1">
      <c r="B36" s="99" t="s">
        <v>357</v>
      </c>
      <c r="C36" s="113">
        <f>ROUNDUP(C35/12,0)</f>
        <v>17</v>
      </c>
      <c r="D36" s="110" t="s">
        <v>358</v>
      </c>
    </row>
    <row r="37" spans="2:4"/>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50844B5-763D-4E38-8C8F-F3012111ACC4}">
          <x14:formula1>
            <xm:f>Sheet1!$E$28:$E$34</xm:f>
          </x14:formula1>
          <xm:sqref>C29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BA41-EF3E-4339-AC0D-395B008BDAA9}">
  <sheetPr>
    <tabColor rgb="FFFFFF00"/>
  </sheetPr>
  <dimension ref="A1:G30"/>
  <sheetViews>
    <sheetView workbookViewId="0">
      <selection activeCell="D27" sqref="D27"/>
    </sheetView>
  </sheetViews>
  <sheetFormatPr defaultColWidth="0" defaultRowHeight="15" zeroHeight="1"/>
  <cols>
    <col min="1" max="1" width="9.140625" style="50" customWidth="1"/>
    <col min="2" max="2" width="39.7109375" style="50" bestFit="1" customWidth="1"/>
    <col min="3" max="3" width="50.42578125" style="50" bestFit="1" customWidth="1"/>
    <col min="4" max="4" width="68.140625" style="50" bestFit="1" customWidth="1"/>
    <col min="5" max="5" width="20.42578125" style="50" bestFit="1" customWidth="1"/>
    <col min="6" max="7" width="9.140625" style="50" customWidth="1"/>
    <col min="8" max="16384" width="9.140625" style="50" hidden="1"/>
  </cols>
  <sheetData>
    <row r="1" spans="2:5" ht="15.75" thickBot="1"/>
    <row r="2" spans="2:5" ht="15.75" thickBot="1">
      <c r="C2" s="49" t="s">
        <v>50</v>
      </c>
      <c r="D2" s="33" t="s">
        <v>51</v>
      </c>
    </row>
    <row r="3" spans="2:5" ht="30.75" thickBot="1">
      <c r="C3" s="30">
        <v>6</v>
      </c>
      <c r="D3" s="31" t="str">
        <f>VLOOKUP(C3,'Site Guide'!D8:G17,3,0)</f>
        <v>Analysis of key professions' personnel replenishment based on actual and projected values</v>
      </c>
    </row>
    <row r="4" spans="2:5"/>
    <row r="5" spans="2:5"/>
    <row r="6" spans="2:5"/>
    <row r="7" spans="2:5" ht="15.75" thickBot="1">
      <c r="B7" s="53" t="s">
        <v>359</v>
      </c>
    </row>
    <row r="8" spans="2:5" ht="15.75" thickBot="1">
      <c r="B8" s="67" t="s">
        <v>278</v>
      </c>
      <c r="C8" s="85" t="s">
        <v>360</v>
      </c>
    </row>
    <row r="9" spans="2:5">
      <c r="B9" s="86" t="s">
        <v>361</v>
      </c>
      <c r="C9" s="81">
        <v>0.08</v>
      </c>
    </row>
    <row r="10" spans="2:5">
      <c r="B10" s="86" t="s">
        <v>106</v>
      </c>
      <c r="C10" s="81">
        <v>0.04</v>
      </c>
    </row>
    <row r="11" spans="2:5" ht="15.75" thickBot="1">
      <c r="B11" s="94" t="s">
        <v>108</v>
      </c>
      <c r="C11" s="83">
        <v>0.2</v>
      </c>
    </row>
    <row r="12" spans="2:5"/>
    <row r="13" spans="2:5"/>
    <row r="14" spans="2:5" ht="15.75" thickBot="1">
      <c r="B14" s="53" t="s">
        <v>362</v>
      </c>
      <c r="C14" s="54" t="s">
        <v>363</v>
      </c>
      <c r="E14" s="54" t="s">
        <v>364</v>
      </c>
    </row>
    <row r="15" spans="2:5" ht="15.75" thickBot="1">
      <c r="B15" s="67" t="s">
        <v>145</v>
      </c>
      <c r="C15" s="84" t="s">
        <v>365</v>
      </c>
      <c r="D15" s="84" t="s">
        <v>366</v>
      </c>
      <c r="E15" s="91" t="s">
        <v>367</v>
      </c>
    </row>
    <row r="16" spans="2:5">
      <c r="B16" s="86" t="s">
        <v>151</v>
      </c>
      <c r="C16" s="89" t="s">
        <v>368</v>
      </c>
      <c r="D16" s="89" t="s">
        <v>132</v>
      </c>
      <c r="E16" s="78">
        <v>1</v>
      </c>
    </row>
    <row r="17" spans="2:5">
      <c r="B17" s="86" t="str">
        <f>'People Stats'!H19</f>
        <v>Certificates 4</v>
      </c>
      <c r="C17" s="89" t="s">
        <v>368</v>
      </c>
      <c r="D17" s="89" t="s">
        <v>132</v>
      </c>
      <c r="E17" s="78">
        <v>1</v>
      </c>
    </row>
    <row r="18" spans="2:5">
      <c r="B18" s="86" t="str">
        <f>'People Stats'!H29</f>
        <v>Certificates &amp; Diplomas 5-7</v>
      </c>
      <c r="C18" s="89" t="s">
        <v>368</v>
      </c>
      <c r="D18" s="89" t="s">
        <v>132</v>
      </c>
      <c r="E18" s="78">
        <v>1</v>
      </c>
    </row>
    <row r="19" spans="2:5">
      <c r="B19" s="86" t="str">
        <f>'People Stats'!H39</f>
        <v>Bachelors degrees 7</v>
      </c>
      <c r="C19" s="89" t="s">
        <v>129</v>
      </c>
      <c r="D19" s="89" t="s">
        <v>131</v>
      </c>
      <c r="E19" s="78">
        <v>1</v>
      </c>
    </row>
    <row r="20" spans="2:5">
      <c r="B20" s="87" t="str">
        <f>'People Stats'!H49</f>
        <v>Graduate certificates/diplomas 7</v>
      </c>
      <c r="C20" s="89" t="s">
        <v>129</v>
      </c>
      <c r="D20" s="89" t="s">
        <v>131</v>
      </c>
      <c r="E20" s="78">
        <v>1</v>
      </c>
    </row>
    <row r="21" spans="2:5" ht="15.75" thickBot="1">
      <c r="B21" s="88" t="s">
        <v>173</v>
      </c>
      <c r="C21" s="90" t="s">
        <v>129</v>
      </c>
      <c r="D21" s="90" t="s">
        <v>131</v>
      </c>
      <c r="E21" s="79">
        <v>1</v>
      </c>
    </row>
    <row r="22" spans="2:5"/>
    <row r="23" spans="2:5" ht="15.75" thickBot="1">
      <c r="B23" s="53" t="s">
        <v>369</v>
      </c>
      <c r="C23" s="80" t="s">
        <v>370</v>
      </c>
    </row>
    <row r="24" spans="2:5" ht="15.75" thickBot="1">
      <c r="B24" s="76" t="s">
        <v>278</v>
      </c>
      <c r="C24" s="68" t="s">
        <v>371</v>
      </c>
    </row>
    <row r="25" spans="2:5">
      <c r="B25" s="77" t="s">
        <v>372</v>
      </c>
      <c r="C25" s="81">
        <f>IF('Personnel Analysis'!$H$3=Sheet1!$C$18,Sheet1!$D$18,IF('Personnel Analysis'!$H$3=Sheet1!$C$19,Sheet1!$D$19,3%))</f>
        <v>0.03</v>
      </c>
    </row>
    <row r="26" spans="2:5">
      <c r="B26" s="77" t="s">
        <v>373</v>
      </c>
      <c r="C26" s="81">
        <f>IF('Personnel Analysis'!$H$3=Sheet1!$C$20,Sheet1!$E$20,IF('Personnel Analysis'!$H$3=Sheet1!$C$21,Sheet1!$E$21,0.09*(0.36)))</f>
        <v>3.2399999999999998E-2</v>
      </c>
      <c r="E26" s="53"/>
    </row>
    <row r="27" spans="2:5">
      <c r="B27" s="77" t="s">
        <v>374</v>
      </c>
      <c r="C27" s="81">
        <f>IF('Personnel Analysis'!$H$3=Sheet1!$C$22,Sheet1!$F$22,IF('Personnel Analysis'!$H$3=Sheet1!$C$23,Sheet1!$F$23,1%))</f>
        <v>0.01</v>
      </c>
    </row>
    <row r="28" spans="2:5" ht="15.75" thickBot="1">
      <c r="B28" s="82" t="s">
        <v>375</v>
      </c>
      <c r="C28" s="83">
        <f>IF('Personnel Analysis'!$H$3=Sheet1!$C$24,Sheet1!$G$24,IF('Personnel Analysis'!$H$3=Sheet1!$F$25,Sheet1!$G$25,0%))</f>
        <v>0</v>
      </c>
    </row>
    <row r="29" spans="2:5"/>
    <row r="30" spans="2:5"/>
  </sheetData>
  <hyperlinks>
    <hyperlink ref="C23" location="REF!B11" display="[6]" xr:uid="{86E92A23-9B15-4B94-9B44-AA3195F9150C}"/>
    <hyperlink ref="C14" location="REF!B12" display="[7]" xr:uid="{7EC4CC95-CE49-467C-9BB9-BFB4E28381AE}"/>
    <hyperlink ref="E14" location="REF!B13" display="[8]" xr:uid="{42D99739-F7E4-4AD0-9059-B8DC8003148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D22A7-86AB-4293-A4F3-08B937A9CABD}">
  <dimension ref="A1:E19"/>
  <sheetViews>
    <sheetView workbookViewId="0">
      <selection activeCell="E15" sqref="E14:E15"/>
    </sheetView>
  </sheetViews>
  <sheetFormatPr defaultColWidth="0" defaultRowHeight="15" zeroHeight="1"/>
  <cols>
    <col min="1" max="1" width="9.140625" style="50" customWidth="1"/>
    <col min="2" max="2" width="17.85546875" style="50" bestFit="1" customWidth="1"/>
    <col min="3" max="3" width="168.42578125" style="50" bestFit="1" customWidth="1"/>
    <col min="4" max="5" width="9.140625" style="50" customWidth="1"/>
    <col min="6" max="16384" width="9.140625" style="50" hidden="1"/>
  </cols>
  <sheetData>
    <row r="1" spans="2:3" ht="15.75" thickBot="1"/>
    <row r="2" spans="2:3" ht="15.75" thickBot="1">
      <c r="B2" s="49" t="s">
        <v>50</v>
      </c>
      <c r="C2" s="33" t="s">
        <v>51</v>
      </c>
    </row>
    <row r="3" spans="2:3" ht="15.75" thickBot="1">
      <c r="B3" s="51">
        <v>10</v>
      </c>
      <c r="C3" s="62" t="str">
        <f>VLOOKUP(B3,'Site Guide'!$D$9:$G$19,3,0)</f>
        <v>References used in this section of the study</v>
      </c>
    </row>
    <row r="4" spans="2:3" ht="15.75" thickBot="1"/>
    <row r="5" spans="2:3" ht="15.75" thickBot="1">
      <c r="B5" s="67" t="s">
        <v>376</v>
      </c>
      <c r="C5" s="68" t="s">
        <v>377</v>
      </c>
    </row>
    <row r="6" spans="2:3">
      <c r="B6" s="69" t="s">
        <v>53</v>
      </c>
      <c r="C6" s="70" t="s">
        <v>378</v>
      </c>
    </row>
    <row r="7" spans="2:3">
      <c r="B7" s="71" t="s">
        <v>175</v>
      </c>
      <c r="C7" s="72" t="s">
        <v>379</v>
      </c>
    </row>
    <row r="8" spans="2:3">
      <c r="B8" s="71" t="s">
        <v>137</v>
      </c>
      <c r="C8" s="72" t="s">
        <v>380</v>
      </c>
    </row>
    <row r="9" spans="2:3">
      <c r="B9" s="71" t="s">
        <v>164</v>
      </c>
      <c r="C9" s="72" t="s">
        <v>381</v>
      </c>
    </row>
    <row r="10" spans="2:3">
      <c r="B10" s="71" t="s">
        <v>140</v>
      </c>
      <c r="C10" s="72" t="s">
        <v>382</v>
      </c>
    </row>
    <row r="11" spans="2:3">
      <c r="B11" s="71" t="s">
        <v>370</v>
      </c>
      <c r="C11" s="72" t="s">
        <v>383</v>
      </c>
    </row>
    <row r="12" spans="2:3">
      <c r="B12" s="71" t="s">
        <v>363</v>
      </c>
      <c r="C12" s="72" t="s">
        <v>384</v>
      </c>
    </row>
    <row r="13" spans="2:3">
      <c r="B13" s="71" t="s">
        <v>364</v>
      </c>
      <c r="C13" s="72" t="s">
        <v>385</v>
      </c>
    </row>
    <row r="14" spans="2:3">
      <c r="B14" s="71" t="s">
        <v>165</v>
      </c>
      <c r="C14" s="72" t="s">
        <v>386</v>
      </c>
    </row>
    <row r="15" spans="2:3" ht="15.75" thickBot="1">
      <c r="B15" s="73" t="s">
        <v>110</v>
      </c>
      <c r="C15" s="74" t="s">
        <v>387</v>
      </c>
    </row>
    <row r="16" spans="2:3"/>
    <row r="17" spans="3:3">
      <c r="C17" s="54"/>
    </row>
    <row r="18" spans="3:3"/>
    <row r="19" spans="3:3"/>
  </sheetData>
  <hyperlinks>
    <hyperlink ref="C7" r:id="rId1" xr:uid="{F2EFA9EC-7B56-4FBD-9B79-CCAEB81B5625}"/>
    <hyperlink ref="C8" r:id="rId2" xr:uid="{22627189-72E5-4BB1-97F4-EAC9FBFC155B}"/>
    <hyperlink ref="C9" r:id="rId3" xr:uid="{769D2264-AD3D-49FF-A9E8-AEF593BBAFC4}"/>
    <hyperlink ref="C11" r:id="rId4" xr:uid="{C33FF4E4-1694-48EA-AD1F-3A8BA7BFE5A8}"/>
    <hyperlink ref="C12" r:id="rId5" xr:uid="{98079A18-7B30-4509-A11E-ABE41CB908BD}"/>
    <hyperlink ref="C13" r:id="rId6" xr:uid="{CFDFBEC9-786B-4DB6-B592-D0849C749020}"/>
    <hyperlink ref="C10" r:id="rId7" display="https://www.educationcounts.govt.nz/statistics/tertiary-participation" xr:uid="{5FFBD6ED-1FE2-458C-82E1-FAA3883294F4}"/>
    <hyperlink ref="C14" r:id="rId8" location=":~:text=ended%20December%202022-,Annual%20migration,of%2017%2C600%20(%C2%B1%20100)" xr:uid="{B55A0261-E49A-4C76-A5E0-5F807666AC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697EC-08A8-4BAA-B875-08D495404DB0}">
  <sheetPr>
    <tabColor rgb="FF7030A0"/>
  </sheetPr>
  <dimension ref="A1:X126"/>
  <sheetViews>
    <sheetView zoomScale="70" zoomScaleNormal="70" workbookViewId="0">
      <selection activeCell="K45" sqref="K45:K46"/>
    </sheetView>
  </sheetViews>
  <sheetFormatPr defaultColWidth="0" defaultRowHeight="15" zeroHeight="1"/>
  <cols>
    <col min="1" max="1" width="8.7109375" style="29" customWidth="1"/>
    <col min="2" max="2" width="38" style="50" bestFit="1" customWidth="1"/>
    <col min="3" max="3" width="23" style="50" bestFit="1" customWidth="1"/>
    <col min="4" max="4" width="26.42578125" style="50" bestFit="1" customWidth="1"/>
    <col min="5" max="5" width="19.5703125" style="50" bestFit="1" customWidth="1"/>
    <col min="6" max="6" width="17.28515625" style="50" bestFit="1" customWidth="1"/>
    <col min="7" max="7" width="16" style="50" bestFit="1" customWidth="1"/>
    <col min="8" max="9" width="17.7109375" style="50" bestFit="1" customWidth="1"/>
    <col min="10" max="11" width="16.85546875" style="50" bestFit="1" customWidth="1"/>
    <col min="12" max="12" width="17.7109375" style="50" bestFit="1" customWidth="1"/>
    <col min="13" max="13" width="17.28515625" style="50" bestFit="1" customWidth="1"/>
    <col min="14" max="14" width="17.7109375" style="50" bestFit="1" customWidth="1"/>
    <col min="15" max="15" width="25.85546875" style="50" bestFit="1" customWidth="1"/>
    <col min="16" max="16" width="24.85546875" style="50" bestFit="1" customWidth="1"/>
    <col min="17" max="17" width="16.85546875" style="50" bestFit="1" customWidth="1"/>
    <col min="18" max="18" width="25" style="50" bestFit="1" customWidth="1"/>
    <col min="19" max="19" width="27.85546875" style="50" bestFit="1" customWidth="1"/>
    <col min="20" max="20" width="21.140625" style="50" bestFit="1" customWidth="1"/>
    <col min="21" max="22" width="8.7109375" style="29" customWidth="1"/>
    <col min="23" max="24" width="0" style="29" hidden="1" customWidth="1"/>
    <col min="25" max="16384" width="8.7109375" style="29" hidden="1"/>
  </cols>
  <sheetData>
    <row r="1" spans="2:9" ht="15.75" thickBot="1"/>
    <row r="2" spans="2:9" ht="15.75" thickBot="1">
      <c r="B2"/>
      <c r="C2" s="32" t="s">
        <v>50</v>
      </c>
      <c r="D2" s="33" t="s">
        <v>51</v>
      </c>
    </row>
    <row r="3" spans="2:9" ht="45.75" thickBot="1">
      <c r="C3" s="51">
        <v>2</v>
      </c>
      <c r="D3" s="62" t="str">
        <f>VLOOKUP(C3,'Site Guide'!$D$9:$F$19,3,0)</f>
        <v>Summary tables of information from Section A analysis</v>
      </c>
    </row>
    <row r="4" spans="2:9"/>
    <row r="5" spans="2:9" ht="15.75" thickBot="1">
      <c r="B5" s="53" t="s">
        <v>52</v>
      </c>
      <c r="C5" s="54" t="s">
        <v>53</v>
      </c>
    </row>
    <row r="6" spans="2:9" ht="15.75" thickBot="1">
      <c r="B6" s="67" t="s">
        <v>54</v>
      </c>
      <c r="C6" s="84" t="s">
        <v>55</v>
      </c>
      <c r="D6" s="84" t="s">
        <v>56</v>
      </c>
      <c r="E6" s="84" t="s">
        <v>57</v>
      </c>
      <c r="F6" s="84" t="s">
        <v>58</v>
      </c>
      <c r="G6" s="84" t="s">
        <v>59</v>
      </c>
      <c r="H6" s="84" t="s">
        <v>60</v>
      </c>
      <c r="I6" s="85" t="s">
        <v>61</v>
      </c>
    </row>
    <row r="7" spans="2:9">
      <c r="B7" s="152" t="s">
        <v>62</v>
      </c>
      <c r="C7" s="153">
        <v>229</v>
      </c>
      <c r="D7" s="153">
        <v>131</v>
      </c>
      <c r="E7" s="153">
        <v>55</v>
      </c>
      <c r="F7" s="153">
        <v>72</v>
      </c>
      <c r="G7" s="153">
        <v>32</v>
      </c>
      <c r="H7" s="153">
        <v>4</v>
      </c>
      <c r="I7" s="154">
        <v>0</v>
      </c>
    </row>
    <row r="8" spans="2:9">
      <c r="B8" s="155" t="s">
        <v>63</v>
      </c>
      <c r="C8" s="156">
        <v>168</v>
      </c>
      <c r="D8" s="156">
        <v>119</v>
      </c>
      <c r="E8" s="156">
        <v>70</v>
      </c>
      <c r="F8" s="156">
        <v>38</v>
      </c>
      <c r="G8" s="156">
        <v>15</v>
      </c>
      <c r="H8" s="156">
        <v>4</v>
      </c>
      <c r="I8" s="157">
        <v>6</v>
      </c>
    </row>
    <row r="9" spans="2:9">
      <c r="B9" s="155" t="s">
        <v>64</v>
      </c>
      <c r="C9" s="156">
        <v>0</v>
      </c>
      <c r="D9" s="156">
        <v>2</v>
      </c>
      <c r="E9" s="156">
        <v>1</v>
      </c>
      <c r="F9" s="156">
        <v>0</v>
      </c>
      <c r="G9" s="156">
        <v>1</v>
      </c>
      <c r="H9" s="156">
        <v>0</v>
      </c>
      <c r="I9" s="157">
        <v>0</v>
      </c>
    </row>
    <row r="10" spans="2:9">
      <c r="B10" s="155" t="s">
        <v>65</v>
      </c>
      <c r="C10" s="156">
        <v>0</v>
      </c>
      <c r="D10" s="156">
        <v>2</v>
      </c>
      <c r="E10" s="156">
        <v>1</v>
      </c>
      <c r="F10" s="156">
        <v>0</v>
      </c>
      <c r="G10" s="156">
        <v>1</v>
      </c>
      <c r="H10" s="156">
        <v>0</v>
      </c>
      <c r="I10" s="157">
        <v>0</v>
      </c>
    </row>
    <row r="11" spans="2:9">
      <c r="B11" s="155" t="s">
        <v>66</v>
      </c>
      <c r="C11" s="156">
        <v>111</v>
      </c>
      <c r="D11" s="156">
        <v>135</v>
      </c>
      <c r="E11" s="156">
        <v>65</v>
      </c>
      <c r="F11" s="156">
        <v>22</v>
      </c>
      <c r="G11" s="156">
        <v>27</v>
      </c>
      <c r="H11" s="156">
        <v>18</v>
      </c>
      <c r="I11" s="157">
        <v>13</v>
      </c>
    </row>
    <row r="12" spans="2:9">
      <c r="B12" s="155" t="s">
        <v>67</v>
      </c>
      <c r="C12" s="156">
        <v>72</v>
      </c>
      <c r="D12" s="156">
        <v>25</v>
      </c>
      <c r="E12" s="156">
        <v>8</v>
      </c>
      <c r="F12" s="156">
        <v>10</v>
      </c>
      <c r="G12" s="156">
        <v>12</v>
      </c>
      <c r="H12" s="156">
        <v>1</v>
      </c>
      <c r="I12" s="157">
        <v>0</v>
      </c>
    </row>
    <row r="13" spans="2:9">
      <c r="B13" s="155" t="s">
        <v>68</v>
      </c>
      <c r="C13" s="156">
        <v>0</v>
      </c>
      <c r="D13" s="156">
        <v>0</v>
      </c>
      <c r="E13" s="156">
        <v>5</v>
      </c>
      <c r="F13" s="156">
        <v>0</v>
      </c>
      <c r="G13" s="156">
        <v>2</v>
      </c>
      <c r="H13" s="156">
        <v>0</v>
      </c>
      <c r="I13" s="157">
        <v>0</v>
      </c>
    </row>
    <row r="14" spans="2:9" ht="15.75" thickBot="1">
      <c r="B14" s="158" t="s">
        <v>69</v>
      </c>
      <c r="C14" s="159">
        <v>323</v>
      </c>
      <c r="D14" s="159">
        <v>244</v>
      </c>
      <c r="E14" s="159">
        <v>354</v>
      </c>
      <c r="F14" s="159">
        <v>347</v>
      </c>
      <c r="G14" s="159">
        <v>153</v>
      </c>
      <c r="H14" s="159">
        <v>83</v>
      </c>
      <c r="I14" s="160">
        <v>220</v>
      </c>
    </row>
    <row r="15" spans="2:9"/>
    <row r="16" spans="2:9"/>
    <row r="17" spans="2:20" ht="15.75" thickBot="1">
      <c r="B17" s="53" t="s">
        <v>70</v>
      </c>
      <c r="C17" s="54" t="s">
        <v>53</v>
      </c>
    </row>
    <row r="18" spans="2:20" ht="15.75" thickBot="1">
      <c r="B18" s="161" t="s">
        <v>71</v>
      </c>
      <c r="C18" s="85" t="s">
        <v>72</v>
      </c>
    </row>
    <row r="19" spans="2:20">
      <c r="B19" s="152">
        <v>0.25</v>
      </c>
      <c r="C19" s="162">
        <v>252</v>
      </c>
    </row>
    <row r="20" spans="2:20">
      <c r="B20" s="155">
        <v>0.5</v>
      </c>
      <c r="C20" s="163">
        <v>189</v>
      </c>
    </row>
    <row r="21" spans="2:20">
      <c r="B21" s="155">
        <v>0.75</v>
      </c>
      <c r="C21" s="163">
        <v>85</v>
      </c>
    </row>
    <row r="22" spans="2:20">
      <c r="B22" s="164">
        <v>1</v>
      </c>
      <c r="C22" s="165">
        <v>202</v>
      </c>
    </row>
    <row r="23" spans="2:20" ht="15.75" thickBot="1">
      <c r="B23" s="158">
        <v>1.5</v>
      </c>
      <c r="C23" s="166">
        <v>682</v>
      </c>
    </row>
    <row r="24" spans="2:20"/>
    <row r="25" spans="2:20"/>
    <row r="26" spans="2:20" ht="15.75" thickBot="1">
      <c r="B26" s="53" t="s">
        <v>73</v>
      </c>
      <c r="C26" s="54" t="s">
        <v>53</v>
      </c>
      <c r="D26" s="167"/>
      <c r="E26" s="167"/>
      <c r="F26" s="167"/>
      <c r="G26" s="167"/>
      <c r="H26" s="167"/>
      <c r="I26" s="167"/>
      <c r="J26" s="167"/>
      <c r="K26" s="167"/>
      <c r="L26" s="167"/>
      <c r="M26" s="167"/>
      <c r="N26" s="167"/>
      <c r="O26" s="167"/>
      <c r="P26" s="167"/>
      <c r="Q26" s="167"/>
      <c r="R26" s="167"/>
      <c r="S26" s="167"/>
      <c r="T26" s="167"/>
    </row>
    <row r="27" spans="2:20" ht="15.75" thickBot="1">
      <c r="B27" s="67"/>
      <c r="C27" s="75" t="s">
        <v>74</v>
      </c>
      <c r="D27" s="75" t="s">
        <v>75</v>
      </c>
      <c r="E27" s="75" t="s">
        <v>76</v>
      </c>
      <c r="F27" s="75" t="s">
        <v>77</v>
      </c>
      <c r="G27" s="75" t="s">
        <v>78</v>
      </c>
      <c r="H27" s="75" t="s">
        <v>79</v>
      </c>
      <c r="I27" s="75" t="s">
        <v>80</v>
      </c>
      <c r="J27" s="75" t="s">
        <v>81</v>
      </c>
      <c r="K27" s="75" t="s">
        <v>82</v>
      </c>
      <c r="L27" s="75" t="s">
        <v>83</v>
      </c>
      <c r="M27" s="75" t="s">
        <v>84</v>
      </c>
      <c r="N27" s="75" t="s">
        <v>85</v>
      </c>
      <c r="O27" s="75" t="s">
        <v>86</v>
      </c>
      <c r="P27" s="75" t="s">
        <v>87</v>
      </c>
      <c r="Q27" s="75" t="s">
        <v>88</v>
      </c>
      <c r="R27" s="168" t="s">
        <v>89</v>
      </c>
      <c r="S27" s="168" t="s">
        <v>90</v>
      </c>
      <c r="T27" s="68" t="s">
        <v>91</v>
      </c>
    </row>
    <row r="28" spans="2:20">
      <c r="B28" s="95" t="s">
        <v>92</v>
      </c>
      <c r="C28" s="169">
        <v>73563000</v>
      </c>
      <c r="D28" s="169">
        <v>158055000</v>
      </c>
      <c r="E28" s="169">
        <v>95213000</v>
      </c>
      <c r="F28" s="169">
        <v>51205000</v>
      </c>
      <c r="G28" s="169">
        <v>12615000</v>
      </c>
      <c r="H28" s="169">
        <v>25194000</v>
      </c>
      <c r="I28" s="169">
        <v>106976000</v>
      </c>
      <c r="J28" s="169">
        <v>72518000</v>
      </c>
      <c r="K28" s="169">
        <v>60562000</v>
      </c>
      <c r="L28" s="169">
        <v>21741000</v>
      </c>
      <c r="M28" s="169">
        <v>34645000</v>
      </c>
      <c r="N28" s="169">
        <v>65916000</v>
      </c>
      <c r="O28" s="169">
        <v>34758000</v>
      </c>
      <c r="P28" s="169">
        <v>1977000</v>
      </c>
      <c r="Q28" s="169">
        <v>18667000</v>
      </c>
      <c r="R28" s="169">
        <v>94325000</v>
      </c>
      <c r="S28" s="169">
        <v>259475000</v>
      </c>
      <c r="T28" s="170">
        <v>1187405000</v>
      </c>
    </row>
    <row r="29" spans="2:20">
      <c r="B29" s="97" t="s">
        <v>93</v>
      </c>
      <c r="C29" s="171">
        <v>2728000</v>
      </c>
      <c r="D29" s="171">
        <v>120749000</v>
      </c>
      <c r="E29" s="171">
        <v>90593000</v>
      </c>
      <c r="F29" s="171">
        <v>14282000</v>
      </c>
      <c r="G29" s="171">
        <v>670000</v>
      </c>
      <c r="H29" s="171">
        <v>8914000</v>
      </c>
      <c r="I29" s="171">
        <v>4775000</v>
      </c>
      <c r="J29" s="171">
        <v>23030000</v>
      </c>
      <c r="K29" s="171">
        <v>3024000</v>
      </c>
      <c r="L29" s="171">
        <v>47189000</v>
      </c>
      <c r="M29" s="171">
        <v>9366000</v>
      </c>
      <c r="N29" s="171">
        <v>52474000</v>
      </c>
      <c r="O29" s="171">
        <v>6407000</v>
      </c>
      <c r="P29" s="171">
        <v>1608000</v>
      </c>
      <c r="Q29" s="171">
        <v>5780000</v>
      </c>
      <c r="R29" s="171">
        <v>154346000</v>
      </c>
      <c r="S29" s="171">
        <v>68668000</v>
      </c>
      <c r="T29" s="170">
        <v>614603000</v>
      </c>
    </row>
    <row r="30" spans="2:20">
      <c r="B30" s="97" t="s">
        <v>94</v>
      </c>
      <c r="C30" s="172" t="s">
        <v>95</v>
      </c>
      <c r="D30" s="171">
        <v>4619000</v>
      </c>
      <c r="E30" s="172" t="s">
        <v>96</v>
      </c>
      <c r="F30" s="172" t="s">
        <v>96</v>
      </c>
      <c r="G30" s="172" t="s">
        <v>96</v>
      </c>
      <c r="H30" s="172" t="s">
        <v>96</v>
      </c>
      <c r="I30" s="172" t="s">
        <v>96</v>
      </c>
      <c r="J30" s="172" t="s">
        <v>96</v>
      </c>
      <c r="K30" s="172" t="s">
        <v>96</v>
      </c>
      <c r="L30" s="172" t="s">
        <v>96</v>
      </c>
      <c r="M30" s="172" t="s">
        <v>96</v>
      </c>
      <c r="N30" s="172" t="s">
        <v>96</v>
      </c>
      <c r="O30" s="172" t="s">
        <v>96</v>
      </c>
      <c r="P30" s="172" t="s">
        <v>96</v>
      </c>
      <c r="Q30" s="172" t="s">
        <v>96</v>
      </c>
      <c r="R30" s="172" t="s">
        <v>96</v>
      </c>
      <c r="S30" s="172" t="s">
        <v>96</v>
      </c>
      <c r="T30" s="170">
        <v>4619000</v>
      </c>
    </row>
    <row r="31" spans="2:20">
      <c r="B31" s="97" t="s">
        <v>97</v>
      </c>
      <c r="C31" s="171">
        <v>142000</v>
      </c>
      <c r="D31" s="172" t="s">
        <v>96</v>
      </c>
      <c r="E31" s="172" t="s">
        <v>96</v>
      </c>
      <c r="F31" s="172" t="s">
        <v>96</v>
      </c>
      <c r="G31" s="172" t="s">
        <v>96</v>
      </c>
      <c r="H31" s="171">
        <v>1045000</v>
      </c>
      <c r="I31" s="172" t="s">
        <v>96</v>
      </c>
      <c r="J31" s="172" t="s">
        <v>96</v>
      </c>
      <c r="K31" s="172" t="s">
        <v>96</v>
      </c>
      <c r="L31" s="172" t="s">
        <v>96</v>
      </c>
      <c r="M31" s="172" t="s">
        <v>96</v>
      </c>
      <c r="N31" s="172" t="s">
        <v>96</v>
      </c>
      <c r="O31" s="172" t="s">
        <v>96</v>
      </c>
      <c r="P31" s="172" t="s">
        <v>96</v>
      </c>
      <c r="Q31" s="172" t="s">
        <v>96</v>
      </c>
      <c r="R31" s="172" t="s">
        <v>96</v>
      </c>
      <c r="S31" s="172" t="s">
        <v>96</v>
      </c>
      <c r="T31" s="170">
        <v>1187000</v>
      </c>
    </row>
    <row r="32" spans="2:20">
      <c r="B32" s="97" t="s">
        <v>98</v>
      </c>
      <c r="C32" s="171">
        <v>73249000</v>
      </c>
      <c r="D32" s="171">
        <v>32493000</v>
      </c>
      <c r="E32" s="171">
        <v>178302000</v>
      </c>
      <c r="F32" s="171">
        <v>122073000</v>
      </c>
      <c r="G32" s="171">
        <v>25264000</v>
      </c>
      <c r="H32" s="171">
        <v>46572000</v>
      </c>
      <c r="I32" s="171">
        <v>71433000</v>
      </c>
      <c r="J32" s="171">
        <v>53577000</v>
      </c>
      <c r="K32" s="172" t="s">
        <v>96</v>
      </c>
      <c r="L32" s="171">
        <v>75948000</v>
      </c>
      <c r="M32" s="171">
        <v>22708000</v>
      </c>
      <c r="N32" s="171">
        <v>246166000</v>
      </c>
      <c r="O32" s="171">
        <v>13027000</v>
      </c>
      <c r="P32" s="172" t="s">
        <v>96</v>
      </c>
      <c r="Q32" s="171">
        <v>20495000</v>
      </c>
      <c r="R32" s="171">
        <v>488334000</v>
      </c>
      <c r="S32" s="171">
        <v>201413000</v>
      </c>
      <c r="T32" s="170">
        <v>1671054000</v>
      </c>
    </row>
    <row r="33" spans="2:20">
      <c r="B33" s="97" t="s">
        <v>99</v>
      </c>
      <c r="C33" s="172" t="s">
        <v>95</v>
      </c>
      <c r="D33" s="171">
        <v>13144000</v>
      </c>
      <c r="E33" s="171">
        <v>15585000</v>
      </c>
      <c r="F33" s="172" t="s">
        <v>96</v>
      </c>
      <c r="G33" s="172" t="s">
        <v>96</v>
      </c>
      <c r="H33" s="171">
        <v>3855000</v>
      </c>
      <c r="I33" s="171">
        <v>5499000</v>
      </c>
      <c r="J33" s="171">
        <v>3259000</v>
      </c>
      <c r="K33" s="171">
        <v>774000</v>
      </c>
      <c r="L33" s="171">
        <v>3537000</v>
      </c>
      <c r="M33" s="171">
        <v>1212000</v>
      </c>
      <c r="N33" s="171">
        <v>703000</v>
      </c>
      <c r="O33" s="172" t="s">
        <v>96</v>
      </c>
      <c r="P33" s="172" t="s">
        <v>96</v>
      </c>
      <c r="Q33" s="172" t="s">
        <v>96</v>
      </c>
      <c r="R33" s="171">
        <v>18092000</v>
      </c>
      <c r="S33" s="171">
        <v>23018000</v>
      </c>
      <c r="T33" s="170">
        <v>88678000</v>
      </c>
    </row>
    <row r="34" spans="2:20">
      <c r="B34" s="97" t="s">
        <v>100</v>
      </c>
      <c r="C34" s="172" t="s">
        <v>95</v>
      </c>
      <c r="D34" s="172" t="s">
        <v>96</v>
      </c>
      <c r="E34" s="171">
        <v>25798149</v>
      </c>
      <c r="F34" s="172" t="s">
        <v>96</v>
      </c>
      <c r="G34" s="172" t="s">
        <v>96</v>
      </c>
      <c r="H34" s="172" t="s">
        <v>96</v>
      </c>
      <c r="I34" s="171">
        <v>31261003</v>
      </c>
      <c r="J34" s="172" t="s">
        <v>96</v>
      </c>
      <c r="K34" s="172" t="s">
        <v>96</v>
      </c>
      <c r="L34" s="171">
        <v>4620564</v>
      </c>
      <c r="M34" s="172" t="s">
        <v>96</v>
      </c>
      <c r="N34" s="172" t="s">
        <v>96</v>
      </c>
      <c r="O34" s="172" t="s">
        <v>96</v>
      </c>
      <c r="P34" s="171">
        <v>7878062</v>
      </c>
      <c r="Q34" s="172" t="s">
        <v>96</v>
      </c>
      <c r="R34" s="171">
        <v>33288303</v>
      </c>
      <c r="S34" s="171">
        <v>19828013</v>
      </c>
      <c r="T34" s="170">
        <v>122674094</v>
      </c>
    </row>
    <row r="35" spans="2:20">
      <c r="B35" s="97" t="s">
        <v>101</v>
      </c>
      <c r="C35" s="171">
        <v>23112000</v>
      </c>
      <c r="D35" s="171">
        <v>56069000</v>
      </c>
      <c r="E35" s="171">
        <v>79072000</v>
      </c>
      <c r="F35" s="171">
        <v>39031000</v>
      </c>
      <c r="G35" s="171">
        <v>7242000</v>
      </c>
      <c r="H35" s="171">
        <v>20046000</v>
      </c>
      <c r="I35" s="171">
        <v>33230000</v>
      </c>
      <c r="J35" s="171">
        <v>28163000</v>
      </c>
      <c r="K35" s="171">
        <v>4480000</v>
      </c>
      <c r="L35" s="171">
        <v>30740000</v>
      </c>
      <c r="M35" s="171">
        <v>11051000</v>
      </c>
      <c r="N35" s="171">
        <v>81468000</v>
      </c>
      <c r="O35" s="171">
        <v>7186000</v>
      </c>
      <c r="P35" s="171">
        <v>719000</v>
      </c>
      <c r="Q35" s="171">
        <v>8033000</v>
      </c>
      <c r="R35" s="171">
        <v>163947000</v>
      </c>
      <c r="S35" s="171">
        <v>89558000</v>
      </c>
      <c r="T35" s="170">
        <v>683147000</v>
      </c>
    </row>
    <row r="36" spans="2:20">
      <c r="B36" s="97" t="s">
        <v>102</v>
      </c>
      <c r="C36" s="171">
        <v>59873000</v>
      </c>
      <c r="D36" s="171">
        <v>131624000</v>
      </c>
      <c r="E36" s="171">
        <v>151877000</v>
      </c>
      <c r="F36" s="171">
        <v>75024000</v>
      </c>
      <c r="G36" s="171">
        <v>15420000</v>
      </c>
      <c r="H36" s="171">
        <v>34232000</v>
      </c>
      <c r="I36" s="171">
        <v>75473000</v>
      </c>
      <c r="J36" s="171">
        <v>60954000</v>
      </c>
      <c r="K36" s="171">
        <v>25744000</v>
      </c>
      <c r="L36" s="171">
        <v>59367000</v>
      </c>
      <c r="M36" s="171">
        <v>27173000</v>
      </c>
      <c r="N36" s="171">
        <v>146104000</v>
      </c>
      <c r="O36" s="171">
        <v>21677000</v>
      </c>
      <c r="P36" s="171">
        <v>1434000</v>
      </c>
      <c r="Q36" s="171">
        <v>17977000</v>
      </c>
      <c r="R36" s="171">
        <v>302039000</v>
      </c>
      <c r="S36" s="171">
        <v>221030000</v>
      </c>
      <c r="T36" s="170">
        <v>1427022000</v>
      </c>
    </row>
    <row r="37" spans="2:20">
      <c r="B37" s="97" t="s">
        <v>103</v>
      </c>
      <c r="C37" s="171">
        <v>29936000</v>
      </c>
      <c r="D37" s="171">
        <v>65812000</v>
      </c>
      <c r="E37" s="171">
        <v>75938000</v>
      </c>
      <c r="F37" s="171">
        <v>37512000</v>
      </c>
      <c r="G37" s="171">
        <v>7710000</v>
      </c>
      <c r="H37" s="171">
        <v>17116000</v>
      </c>
      <c r="I37" s="171">
        <v>37737000</v>
      </c>
      <c r="J37" s="171">
        <v>30477000</v>
      </c>
      <c r="K37" s="171">
        <v>12872000</v>
      </c>
      <c r="L37" s="171">
        <v>29683000</v>
      </c>
      <c r="M37" s="171">
        <v>13586000</v>
      </c>
      <c r="N37" s="171">
        <v>73052000</v>
      </c>
      <c r="O37" s="171">
        <v>10838000</v>
      </c>
      <c r="P37" s="171">
        <v>717000</v>
      </c>
      <c r="Q37" s="171">
        <v>8988000</v>
      </c>
      <c r="R37" s="171">
        <v>151020000</v>
      </c>
      <c r="S37" s="171">
        <v>110515000</v>
      </c>
      <c r="T37" s="170">
        <v>713509000</v>
      </c>
    </row>
    <row r="38" spans="2:20">
      <c r="B38" s="97" t="s">
        <v>104</v>
      </c>
      <c r="C38" s="171">
        <v>15853000</v>
      </c>
      <c r="D38" s="171">
        <v>157833000</v>
      </c>
      <c r="E38" s="171">
        <v>117456000</v>
      </c>
      <c r="F38" s="171">
        <v>23252000</v>
      </c>
      <c r="G38" s="171">
        <v>1048000</v>
      </c>
      <c r="H38" s="171">
        <v>13791000</v>
      </c>
      <c r="I38" s="171">
        <v>27778000</v>
      </c>
      <c r="J38" s="171">
        <v>37824000</v>
      </c>
      <c r="K38" s="171">
        <v>12999000</v>
      </c>
      <c r="L38" s="171">
        <v>56173000</v>
      </c>
      <c r="M38" s="171">
        <v>15555000</v>
      </c>
      <c r="N38" s="171">
        <v>67837000</v>
      </c>
      <c r="O38" s="171">
        <v>12156000</v>
      </c>
      <c r="P38" s="171">
        <v>2196000</v>
      </c>
      <c r="Q38" s="171">
        <v>9655000</v>
      </c>
      <c r="R38" s="171">
        <v>190414000</v>
      </c>
      <c r="S38" s="171">
        <v>130971000</v>
      </c>
      <c r="T38" s="170">
        <v>892791000</v>
      </c>
    </row>
    <row r="39" spans="2:20">
      <c r="B39" s="97" t="s">
        <v>105</v>
      </c>
      <c r="C39" s="171">
        <v>787000</v>
      </c>
      <c r="D39" s="171">
        <v>10444000</v>
      </c>
      <c r="E39" s="171">
        <v>3122000</v>
      </c>
      <c r="F39" s="171">
        <v>3144000</v>
      </c>
      <c r="G39" s="171">
        <v>109000</v>
      </c>
      <c r="H39" s="171">
        <v>768000</v>
      </c>
      <c r="I39" s="171">
        <v>1686000</v>
      </c>
      <c r="J39" s="171">
        <v>2888000</v>
      </c>
      <c r="K39" s="171">
        <v>1851000</v>
      </c>
      <c r="L39" s="171">
        <v>833000</v>
      </c>
      <c r="M39" s="171">
        <v>1291000</v>
      </c>
      <c r="N39" s="171">
        <v>2876000</v>
      </c>
      <c r="O39" s="171">
        <v>1110000</v>
      </c>
      <c r="P39" s="171">
        <v>262000</v>
      </c>
      <c r="Q39" s="171">
        <v>674000</v>
      </c>
      <c r="R39" s="172" t="s">
        <v>96</v>
      </c>
      <c r="S39" s="172" t="s">
        <v>96</v>
      </c>
      <c r="T39" s="170">
        <v>31845000</v>
      </c>
    </row>
    <row r="40" spans="2:20">
      <c r="B40" s="97" t="s">
        <v>106</v>
      </c>
      <c r="C40" s="171">
        <v>11170000</v>
      </c>
      <c r="D40" s="171">
        <v>30034000</v>
      </c>
      <c r="E40" s="171">
        <v>33318000</v>
      </c>
      <c r="F40" s="171">
        <v>14621000</v>
      </c>
      <c r="G40" s="171">
        <v>2803000</v>
      </c>
      <c r="H40" s="171">
        <v>6861000</v>
      </c>
      <c r="I40" s="171">
        <v>15834000</v>
      </c>
      <c r="J40" s="171">
        <v>12508000</v>
      </c>
      <c r="K40" s="171">
        <v>4892000</v>
      </c>
      <c r="L40" s="171">
        <v>13193000</v>
      </c>
      <c r="M40" s="171">
        <v>5463000</v>
      </c>
      <c r="N40" s="171">
        <v>29464000</v>
      </c>
      <c r="O40" s="171">
        <v>4286000</v>
      </c>
      <c r="P40" s="171">
        <v>672000</v>
      </c>
      <c r="Q40" s="171">
        <v>3611000</v>
      </c>
      <c r="R40" s="171">
        <v>63832000</v>
      </c>
      <c r="S40" s="171">
        <v>44979000</v>
      </c>
      <c r="T40" s="170">
        <v>297541000</v>
      </c>
    </row>
    <row r="41" spans="2:20">
      <c r="B41" s="97" t="s">
        <v>107</v>
      </c>
      <c r="C41" s="171">
        <v>22339000</v>
      </c>
      <c r="D41" s="171">
        <v>60067000</v>
      </c>
      <c r="E41" s="171">
        <v>66636000</v>
      </c>
      <c r="F41" s="171">
        <v>29242000</v>
      </c>
      <c r="G41" s="171">
        <v>5606000</v>
      </c>
      <c r="H41" s="171">
        <v>13723000</v>
      </c>
      <c r="I41" s="171">
        <v>31668000</v>
      </c>
      <c r="J41" s="171">
        <v>25015000</v>
      </c>
      <c r="K41" s="171">
        <v>9785000</v>
      </c>
      <c r="L41" s="171">
        <v>26387000</v>
      </c>
      <c r="M41" s="171">
        <v>10927000</v>
      </c>
      <c r="N41" s="171">
        <v>58928000</v>
      </c>
      <c r="O41" s="171">
        <v>8573000</v>
      </c>
      <c r="P41" s="171">
        <v>1343000</v>
      </c>
      <c r="Q41" s="171">
        <v>7221000</v>
      </c>
      <c r="R41" s="171">
        <v>127664000</v>
      </c>
      <c r="S41" s="171">
        <v>89958000</v>
      </c>
      <c r="T41" s="170">
        <v>595082000</v>
      </c>
    </row>
    <row r="42" spans="2:20" ht="15.75" thickBot="1">
      <c r="B42" s="92" t="s">
        <v>108</v>
      </c>
      <c r="C42" s="173">
        <v>55849000</v>
      </c>
      <c r="D42" s="173">
        <v>150169000</v>
      </c>
      <c r="E42" s="173">
        <v>166591000</v>
      </c>
      <c r="F42" s="173">
        <v>73105000</v>
      </c>
      <c r="G42" s="173">
        <v>14015000</v>
      </c>
      <c r="H42" s="173">
        <v>34306000</v>
      </c>
      <c r="I42" s="173">
        <v>79170000</v>
      </c>
      <c r="J42" s="173">
        <v>62538000</v>
      </c>
      <c r="K42" s="173">
        <v>24461000</v>
      </c>
      <c r="L42" s="173">
        <v>65966000</v>
      </c>
      <c r="M42" s="173">
        <v>27317000</v>
      </c>
      <c r="N42" s="173">
        <v>147319000</v>
      </c>
      <c r="O42" s="173">
        <v>21432000</v>
      </c>
      <c r="P42" s="173">
        <v>3358000</v>
      </c>
      <c r="Q42" s="173">
        <v>18054000</v>
      </c>
      <c r="R42" s="173">
        <v>319161000</v>
      </c>
      <c r="S42" s="174">
        <v>224895000</v>
      </c>
      <c r="T42" s="175">
        <v>1487706000</v>
      </c>
    </row>
    <row r="43" spans="2:20" ht="15.75" thickBot="1">
      <c r="B43" s="176" t="s">
        <v>91</v>
      </c>
      <c r="C43" s="177">
        <f>SUM(C28:C42)</f>
        <v>368601000</v>
      </c>
      <c r="D43" s="177">
        <f t="shared" ref="D43:T43" si="0">SUM(D28:D42)</f>
        <v>991112000</v>
      </c>
      <c r="E43" s="177">
        <f t="shared" si="0"/>
        <v>1099501149</v>
      </c>
      <c r="F43" s="177">
        <f t="shared" si="0"/>
        <v>482491000</v>
      </c>
      <c r="G43" s="177">
        <f t="shared" si="0"/>
        <v>92502000</v>
      </c>
      <c r="H43" s="177">
        <f t="shared" si="0"/>
        <v>226423000</v>
      </c>
      <c r="I43" s="177">
        <f t="shared" si="0"/>
        <v>522520003</v>
      </c>
      <c r="J43" s="177">
        <f t="shared" si="0"/>
        <v>412751000</v>
      </c>
      <c r="K43" s="177">
        <f t="shared" si="0"/>
        <v>161444000</v>
      </c>
      <c r="L43" s="177">
        <f t="shared" si="0"/>
        <v>435377564</v>
      </c>
      <c r="M43" s="177">
        <f t="shared" si="0"/>
        <v>180294000</v>
      </c>
      <c r="N43" s="177">
        <f t="shared" si="0"/>
        <v>972307000</v>
      </c>
      <c r="O43" s="177">
        <f t="shared" si="0"/>
        <v>141450000</v>
      </c>
      <c r="P43" s="177">
        <f t="shared" si="0"/>
        <v>22164062</v>
      </c>
      <c r="Q43" s="177">
        <f t="shared" si="0"/>
        <v>119155000</v>
      </c>
      <c r="R43" s="177">
        <f t="shared" si="0"/>
        <v>2106462303</v>
      </c>
      <c r="S43" s="178">
        <f t="shared" si="0"/>
        <v>1484308013</v>
      </c>
      <c r="T43" s="179">
        <f t="shared" si="0"/>
        <v>9818863094</v>
      </c>
    </row>
    <row r="44" spans="2:20"/>
    <row r="45" spans="2:20"/>
    <row r="46" spans="2:20" ht="15.75" thickBot="1">
      <c r="B46" s="53" t="s">
        <v>109</v>
      </c>
      <c r="C46" s="54" t="s">
        <v>110</v>
      </c>
    </row>
    <row r="47" spans="2:20">
      <c r="B47" s="319" t="s">
        <v>111</v>
      </c>
      <c r="C47" s="321" t="s">
        <v>112</v>
      </c>
      <c r="D47" s="317" t="s">
        <v>113</v>
      </c>
      <c r="E47" s="318"/>
    </row>
    <row r="48" spans="2:20" ht="15.75" thickBot="1">
      <c r="B48" s="320"/>
      <c r="C48" s="322"/>
      <c r="D48" s="180" t="s">
        <v>114</v>
      </c>
      <c r="E48" s="181" t="s">
        <v>115</v>
      </c>
    </row>
    <row r="49" spans="2:5">
      <c r="B49" s="182">
        <v>1</v>
      </c>
      <c r="C49" s="183">
        <v>28.55</v>
      </c>
      <c r="D49" s="1">
        <v>36</v>
      </c>
      <c r="E49" s="184">
        <v>48</v>
      </c>
    </row>
    <row r="50" spans="2:5">
      <c r="B50" s="3">
        <v>2</v>
      </c>
      <c r="C50" s="1">
        <v>2.3199999999999998</v>
      </c>
      <c r="D50" s="1">
        <v>3</v>
      </c>
      <c r="E50" s="184">
        <v>6</v>
      </c>
    </row>
    <row r="51" spans="2:5">
      <c r="B51" s="3">
        <v>3</v>
      </c>
      <c r="C51" s="1">
        <v>10.25</v>
      </c>
      <c r="D51" s="1">
        <v>6</v>
      </c>
      <c r="E51" s="184">
        <v>12</v>
      </c>
    </row>
    <row r="52" spans="2:5">
      <c r="B52" s="3">
        <v>4</v>
      </c>
      <c r="C52" s="1">
        <v>2.61</v>
      </c>
      <c r="D52" s="1">
        <v>6</v>
      </c>
      <c r="E52" s="184">
        <v>12</v>
      </c>
    </row>
    <row r="53" spans="2:5">
      <c r="B53" s="3">
        <v>5</v>
      </c>
      <c r="C53" s="1">
        <v>2.23</v>
      </c>
      <c r="D53" s="1">
        <v>6</v>
      </c>
      <c r="E53" s="184">
        <v>12</v>
      </c>
    </row>
    <row r="54" spans="2:5">
      <c r="B54" s="3">
        <v>6</v>
      </c>
      <c r="C54" s="1">
        <v>1.77</v>
      </c>
      <c r="D54" s="1">
        <v>6</v>
      </c>
      <c r="E54" s="184">
        <v>12</v>
      </c>
    </row>
    <row r="55" spans="2:5">
      <c r="B55" s="3">
        <v>7</v>
      </c>
      <c r="C55" s="1">
        <v>1.02</v>
      </c>
      <c r="D55" s="1">
        <v>6</v>
      </c>
      <c r="E55" s="184">
        <v>12</v>
      </c>
    </row>
    <row r="56" spans="2:5">
      <c r="B56" s="3">
        <v>8</v>
      </c>
      <c r="C56" s="1">
        <v>16.8</v>
      </c>
      <c r="D56" s="1">
        <v>12</v>
      </c>
      <c r="E56" s="184">
        <v>24</v>
      </c>
    </row>
    <row r="57" spans="2:5">
      <c r="B57" s="3">
        <v>9</v>
      </c>
      <c r="C57" s="1">
        <v>2.16</v>
      </c>
      <c r="D57" s="1">
        <v>6</v>
      </c>
      <c r="E57" s="184">
        <v>12</v>
      </c>
    </row>
    <row r="58" spans="2:5">
      <c r="B58" s="3">
        <v>10</v>
      </c>
      <c r="C58" s="1">
        <v>1.18</v>
      </c>
      <c r="D58" s="1">
        <v>6</v>
      </c>
      <c r="E58" s="184">
        <v>12</v>
      </c>
    </row>
    <row r="59" spans="2:5">
      <c r="B59" s="3">
        <v>11</v>
      </c>
      <c r="C59" s="1">
        <v>2.5099999999999998</v>
      </c>
      <c r="D59" s="1">
        <v>24</v>
      </c>
      <c r="E59" s="184">
        <v>36</v>
      </c>
    </row>
    <row r="60" spans="2:5">
      <c r="B60" s="3">
        <v>12</v>
      </c>
      <c r="C60" s="1">
        <v>4</v>
      </c>
      <c r="D60" s="1">
        <v>2</v>
      </c>
      <c r="E60" s="184">
        <v>4</v>
      </c>
    </row>
    <row r="61" spans="2:5">
      <c r="B61" s="3">
        <v>13</v>
      </c>
      <c r="C61" s="1">
        <v>1.6</v>
      </c>
      <c r="D61" s="1">
        <v>3</v>
      </c>
      <c r="E61" s="184">
        <v>6</v>
      </c>
    </row>
    <row r="62" spans="2:5">
      <c r="B62" s="3">
        <v>14</v>
      </c>
      <c r="C62" s="1">
        <v>0.6</v>
      </c>
      <c r="D62" s="1">
        <v>3</v>
      </c>
      <c r="E62" s="184">
        <v>4</v>
      </c>
    </row>
    <row r="63" spans="2:5">
      <c r="B63" s="3">
        <v>15</v>
      </c>
      <c r="C63" s="1">
        <v>4.0999999999999996</v>
      </c>
      <c r="D63" s="1">
        <v>12</v>
      </c>
      <c r="E63" s="184">
        <v>18</v>
      </c>
    </row>
    <row r="64" spans="2:5">
      <c r="B64" s="3">
        <v>16</v>
      </c>
      <c r="C64" s="1">
        <v>1.4</v>
      </c>
      <c r="D64" s="1">
        <v>3</v>
      </c>
      <c r="E64" s="184">
        <v>6</v>
      </c>
    </row>
    <row r="65" spans="2:5">
      <c r="B65" s="3">
        <v>17</v>
      </c>
      <c r="C65" s="1">
        <v>0.13</v>
      </c>
      <c r="D65" s="1">
        <v>2</v>
      </c>
      <c r="E65" s="184">
        <v>4</v>
      </c>
    </row>
    <row r="66" spans="2:5">
      <c r="B66" s="3">
        <v>18</v>
      </c>
      <c r="C66" s="1">
        <v>0.9</v>
      </c>
      <c r="D66" s="1">
        <v>3</v>
      </c>
      <c r="E66" s="184">
        <v>6</v>
      </c>
    </row>
    <row r="67" spans="2:5">
      <c r="B67" s="3">
        <v>19</v>
      </c>
      <c r="C67" s="1">
        <v>0.9</v>
      </c>
      <c r="D67" s="1">
        <v>3</v>
      </c>
      <c r="E67" s="184">
        <v>4</v>
      </c>
    </row>
    <row r="68" spans="2:5">
      <c r="B68" s="3">
        <v>20</v>
      </c>
      <c r="C68" s="1">
        <v>0.9</v>
      </c>
      <c r="D68" s="1">
        <v>12</v>
      </c>
      <c r="E68" s="184">
        <v>18</v>
      </c>
    </row>
    <row r="69" spans="2:5">
      <c r="B69" s="3">
        <v>21</v>
      </c>
      <c r="C69" s="1">
        <v>1.3</v>
      </c>
      <c r="D69" s="1">
        <v>3</v>
      </c>
      <c r="E69" s="184">
        <v>6</v>
      </c>
    </row>
    <row r="70" spans="2:5">
      <c r="B70" s="3">
        <v>22</v>
      </c>
      <c r="C70" s="1">
        <v>0.4</v>
      </c>
      <c r="D70" s="1">
        <v>3</v>
      </c>
      <c r="E70" s="184">
        <v>6</v>
      </c>
    </row>
    <row r="71" spans="2:5">
      <c r="B71" s="3">
        <v>23</v>
      </c>
      <c r="C71" s="1">
        <v>2.4</v>
      </c>
      <c r="D71" s="1">
        <v>12</v>
      </c>
      <c r="E71" s="184">
        <v>18</v>
      </c>
    </row>
    <row r="72" spans="2:5">
      <c r="B72" s="3">
        <v>24</v>
      </c>
      <c r="C72" s="1">
        <v>1.5</v>
      </c>
      <c r="D72" s="1">
        <v>12</v>
      </c>
      <c r="E72" s="184">
        <v>18</v>
      </c>
    </row>
    <row r="73" spans="2:5">
      <c r="B73" s="3">
        <v>25</v>
      </c>
      <c r="C73" s="1">
        <v>0.6</v>
      </c>
      <c r="D73" s="1">
        <v>3</v>
      </c>
      <c r="E73" s="184">
        <v>6</v>
      </c>
    </row>
    <row r="74" spans="2:5">
      <c r="B74" s="3">
        <v>26</v>
      </c>
      <c r="C74" s="1">
        <v>1</v>
      </c>
      <c r="D74" s="1">
        <v>2</v>
      </c>
      <c r="E74" s="184">
        <v>4</v>
      </c>
    </row>
    <row r="75" spans="2:5">
      <c r="B75" s="3">
        <v>27</v>
      </c>
      <c r="C75" s="1">
        <v>1.9</v>
      </c>
      <c r="D75" s="1">
        <v>12</v>
      </c>
      <c r="E75" s="184">
        <v>18</v>
      </c>
    </row>
    <row r="76" spans="2:5">
      <c r="B76" s="3">
        <v>28</v>
      </c>
      <c r="C76" s="1">
        <v>0.6</v>
      </c>
      <c r="D76" s="1">
        <v>3</v>
      </c>
      <c r="E76" s="184">
        <v>6</v>
      </c>
    </row>
    <row r="77" spans="2:5">
      <c r="B77" s="3">
        <v>29</v>
      </c>
      <c r="C77" s="1">
        <v>23</v>
      </c>
      <c r="D77" s="1">
        <v>12</v>
      </c>
      <c r="E77" s="184">
        <v>18</v>
      </c>
    </row>
    <row r="78" spans="2:5">
      <c r="B78" s="3">
        <v>30</v>
      </c>
      <c r="C78" s="1">
        <v>5.0999999999999996</v>
      </c>
      <c r="D78" s="1">
        <v>18</v>
      </c>
      <c r="E78" s="184">
        <v>24</v>
      </c>
    </row>
    <row r="79" spans="2:5">
      <c r="B79" s="3">
        <v>31</v>
      </c>
      <c r="C79" s="1">
        <v>23.5</v>
      </c>
      <c r="D79" s="1">
        <v>24</v>
      </c>
      <c r="E79" s="184">
        <v>36</v>
      </c>
    </row>
    <row r="80" spans="2:5">
      <c r="B80" s="3">
        <v>32</v>
      </c>
      <c r="C80" s="1">
        <v>23.5</v>
      </c>
      <c r="D80" s="1">
        <v>24</v>
      </c>
      <c r="E80" s="184">
        <v>36</v>
      </c>
    </row>
    <row r="81" spans="2:5">
      <c r="B81" s="3">
        <v>33</v>
      </c>
      <c r="C81" s="1">
        <v>4</v>
      </c>
      <c r="D81" s="1">
        <v>18</v>
      </c>
      <c r="E81" s="184">
        <v>24</v>
      </c>
    </row>
    <row r="82" spans="2:5">
      <c r="B82" s="3">
        <v>34</v>
      </c>
      <c r="C82" s="1">
        <v>6.1</v>
      </c>
      <c r="D82" s="1">
        <v>12</v>
      </c>
      <c r="E82" s="184">
        <v>18</v>
      </c>
    </row>
    <row r="83" spans="2:5">
      <c r="B83" s="3">
        <v>35</v>
      </c>
      <c r="C83" s="1">
        <v>85</v>
      </c>
      <c r="D83" s="1">
        <v>36</v>
      </c>
      <c r="E83" s="184">
        <v>48</v>
      </c>
    </row>
    <row r="84" spans="2:5">
      <c r="B84" s="3">
        <v>36</v>
      </c>
      <c r="C84" s="1">
        <v>8</v>
      </c>
      <c r="D84" s="1">
        <v>24</v>
      </c>
      <c r="E84" s="184">
        <v>36</v>
      </c>
    </row>
    <row r="85" spans="2:5">
      <c r="B85" s="3">
        <v>37</v>
      </c>
      <c r="C85" s="1">
        <v>26.1</v>
      </c>
      <c r="D85" s="1">
        <v>36</v>
      </c>
      <c r="E85" s="184">
        <v>48</v>
      </c>
    </row>
    <row r="86" spans="2:5">
      <c r="B86" s="3">
        <v>38</v>
      </c>
      <c r="C86" s="1">
        <v>8.8000000000000007</v>
      </c>
      <c r="D86" s="1">
        <v>24</v>
      </c>
      <c r="E86" s="184">
        <v>36</v>
      </c>
    </row>
    <row r="87" spans="2:5" ht="15.75" thickBot="1">
      <c r="B87" s="4">
        <v>39</v>
      </c>
      <c r="C87" s="185">
        <v>16</v>
      </c>
      <c r="D87" s="185">
        <v>36</v>
      </c>
      <c r="E87" s="186">
        <v>48</v>
      </c>
    </row>
    <row r="88" spans="2:5">
      <c r="C88" s="124">
        <v>28.55</v>
      </c>
      <c r="D88" s="124">
        <v>48</v>
      </c>
    </row>
    <row r="89" spans="2:5">
      <c r="C89" s="124">
        <v>2.3199999999999998</v>
      </c>
      <c r="D89" s="124">
        <v>6</v>
      </c>
    </row>
    <row r="90" spans="2:5">
      <c r="C90" s="124">
        <v>10.25</v>
      </c>
      <c r="D90" s="124">
        <v>12</v>
      </c>
    </row>
    <row r="91" spans="2:5" hidden="1">
      <c r="C91" s="124">
        <v>2.61</v>
      </c>
      <c r="D91" s="124">
        <v>12</v>
      </c>
    </row>
    <row r="92" spans="2:5" hidden="1">
      <c r="C92" s="124">
        <v>2.23</v>
      </c>
      <c r="D92" s="124">
        <v>12</v>
      </c>
    </row>
    <row r="93" spans="2:5" hidden="1">
      <c r="C93" s="124">
        <v>1.77</v>
      </c>
      <c r="D93" s="124">
        <v>12</v>
      </c>
    </row>
    <row r="94" spans="2:5" hidden="1">
      <c r="C94" s="124">
        <v>1.02</v>
      </c>
      <c r="D94" s="124">
        <v>12</v>
      </c>
    </row>
    <row r="95" spans="2:5" hidden="1">
      <c r="C95" s="124">
        <v>16.8</v>
      </c>
      <c r="D95" s="124">
        <v>24</v>
      </c>
    </row>
    <row r="96" spans="2:5" hidden="1">
      <c r="C96" s="124">
        <v>2.16</v>
      </c>
      <c r="D96" s="124">
        <v>12</v>
      </c>
    </row>
    <row r="97" spans="3:4" hidden="1">
      <c r="C97" s="124">
        <v>1.18</v>
      </c>
      <c r="D97" s="124">
        <v>12</v>
      </c>
    </row>
    <row r="98" spans="3:4" hidden="1">
      <c r="C98" s="124">
        <v>2.5099999999999998</v>
      </c>
      <c r="D98" s="124">
        <v>36</v>
      </c>
    </row>
    <row r="99" spans="3:4" hidden="1">
      <c r="C99" s="124">
        <v>4</v>
      </c>
      <c r="D99" s="124">
        <v>4</v>
      </c>
    </row>
    <row r="100" spans="3:4" hidden="1">
      <c r="C100" s="124">
        <v>1.6</v>
      </c>
      <c r="D100" s="124">
        <v>6</v>
      </c>
    </row>
    <row r="101" spans="3:4" hidden="1">
      <c r="C101" s="124">
        <v>0.6</v>
      </c>
      <c r="D101" s="124">
        <v>4</v>
      </c>
    </row>
    <row r="102" spans="3:4" hidden="1">
      <c r="C102" s="124">
        <v>4.0999999999999996</v>
      </c>
      <c r="D102" s="124">
        <v>18</v>
      </c>
    </row>
    <row r="103" spans="3:4" hidden="1">
      <c r="C103" s="124">
        <v>1.4</v>
      </c>
      <c r="D103" s="124">
        <v>6</v>
      </c>
    </row>
    <row r="104" spans="3:4" hidden="1">
      <c r="C104" s="124">
        <v>0.13</v>
      </c>
      <c r="D104" s="124">
        <v>4</v>
      </c>
    </row>
    <row r="105" spans="3:4" hidden="1">
      <c r="C105" s="124">
        <v>0.9</v>
      </c>
      <c r="D105" s="124">
        <v>6</v>
      </c>
    </row>
    <row r="106" spans="3:4" hidden="1">
      <c r="C106" s="124">
        <v>0.9</v>
      </c>
      <c r="D106" s="124">
        <v>4</v>
      </c>
    </row>
    <row r="107" spans="3:4" hidden="1">
      <c r="C107" s="124">
        <v>0.9</v>
      </c>
      <c r="D107" s="124">
        <v>18</v>
      </c>
    </row>
    <row r="108" spans="3:4" hidden="1">
      <c r="C108" s="124">
        <v>1.3</v>
      </c>
      <c r="D108" s="124">
        <v>6</v>
      </c>
    </row>
    <row r="109" spans="3:4" hidden="1">
      <c r="C109" s="124">
        <v>0.4</v>
      </c>
      <c r="D109" s="124">
        <v>6</v>
      </c>
    </row>
    <row r="110" spans="3:4" hidden="1">
      <c r="C110" s="124">
        <v>2.4</v>
      </c>
      <c r="D110" s="124">
        <v>18</v>
      </c>
    </row>
    <row r="111" spans="3:4" hidden="1">
      <c r="C111" s="124">
        <v>1.5</v>
      </c>
      <c r="D111" s="124">
        <v>18</v>
      </c>
    </row>
    <row r="112" spans="3:4" hidden="1">
      <c r="C112" s="124">
        <v>0.6</v>
      </c>
      <c r="D112" s="124">
        <v>6</v>
      </c>
    </row>
    <row r="113" spans="3:4" hidden="1">
      <c r="C113" s="124">
        <v>1</v>
      </c>
      <c r="D113" s="124">
        <v>4</v>
      </c>
    </row>
    <row r="114" spans="3:4" hidden="1">
      <c r="C114" s="124">
        <v>1.9</v>
      </c>
      <c r="D114" s="124">
        <v>18</v>
      </c>
    </row>
    <row r="115" spans="3:4" hidden="1">
      <c r="C115" s="124">
        <v>0.6</v>
      </c>
      <c r="D115" s="124">
        <v>6</v>
      </c>
    </row>
    <row r="116" spans="3:4" hidden="1">
      <c r="C116" s="124">
        <v>23</v>
      </c>
      <c r="D116" s="124">
        <v>18</v>
      </c>
    </row>
    <row r="117" spans="3:4" hidden="1">
      <c r="C117" s="124">
        <v>5.0999999999999996</v>
      </c>
      <c r="D117" s="124">
        <v>24</v>
      </c>
    </row>
    <row r="118" spans="3:4" hidden="1">
      <c r="C118" s="124">
        <v>23.5</v>
      </c>
      <c r="D118" s="124">
        <v>36</v>
      </c>
    </row>
    <row r="119" spans="3:4" hidden="1">
      <c r="C119" s="124">
        <v>23.5</v>
      </c>
      <c r="D119" s="124">
        <v>36</v>
      </c>
    </row>
    <row r="120" spans="3:4" hidden="1">
      <c r="C120" s="124">
        <v>4</v>
      </c>
      <c r="D120" s="124">
        <v>24</v>
      </c>
    </row>
    <row r="121" spans="3:4" hidden="1">
      <c r="C121" s="124">
        <v>6.1</v>
      </c>
      <c r="D121" s="124">
        <v>18</v>
      </c>
    </row>
    <row r="122" spans="3:4" hidden="1">
      <c r="C122" s="124">
        <v>85</v>
      </c>
      <c r="D122" s="124">
        <v>48</v>
      </c>
    </row>
    <row r="123" spans="3:4" hidden="1">
      <c r="C123" s="124">
        <v>8</v>
      </c>
      <c r="D123" s="124">
        <v>36</v>
      </c>
    </row>
    <row r="124" spans="3:4" hidden="1">
      <c r="C124" s="124">
        <v>26.1</v>
      </c>
      <c r="D124" s="124">
        <v>48</v>
      </c>
    </row>
    <row r="125" spans="3:4" hidden="1">
      <c r="C125" s="124">
        <v>8.8000000000000007</v>
      </c>
      <c r="D125" s="124">
        <v>36</v>
      </c>
    </row>
    <row r="126" spans="3:4" hidden="1">
      <c r="C126" s="124">
        <v>16</v>
      </c>
      <c r="D126" s="124">
        <v>48</v>
      </c>
    </row>
  </sheetData>
  <mergeCells count="3">
    <mergeCell ref="D47:E47"/>
    <mergeCell ref="B47:B48"/>
    <mergeCell ref="C47:C48"/>
  </mergeCells>
  <hyperlinks>
    <hyperlink ref="C5" location="REF!B6" display="[1]" xr:uid="{BD7764A7-46D5-44F5-A64A-2EE576455241}"/>
    <hyperlink ref="C17" location="REF!B6" display="[1]" xr:uid="{934F2D6C-F3D2-4FD5-85B4-EB80B5090463}"/>
    <hyperlink ref="C26" location="REF!B6" display="[1]" xr:uid="{BA44A4C5-9AC2-41F1-AF1B-193ECE410058}"/>
    <hyperlink ref="C46" location="REF!B15" display="[10]" xr:uid="{38279943-F1BA-4F9A-A23A-691F1C84EFA7}"/>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F232-F39F-4960-9779-9A99348D1EC6}">
  <sheetPr>
    <tabColor rgb="FF7030A0"/>
  </sheetPr>
  <dimension ref="A1:K30"/>
  <sheetViews>
    <sheetView zoomScale="80" zoomScaleNormal="80" workbookViewId="0">
      <selection activeCell="H22" sqref="H22"/>
    </sheetView>
  </sheetViews>
  <sheetFormatPr defaultColWidth="0" defaultRowHeight="15" zeroHeight="1"/>
  <cols>
    <col min="1" max="1" width="8.7109375" style="29" customWidth="1"/>
    <col min="2" max="2" width="29.85546875" style="50" bestFit="1" customWidth="1"/>
    <col min="3" max="3" width="27.5703125" style="50" bestFit="1" customWidth="1"/>
    <col min="4" max="4" width="21.85546875" style="50" bestFit="1" customWidth="1"/>
    <col min="5" max="5" width="18.42578125" style="50" bestFit="1" customWidth="1"/>
    <col min="6" max="6" width="17.42578125" style="50" bestFit="1" customWidth="1"/>
    <col min="7" max="7" width="21" style="50" bestFit="1" customWidth="1"/>
    <col min="8" max="8" width="14.5703125" style="50" bestFit="1" customWidth="1"/>
    <col min="9" max="11" width="8.7109375" style="29" customWidth="1"/>
    <col min="12" max="16384" width="8.7109375" style="29" hidden="1"/>
  </cols>
  <sheetData>
    <row r="1" spans="2:8" ht="15.75" thickBot="1"/>
    <row r="2" spans="2:8" ht="15.75" thickBot="1">
      <c r="C2" s="32" t="s">
        <v>50</v>
      </c>
      <c r="D2" s="33" t="s">
        <v>51</v>
      </c>
    </row>
    <row r="3" spans="2:8" ht="72.95" customHeight="1" thickBot="1">
      <c r="C3" s="51">
        <v>3</v>
      </c>
      <c r="D3" s="62" t="str">
        <f>VLOOKUP(C3,'Site Guide'!$D$9:$F$19,3,0)</f>
        <v>Summary table of personnel requirement for decarbonisation of process heat</v>
      </c>
    </row>
    <row r="4" spans="2:8" ht="15.75" thickBot="1"/>
    <row r="5" spans="2:8" ht="30.95" customHeight="1">
      <c r="B5" s="187" t="s">
        <v>116</v>
      </c>
      <c r="C5" s="188">
        <v>2024</v>
      </c>
      <c r="D5" s="323" t="s">
        <v>117</v>
      </c>
    </row>
    <row r="6" spans="2:8" ht="30.95" customHeight="1">
      <c r="B6" s="189" t="s">
        <v>118</v>
      </c>
      <c r="C6" s="190">
        <v>2037</v>
      </c>
      <c r="D6" s="324"/>
    </row>
    <row r="7" spans="2:8" ht="30.95" customHeight="1" thickBot="1">
      <c r="B7" s="191" t="s">
        <v>119</v>
      </c>
      <c r="C7" s="192">
        <f>C6-C5+1</f>
        <v>14</v>
      </c>
      <c r="D7" s="193" t="s">
        <v>120</v>
      </c>
    </row>
    <row r="8" spans="2:8"/>
    <row r="9" spans="2:8" ht="15.75" thickBot="1">
      <c r="B9" s="53" t="s">
        <v>121</v>
      </c>
      <c r="C9" s="54" t="s">
        <v>53</v>
      </c>
    </row>
    <row r="10" spans="2:8" ht="30.75" thickBot="1">
      <c r="B10" s="194" t="s">
        <v>122</v>
      </c>
      <c r="C10" s="195" t="s">
        <v>123</v>
      </c>
      <c r="D10" s="196" t="s">
        <v>124</v>
      </c>
      <c r="E10" s="195" t="s">
        <v>125</v>
      </c>
      <c r="F10" s="196" t="s">
        <v>126</v>
      </c>
      <c r="G10" s="197" t="s">
        <v>127</v>
      </c>
      <c r="H10" s="198" t="s">
        <v>128</v>
      </c>
    </row>
    <row r="11" spans="2:8">
      <c r="B11" s="152" t="s">
        <v>129</v>
      </c>
      <c r="C11" s="199">
        <v>301312000</v>
      </c>
      <c r="D11" s="199">
        <v>200</v>
      </c>
      <c r="E11" s="200">
        <v>1506560</v>
      </c>
      <c r="F11" s="201">
        <v>1500</v>
      </c>
      <c r="G11" s="202">
        <f t="shared" ref="G11:G16" si="0">E11/F11</f>
        <v>1004.3733333333333</v>
      </c>
      <c r="H11" s="203">
        <f t="shared" ref="H11:H16" si="1">ROUNDUP(G11/$C$7,0)</f>
        <v>72</v>
      </c>
    </row>
    <row r="12" spans="2:8">
      <c r="B12" s="155" t="s">
        <v>130</v>
      </c>
      <c r="C12" s="204">
        <v>602623000</v>
      </c>
      <c r="D12" s="204">
        <v>250</v>
      </c>
      <c r="E12" s="205">
        <v>2410492</v>
      </c>
      <c r="F12" s="206">
        <v>1500</v>
      </c>
      <c r="G12" s="207">
        <f t="shared" si="0"/>
        <v>1606.9946666666667</v>
      </c>
      <c r="H12" s="208">
        <f t="shared" si="1"/>
        <v>115</v>
      </c>
    </row>
    <row r="13" spans="2:8">
      <c r="B13" s="155" t="s">
        <v>131</v>
      </c>
      <c r="C13" s="204">
        <v>268420000</v>
      </c>
      <c r="D13" s="204">
        <v>200</v>
      </c>
      <c r="E13" s="205">
        <v>1342100</v>
      </c>
      <c r="F13" s="206">
        <v>1500</v>
      </c>
      <c r="G13" s="207">
        <f t="shared" si="0"/>
        <v>894.73333333333335</v>
      </c>
      <c r="H13" s="208">
        <f t="shared" si="1"/>
        <v>64</v>
      </c>
    </row>
    <row r="14" spans="2:8">
      <c r="B14" s="155" t="s">
        <v>132</v>
      </c>
      <c r="C14" s="204">
        <v>361460500</v>
      </c>
      <c r="D14" s="204">
        <v>100</v>
      </c>
      <c r="E14" s="205">
        <v>3614605</v>
      </c>
      <c r="F14" s="206">
        <v>1750</v>
      </c>
      <c r="G14" s="207">
        <f t="shared" si="0"/>
        <v>2065.4885714285715</v>
      </c>
      <c r="H14" s="208">
        <f t="shared" si="1"/>
        <v>148</v>
      </c>
    </row>
    <row r="15" spans="2:8">
      <c r="B15" s="155" t="s">
        <v>133</v>
      </c>
      <c r="C15" s="204">
        <v>361246000</v>
      </c>
      <c r="D15" s="204">
        <v>200</v>
      </c>
      <c r="E15" s="205">
        <v>1806230</v>
      </c>
      <c r="F15" s="206">
        <v>1750</v>
      </c>
      <c r="G15" s="207">
        <f t="shared" si="0"/>
        <v>1032.1314285714286</v>
      </c>
      <c r="H15" s="208">
        <f t="shared" si="1"/>
        <v>74</v>
      </c>
    </row>
    <row r="16" spans="2:8" ht="15.75" thickBot="1">
      <c r="B16" s="158" t="s">
        <v>134</v>
      </c>
      <c r="C16" s="209">
        <v>361461000</v>
      </c>
      <c r="D16" s="209">
        <v>100</v>
      </c>
      <c r="E16" s="210">
        <v>3614610</v>
      </c>
      <c r="F16" s="211">
        <v>1750</v>
      </c>
      <c r="G16" s="212">
        <f t="shared" si="0"/>
        <v>2065.4914285714285</v>
      </c>
      <c r="H16" s="213">
        <f t="shared" si="1"/>
        <v>148</v>
      </c>
    </row>
    <row r="17" spans="2:8" ht="15.75" thickBot="1">
      <c r="B17" s="214" t="s">
        <v>91</v>
      </c>
      <c r="C17" s="215">
        <v>2256522500</v>
      </c>
      <c r="D17" s="215">
        <v>175</v>
      </c>
      <c r="E17" s="216">
        <v>14294597</v>
      </c>
      <c r="F17" s="216">
        <f>SUM(F11:F16)</f>
        <v>9750</v>
      </c>
      <c r="G17" s="216">
        <f>SUM(G11:G16)</f>
        <v>8669.2127619047606</v>
      </c>
      <c r="H17" s="217">
        <f>SUM(H11:H16)</f>
        <v>621</v>
      </c>
    </row>
    <row r="18" spans="2:8"/>
    <row r="19" spans="2:8" ht="15.75" thickBot="1">
      <c r="B19" s="53" t="s">
        <v>135</v>
      </c>
      <c r="C19" s="54"/>
    </row>
    <row r="20" spans="2:8" ht="15.75" thickBot="1">
      <c r="B20" s="218" t="s">
        <v>122</v>
      </c>
      <c r="C20" s="219" t="s">
        <v>127</v>
      </c>
    </row>
    <row r="21" spans="2:8">
      <c r="B21" s="220" t="s">
        <v>129</v>
      </c>
      <c r="C21" s="221">
        <f>INDEX(Sheet1!$C$7:$P$13,MATCH(B21,Sheet1!$C$7:$C$12,0),MATCH('Personnel Analysis'!$H$3,Sheet1!$C$6:$P$6,0))</f>
        <v>1004.3733333333333</v>
      </c>
    </row>
    <row r="22" spans="2:8">
      <c r="B22" s="155" t="s">
        <v>130</v>
      </c>
      <c r="C22" s="222">
        <f>INDEX(Sheet1!$C$7:$P$13,MATCH(B22,Sheet1!$C$7:$C$12,0),MATCH('Personnel Analysis'!$H$3,Sheet1!$C$6:$P$6,0))</f>
        <v>1606.9946666666667</v>
      </c>
    </row>
    <row r="23" spans="2:8">
      <c r="B23" s="155" t="s">
        <v>131</v>
      </c>
      <c r="C23" s="222">
        <f>INDEX(Sheet1!$C$7:$P$13,MATCH(B23,Sheet1!$C$7:$C$12,0),MATCH('Personnel Analysis'!$H$3,Sheet1!$C$6:$P$6,0))</f>
        <v>894.73333333333335</v>
      </c>
    </row>
    <row r="24" spans="2:8">
      <c r="B24" s="155" t="s">
        <v>132</v>
      </c>
      <c r="C24" s="222">
        <f>INDEX(Sheet1!$C$7:$P$13,MATCH(B24,Sheet1!$C$7:$C$12,0),MATCH('Personnel Analysis'!$H$3,Sheet1!$C$6:$P$6,0))</f>
        <v>2065.4885714285715</v>
      </c>
    </row>
    <row r="25" spans="2:8">
      <c r="B25" s="155" t="s">
        <v>133</v>
      </c>
      <c r="C25" s="222">
        <f>INDEX(Sheet1!$C$7:$P$13,MATCH(B25,Sheet1!$C$7:$C$12,0),MATCH('Personnel Analysis'!$H$3,Sheet1!$C$6:$P$6,0))</f>
        <v>1032.1314285714286</v>
      </c>
    </row>
    <row r="26" spans="2:8">
      <c r="B26" s="155" t="s">
        <v>134</v>
      </c>
      <c r="C26" s="222">
        <f>INDEX(Sheet1!$C$7:$P$13,MATCH(B26,Sheet1!$C$7:$C$12,0),MATCH('Personnel Analysis'!$H$3,Sheet1!$C$6:$P$6,0))</f>
        <v>2065.4914285714285</v>
      </c>
    </row>
    <row r="27" spans="2:8" ht="15.75" thickBot="1">
      <c r="B27" s="223" t="s">
        <v>91</v>
      </c>
      <c r="C27" s="224">
        <f>SUM(C21:C26)</f>
        <v>8669.2127619047606</v>
      </c>
    </row>
    <row r="28" spans="2:8"/>
    <row r="29" spans="2:8"/>
    <row r="30" spans="2:8"/>
  </sheetData>
  <mergeCells count="1">
    <mergeCell ref="D5:D6"/>
  </mergeCells>
  <conditionalFormatting sqref="C5">
    <cfRule type="expression" dxfId="21" priority="1">
      <formula>$C$5&lt;2024</formula>
    </cfRule>
    <cfRule type="expression" dxfId="20" priority="2">
      <formula>$C$5&gt;$C$6</formula>
    </cfRule>
  </conditionalFormatting>
  <hyperlinks>
    <hyperlink ref="C9" location="REF!B6" display="[1]" xr:uid="{3F0B3179-BD00-4DDD-8006-984107AD7EC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DBBA-86C0-41A0-B06E-E221A0C853D8}">
  <sheetPr>
    <tabColor theme="7"/>
  </sheetPr>
  <dimension ref="A1:R70"/>
  <sheetViews>
    <sheetView zoomScale="55" zoomScaleNormal="55" workbookViewId="0">
      <selection activeCell="G3" sqref="G3"/>
    </sheetView>
  </sheetViews>
  <sheetFormatPr defaultColWidth="0" defaultRowHeight="15" zeroHeight="1"/>
  <cols>
    <col min="1" max="1" width="9.140625" style="50" customWidth="1"/>
    <col min="2" max="2" width="39.42578125" style="50" bestFit="1" customWidth="1"/>
    <col min="3" max="3" width="30.85546875" style="50" bestFit="1" customWidth="1"/>
    <col min="4" max="4" width="19.140625" style="50" customWidth="1"/>
    <col min="5" max="5" width="34.5703125" style="50" bestFit="1" customWidth="1"/>
    <col min="6" max="7" width="9.140625" style="50" customWidth="1"/>
    <col min="8" max="8" width="64.7109375" style="50" bestFit="1" customWidth="1"/>
    <col min="9" max="10" width="9.5703125" style="50" customWidth="1"/>
    <col min="11" max="11" width="23.5703125" style="50" bestFit="1" customWidth="1"/>
    <col min="12" max="12" width="9.140625" style="50" customWidth="1"/>
    <col min="13" max="13" width="61.140625" style="50" bestFit="1" customWidth="1"/>
    <col min="14" max="15" width="9.5703125" style="50" customWidth="1"/>
    <col min="16" max="16" width="23.5703125" style="50" bestFit="1" customWidth="1"/>
    <col min="17" max="18" width="9.140625" style="50" customWidth="1"/>
    <col min="19" max="16384" width="9.140625" style="50" hidden="1"/>
  </cols>
  <sheetData>
    <row r="1" spans="2:17" ht="15.75" thickBot="1"/>
    <row r="2" spans="2:17" ht="15.75" thickBot="1">
      <c r="C2" s="32" t="s">
        <v>50</v>
      </c>
      <c r="D2" s="33" t="s">
        <v>51</v>
      </c>
      <c r="I2" s="52"/>
      <c r="J2" s="52"/>
      <c r="K2" s="52"/>
      <c r="L2" s="52"/>
      <c r="M2" s="52"/>
      <c r="N2" s="52"/>
      <c r="O2" s="52"/>
      <c r="P2" s="52"/>
      <c r="Q2" s="52"/>
    </row>
    <row r="3" spans="2:17" ht="48.75" customHeight="1" thickBot="1">
      <c r="C3" s="51">
        <v>4</v>
      </c>
      <c r="D3" s="62" t="str">
        <f>VLOOKUP(C3,'Site Guide'!$D$9:$F$19,3,0)</f>
        <v>Population statistics from online sources</v>
      </c>
    </row>
    <row r="4" spans="2:17"/>
    <row r="5" spans="2:17"/>
    <row r="6" spans="2:17"/>
    <row r="7" spans="2:17" ht="15.75" thickBot="1">
      <c r="B7" s="53" t="s">
        <v>136</v>
      </c>
      <c r="C7" s="54" t="s">
        <v>137</v>
      </c>
      <c r="E7" s="46" t="s">
        <v>138</v>
      </c>
      <c r="H7" s="53" t="s">
        <v>139</v>
      </c>
      <c r="I7" s="54" t="s">
        <v>140</v>
      </c>
      <c r="M7" s="53" t="s">
        <v>141</v>
      </c>
      <c r="N7" s="54" t="s">
        <v>140</v>
      </c>
    </row>
    <row r="8" spans="2:17" ht="15.75" thickBot="1">
      <c r="B8" s="2" t="s">
        <v>142</v>
      </c>
      <c r="C8" s="34" t="s">
        <v>143</v>
      </c>
      <c r="D8" s="34" t="s">
        <v>91</v>
      </c>
      <c r="E8" s="35" t="s">
        <v>144</v>
      </c>
      <c r="H8" s="2" t="s">
        <v>145</v>
      </c>
      <c r="I8" s="34" t="s">
        <v>146</v>
      </c>
      <c r="J8" s="34" t="s">
        <v>147</v>
      </c>
      <c r="K8" s="35" t="s">
        <v>148</v>
      </c>
      <c r="M8" s="2" t="s">
        <v>145</v>
      </c>
      <c r="N8" s="34" t="s">
        <v>146</v>
      </c>
      <c r="O8" s="34" t="s">
        <v>147</v>
      </c>
      <c r="P8" s="35" t="s">
        <v>148</v>
      </c>
      <c r="Q8"/>
    </row>
    <row r="9" spans="2:17">
      <c r="B9" s="16" t="s">
        <v>149</v>
      </c>
      <c r="C9" s="17" t="s">
        <v>150</v>
      </c>
      <c r="D9" s="18">
        <v>5832</v>
      </c>
      <c r="E9" s="19" t="s">
        <v>134</v>
      </c>
      <c r="H9" s="55" t="s">
        <v>151</v>
      </c>
      <c r="I9" s="56">
        <v>2013</v>
      </c>
      <c r="J9" s="56">
        <v>600</v>
      </c>
      <c r="K9" s="57">
        <f t="shared" ref="K9:K40" si="0">J9/VLOOKUP(I9,$B$25:$C$49,2,0)</f>
        <v>1.3525698827772769E-4</v>
      </c>
      <c r="M9" s="55" t="s">
        <v>151</v>
      </c>
      <c r="N9" s="56">
        <v>2013</v>
      </c>
      <c r="O9" s="56">
        <v>360</v>
      </c>
      <c r="P9" s="57">
        <f t="shared" ref="P9:P40" si="1">O9/VLOOKUP(N9,$B$25:$C$49,2,0)</f>
        <v>8.1154192966636609E-5</v>
      </c>
    </row>
    <row r="10" spans="2:17">
      <c r="B10" s="3" t="s">
        <v>149</v>
      </c>
      <c r="C10" s="1" t="s">
        <v>152</v>
      </c>
      <c r="D10" s="5">
        <v>1470</v>
      </c>
      <c r="E10" s="6" t="s">
        <v>134</v>
      </c>
      <c r="H10" s="55" t="str">
        <f>H9</f>
        <v>Certificates 3</v>
      </c>
      <c r="I10" s="56">
        <v>2014</v>
      </c>
      <c r="J10" s="56">
        <v>655</v>
      </c>
      <c r="K10" s="57">
        <f t="shared" si="0"/>
        <v>1.4551998400391016E-4</v>
      </c>
      <c r="M10" s="55" t="str">
        <f>M9</f>
        <v>Certificates 3</v>
      </c>
      <c r="N10" s="56">
        <v>2014</v>
      </c>
      <c r="O10" s="56">
        <v>420</v>
      </c>
      <c r="P10" s="57">
        <f t="shared" si="1"/>
        <v>9.3310524094110327E-5</v>
      </c>
    </row>
    <row r="11" spans="2:17">
      <c r="B11" s="3" t="s">
        <v>149</v>
      </c>
      <c r="C11" s="1" t="s">
        <v>153</v>
      </c>
      <c r="D11" s="5">
        <v>2802</v>
      </c>
      <c r="E11" s="6" t="s">
        <v>134</v>
      </c>
      <c r="H11" s="55" t="str">
        <f t="shared" ref="H11:H18" si="2">H10</f>
        <v>Certificates 3</v>
      </c>
      <c r="I11" s="56">
        <v>2015</v>
      </c>
      <c r="J11" s="56">
        <v>650</v>
      </c>
      <c r="K11" s="57">
        <f t="shared" si="0"/>
        <v>1.4155360526143862E-4</v>
      </c>
      <c r="M11" s="55" t="str">
        <f t="shared" ref="M11:M18" si="3">M10</f>
        <v>Certificates 3</v>
      </c>
      <c r="N11" s="56">
        <v>2015</v>
      </c>
      <c r="O11" s="56">
        <v>325</v>
      </c>
      <c r="P11" s="57">
        <f t="shared" si="1"/>
        <v>7.0776802630719308E-5</v>
      </c>
    </row>
    <row r="12" spans="2:17">
      <c r="B12" s="3" t="s">
        <v>149</v>
      </c>
      <c r="C12" s="1" t="s">
        <v>154</v>
      </c>
      <c r="D12" s="5">
        <v>2475</v>
      </c>
      <c r="E12" s="6" t="s">
        <v>132</v>
      </c>
      <c r="H12" s="55" t="str">
        <f t="shared" si="2"/>
        <v>Certificates 3</v>
      </c>
      <c r="I12" s="56">
        <v>2016</v>
      </c>
      <c r="J12" s="56">
        <v>620</v>
      </c>
      <c r="K12" s="57">
        <f t="shared" si="0"/>
        <v>1.3205537806176783E-4</v>
      </c>
      <c r="M12" s="55" t="str">
        <f t="shared" si="3"/>
        <v>Certificates 3</v>
      </c>
      <c r="N12" s="56">
        <v>2016</v>
      </c>
      <c r="O12" s="56">
        <v>365</v>
      </c>
      <c r="P12" s="57">
        <f t="shared" si="1"/>
        <v>7.7742279020234288E-5</v>
      </c>
    </row>
    <row r="13" spans="2:17">
      <c r="B13" s="3" t="s">
        <v>149</v>
      </c>
      <c r="C13" s="1" t="s">
        <v>155</v>
      </c>
      <c r="D13" s="5">
        <v>20016</v>
      </c>
      <c r="E13" s="6" t="s">
        <v>132</v>
      </c>
      <c r="H13" s="55" t="str">
        <f t="shared" si="2"/>
        <v>Certificates 3</v>
      </c>
      <c r="I13" s="56">
        <v>2017</v>
      </c>
      <c r="J13" s="56">
        <v>520</v>
      </c>
      <c r="K13" s="57">
        <f t="shared" si="0"/>
        <v>1.0840786373965435E-4</v>
      </c>
      <c r="M13" s="55" t="str">
        <f t="shared" si="3"/>
        <v>Certificates 3</v>
      </c>
      <c r="N13" s="56">
        <v>2017</v>
      </c>
      <c r="O13" s="56">
        <v>465</v>
      </c>
      <c r="P13" s="57">
        <f t="shared" si="1"/>
        <v>9.6941647382575518E-5</v>
      </c>
    </row>
    <row r="14" spans="2:17">
      <c r="B14" s="3" t="s">
        <v>149</v>
      </c>
      <c r="C14" s="1" t="s">
        <v>156</v>
      </c>
      <c r="D14" s="5">
        <v>3</v>
      </c>
      <c r="E14" s="6" t="s">
        <v>132</v>
      </c>
      <c r="H14" s="55" t="str">
        <f t="shared" si="2"/>
        <v>Certificates 3</v>
      </c>
      <c r="I14" s="56">
        <v>2018</v>
      </c>
      <c r="J14" s="56">
        <v>590</v>
      </c>
      <c r="K14" s="57">
        <f t="shared" si="0"/>
        <v>1.2075070096805223E-4</v>
      </c>
      <c r="M14" s="55" t="str">
        <f t="shared" si="3"/>
        <v>Certificates 3</v>
      </c>
      <c r="N14" s="56">
        <v>2018</v>
      </c>
      <c r="O14" s="56">
        <v>545</v>
      </c>
      <c r="P14" s="57">
        <f t="shared" si="1"/>
        <v>1.1154090174167537E-4</v>
      </c>
    </row>
    <row r="15" spans="2:17">
      <c r="B15" s="3" t="s">
        <v>149</v>
      </c>
      <c r="C15" s="1" t="s">
        <v>157</v>
      </c>
      <c r="D15" s="5">
        <v>471</v>
      </c>
      <c r="E15" s="6" t="s">
        <v>129</v>
      </c>
      <c r="H15" s="55" t="str">
        <f t="shared" si="2"/>
        <v>Certificates 3</v>
      </c>
      <c r="I15" s="56">
        <v>2019</v>
      </c>
      <c r="J15" s="56">
        <v>570</v>
      </c>
      <c r="K15" s="57">
        <f t="shared" si="0"/>
        <v>1.1479668902181137E-4</v>
      </c>
      <c r="M15" s="55" t="str">
        <f t="shared" si="3"/>
        <v>Certificates 3</v>
      </c>
      <c r="N15" s="56">
        <v>2019</v>
      </c>
      <c r="O15" s="56">
        <v>650</v>
      </c>
      <c r="P15" s="57">
        <f t="shared" si="1"/>
        <v>1.3090850502487262E-4</v>
      </c>
    </row>
    <row r="16" spans="2:17">
      <c r="B16" s="3" t="s">
        <v>149</v>
      </c>
      <c r="C16" s="1" t="s">
        <v>131</v>
      </c>
      <c r="D16" s="5">
        <v>3576</v>
      </c>
      <c r="E16" s="6" t="s">
        <v>131</v>
      </c>
      <c r="H16" s="55" t="str">
        <f t="shared" si="2"/>
        <v>Certificates 3</v>
      </c>
      <c r="I16" s="56">
        <v>2020</v>
      </c>
      <c r="J16" s="56">
        <v>470</v>
      </c>
      <c r="K16" s="57">
        <f t="shared" si="0"/>
        <v>9.2468718029432593E-5</v>
      </c>
      <c r="M16" s="55" t="str">
        <f t="shared" si="3"/>
        <v>Certificates 3</v>
      </c>
      <c r="N16" s="56">
        <v>2020</v>
      </c>
      <c r="O16" s="56">
        <v>670</v>
      </c>
      <c r="P16" s="57">
        <f t="shared" si="1"/>
        <v>1.3181710868025498E-4</v>
      </c>
    </row>
    <row r="17" spans="2:16">
      <c r="B17" s="10" t="s">
        <v>149</v>
      </c>
      <c r="C17" s="11" t="s">
        <v>158</v>
      </c>
      <c r="D17" s="12">
        <v>12177</v>
      </c>
      <c r="E17" s="13" t="s">
        <v>129</v>
      </c>
      <c r="H17" s="55" t="str">
        <f t="shared" si="2"/>
        <v>Certificates 3</v>
      </c>
      <c r="I17" s="56">
        <v>2021</v>
      </c>
      <c r="J17" s="56">
        <v>860</v>
      </c>
      <c r="K17" s="57">
        <f t="shared" si="0"/>
        <v>1.6836664774173339E-4</v>
      </c>
      <c r="M17" s="55" t="str">
        <f t="shared" si="3"/>
        <v>Certificates 3</v>
      </c>
      <c r="N17" s="56">
        <v>2021</v>
      </c>
      <c r="O17" s="56">
        <v>1125</v>
      </c>
      <c r="P17" s="57">
        <f t="shared" si="1"/>
        <v>2.2024706826680242E-4</v>
      </c>
    </row>
    <row r="18" spans="2:16">
      <c r="B18" s="3" t="s">
        <v>149</v>
      </c>
      <c r="C18" s="14" t="s">
        <v>159</v>
      </c>
      <c r="D18" s="15">
        <v>9777</v>
      </c>
      <c r="E18" s="6" t="s">
        <v>130</v>
      </c>
      <c r="H18" s="55" t="str">
        <f t="shared" si="2"/>
        <v>Certificates 3</v>
      </c>
      <c r="I18" s="56">
        <v>2022</v>
      </c>
      <c r="J18" s="56">
        <v>925</v>
      </c>
      <c r="K18" s="57">
        <f t="shared" si="0"/>
        <v>1.8083712928388497E-4</v>
      </c>
      <c r="M18" s="55" t="str">
        <f t="shared" si="3"/>
        <v>Certificates 3</v>
      </c>
      <c r="N18" s="56">
        <v>2022</v>
      </c>
      <c r="O18" s="56">
        <v>1080</v>
      </c>
      <c r="P18" s="57">
        <f t="shared" si="1"/>
        <v>2.1113956716388731E-4</v>
      </c>
    </row>
    <row r="19" spans="2:16">
      <c r="B19" s="3" t="s">
        <v>149</v>
      </c>
      <c r="C19" s="14" t="s">
        <v>160</v>
      </c>
      <c r="D19" s="15">
        <v>34344</v>
      </c>
      <c r="E19" s="6" t="s">
        <v>130</v>
      </c>
      <c r="H19" s="55" t="s">
        <v>161</v>
      </c>
      <c r="I19" s="56">
        <v>2013</v>
      </c>
      <c r="J19" s="56">
        <v>280</v>
      </c>
      <c r="K19" s="57">
        <f t="shared" si="0"/>
        <v>6.3119927862939588E-5</v>
      </c>
      <c r="M19" s="55" t="s">
        <v>161</v>
      </c>
      <c r="N19" s="56">
        <v>2013</v>
      </c>
      <c r="O19" s="56">
        <v>380</v>
      </c>
      <c r="P19" s="57">
        <f t="shared" si="1"/>
        <v>8.5662759242560865E-5</v>
      </c>
    </row>
    <row r="20" spans="2:16" ht="15.75" thickBot="1">
      <c r="B20" s="4" t="s">
        <v>149</v>
      </c>
      <c r="C20" s="20" t="s">
        <v>162</v>
      </c>
      <c r="D20" s="21">
        <v>16101</v>
      </c>
      <c r="E20" s="7" t="s">
        <v>130</v>
      </c>
      <c r="H20" s="55" t="str">
        <f>H19</f>
        <v>Certificates 4</v>
      </c>
      <c r="I20" s="56">
        <v>2014</v>
      </c>
      <c r="J20" s="56">
        <v>290</v>
      </c>
      <c r="K20" s="57">
        <f t="shared" si="0"/>
        <v>6.4428695207838089E-5</v>
      </c>
      <c r="M20" s="55" t="str">
        <f>M19</f>
        <v>Certificates 4</v>
      </c>
      <c r="N20" s="56">
        <v>2014</v>
      </c>
      <c r="O20" s="56">
        <v>265</v>
      </c>
      <c r="P20" s="57">
        <f t="shared" si="1"/>
        <v>5.8874497345093419E-5</v>
      </c>
    </row>
    <row r="21" spans="2:16">
      <c r="H21" s="55" t="str">
        <f t="shared" ref="H21:H28" si="4">H20</f>
        <v>Certificates 4</v>
      </c>
      <c r="I21" s="56">
        <v>2015</v>
      </c>
      <c r="J21" s="56">
        <v>240</v>
      </c>
      <c r="K21" s="57">
        <f t="shared" si="0"/>
        <v>5.2265946558069646E-5</v>
      </c>
      <c r="M21" s="55" t="str">
        <f t="shared" ref="M21:M28" si="5">M20</f>
        <v>Certificates 4</v>
      </c>
      <c r="N21" s="56">
        <v>2015</v>
      </c>
      <c r="O21" s="56">
        <v>255</v>
      </c>
      <c r="P21" s="57">
        <f t="shared" si="1"/>
        <v>5.5532568217948994E-5</v>
      </c>
    </row>
    <row r="22" spans="2:16">
      <c r="H22" s="55" t="str">
        <f t="shared" si="4"/>
        <v>Certificates 4</v>
      </c>
      <c r="I22" s="56">
        <v>2016</v>
      </c>
      <c r="J22" s="56">
        <v>245</v>
      </c>
      <c r="K22" s="57">
        <f t="shared" si="0"/>
        <v>5.2183173588924388E-5</v>
      </c>
      <c r="M22" s="55" t="str">
        <f t="shared" si="5"/>
        <v>Certificates 4</v>
      </c>
      <c r="N22" s="56">
        <v>2016</v>
      </c>
      <c r="O22" s="56">
        <v>220</v>
      </c>
      <c r="P22" s="57">
        <f t="shared" si="1"/>
        <v>4.6858359957401489E-5</v>
      </c>
    </row>
    <row r="23" spans="2:16" ht="15.75" thickBot="1">
      <c r="B23" s="53" t="s">
        <v>163</v>
      </c>
      <c r="C23" s="54" t="s">
        <v>164</v>
      </c>
      <c r="D23" s="54" t="s">
        <v>165</v>
      </c>
      <c r="H23" s="55" t="str">
        <f t="shared" si="4"/>
        <v>Certificates 4</v>
      </c>
      <c r="I23" s="56">
        <v>2017</v>
      </c>
      <c r="J23" s="56">
        <v>160</v>
      </c>
      <c r="K23" s="57">
        <f t="shared" si="0"/>
        <v>3.3356265766047492E-5</v>
      </c>
      <c r="M23" s="55" t="str">
        <f t="shared" si="5"/>
        <v>Certificates 4</v>
      </c>
      <c r="N23" s="56">
        <v>2017</v>
      </c>
      <c r="O23" s="56">
        <v>220</v>
      </c>
      <c r="P23" s="57">
        <f t="shared" si="1"/>
        <v>4.5864865428315301E-5</v>
      </c>
    </row>
    <row r="24" spans="2:16" ht="15.75" thickBot="1">
      <c r="B24" s="2" t="s">
        <v>146</v>
      </c>
      <c r="C24" s="34" t="s">
        <v>166</v>
      </c>
      <c r="D24" s="34" t="s">
        <v>167</v>
      </c>
      <c r="E24" s="35" t="s">
        <v>168</v>
      </c>
      <c r="H24" s="55" t="str">
        <f t="shared" si="4"/>
        <v>Certificates 4</v>
      </c>
      <c r="I24" s="56">
        <v>2018</v>
      </c>
      <c r="J24" s="56">
        <v>100</v>
      </c>
      <c r="K24" s="57">
        <f t="shared" si="0"/>
        <v>2.04662205030597E-5</v>
      </c>
      <c r="M24" s="55" t="str">
        <f t="shared" si="5"/>
        <v>Certificates 4</v>
      </c>
      <c r="N24" s="56">
        <v>2018</v>
      </c>
      <c r="O24" s="56">
        <v>150</v>
      </c>
      <c r="P24" s="57">
        <f t="shared" si="1"/>
        <v>3.0699330754589548E-5</v>
      </c>
    </row>
    <row r="25" spans="2:16">
      <c r="B25" s="36">
        <v>2013</v>
      </c>
      <c r="C25" s="8">
        <v>4436000</v>
      </c>
      <c r="D25" s="8">
        <v>809</v>
      </c>
      <c r="E25" s="37">
        <f>D25/C25</f>
        <v>1.8237150586113615E-4</v>
      </c>
      <c r="H25" s="55" t="str">
        <f t="shared" si="4"/>
        <v>Certificates 4</v>
      </c>
      <c r="I25" s="56">
        <v>2019</v>
      </c>
      <c r="J25" s="56">
        <v>80</v>
      </c>
      <c r="K25" s="57">
        <f t="shared" si="0"/>
        <v>1.6111816003061246E-5</v>
      </c>
      <c r="M25" s="55" t="str">
        <f t="shared" si="5"/>
        <v>Certificates 4</v>
      </c>
      <c r="N25" s="56">
        <v>2019</v>
      </c>
      <c r="O25" s="56">
        <v>35</v>
      </c>
      <c r="P25" s="57">
        <f t="shared" si="1"/>
        <v>7.048919501339295E-6</v>
      </c>
    </row>
    <row r="26" spans="2:16">
      <c r="B26" s="36">
        <v>2014</v>
      </c>
      <c r="C26" s="8">
        <v>4501100</v>
      </c>
      <c r="D26" s="8">
        <v>33462</v>
      </c>
      <c r="E26" s="37">
        <f t="shared" ref="E26:E35" si="6">D26/C26</f>
        <v>7.434182755326476E-3</v>
      </c>
      <c r="H26" s="55" t="str">
        <f t="shared" si="4"/>
        <v>Certificates 4</v>
      </c>
      <c r="I26" s="56">
        <v>2020</v>
      </c>
      <c r="J26" s="56">
        <v>40</v>
      </c>
      <c r="K26" s="57">
        <f t="shared" si="0"/>
        <v>7.8696781301644763E-6</v>
      </c>
      <c r="M26" s="55" t="str">
        <f t="shared" si="5"/>
        <v>Certificates 4</v>
      </c>
      <c r="N26" s="56">
        <v>2020</v>
      </c>
      <c r="O26" s="56">
        <v>35</v>
      </c>
      <c r="P26" s="57">
        <f t="shared" si="1"/>
        <v>6.8859683638939166E-6</v>
      </c>
    </row>
    <row r="27" spans="2:16">
      <c r="B27" s="36">
        <v>2015</v>
      </c>
      <c r="C27" s="8">
        <v>4591900</v>
      </c>
      <c r="D27" s="8">
        <v>53427</v>
      </c>
      <c r="E27" s="37">
        <f t="shared" si="6"/>
        <v>1.1635053028158279E-2</v>
      </c>
      <c r="H27" s="55" t="str">
        <f t="shared" si="4"/>
        <v>Certificates 4</v>
      </c>
      <c r="I27" s="56">
        <v>2021</v>
      </c>
      <c r="J27" s="56">
        <v>85</v>
      </c>
      <c r="K27" s="57">
        <f t="shared" si="0"/>
        <v>1.6640889602380625E-5</v>
      </c>
      <c r="M27" s="55" t="str">
        <f t="shared" si="5"/>
        <v>Certificates 4</v>
      </c>
      <c r="N27" s="56">
        <v>2021</v>
      </c>
      <c r="O27" s="56">
        <v>45</v>
      </c>
      <c r="P27" s="57">
        <f t="shared" si="1"/>
        <v>8.8098827306720969E-6</v>
      </c>
    </row>
    <row r="28" spans="2:16">
      <c r="B28" s="36">
        <v>2016</v>
      </c>
      <c r="C28" s="8">
        <v>4695000</v>
      </c>
      <c r="D28" s="8">
        <v>64613</v>
      </c>
      <c r="E28" s="37">
        <f t="shared" si="6"/>
        <v>1.3762087326943557E-2</v>
      </c>
      <c r="H28" s="55" t="str">
        <f t="shared" si="4"/>
        <v>Certificates 4</v>
      </c>
      <c r="I28" s="56">
        <v>2022</v>
      </c>
      <c r="J28" s="56">
        <v>90</v>
      </c>
      <c r="K28" s="57">
        <f t="shared" si="0"/>
        <v>1.7594963930323942E-5</v>
      </c>
      <c r="M28" s="55" t="str">
        <f t="shared" si="5"/>
        <v>Certificates 4</v>
      </c>
      <c r="N28" s="56">
        <v>2022</v>
      </c>
      <c r="O28" s="56">
        <v>55</v>
      </c>
      <c r="P28" s="57">
        <f t="shared" si="1"/>
        <v>1.0752477957420188E-5</v>
      </c>
    </row>
    <row r="29" spans="2:16">
      <c r="B29" s="36">
        <v>2017</v>
      </c>
      <c r="C29" s="8">
        <v>4796700</v>
      </c>
      <c r="D29" s="8">
        <v>59533</v>
      </c>
      <c r="E29" s="37">
        <f t="shared" si="6"/>
        <v>1.2411241061563157E-2</v>
      </c>
      <c r="H29" s="55" t="s">
        <v>169</v>
      </c>
      <c r="I29" s="56">
        <v>2013</v>
      </c>
      <c r="J29" s="56">
        <v>120</v>
      </c>
      <c r="K29" s="57">
        <f t="shared" si="0"/>
        <v>2.7051397655545535E-5</v>
      </c>
      <c r="M29" s="55" t="s">
        <v>169</v>
      </c>
      <c r="N29" s="56">
        <v>2013</v>
      </c>
      <c r="O29" s="56">
        <v>305</v>
      </c>
      <c r="P29" s="57">
        <f t="shared" si="1"/>
        <v>6.87556357078449E-5</v>
      </c>
    </row>
    <row r="30" spans="2:16">
      <c r="B30" s="36">
        <v>2018</v>
      </c>
      <c r="C30" s="8">
        <v>4886100</v>
      </c>
      <c r="D30" s="8">
        <v>48995</v>
      </c>
      <c r="E30" s="37">
        <f t="shared" si="6"/>
        <v>1.00274247354741E-2</v>
      </c>
      <c r="H30" s="55" t="str">
        <f>H29</f>
        <v>Certificates &amp; Diplomas 5-7</v>
      </c>
      <c r="I30" s="56">
        <v>2014</v>
      </c>
      <c r="J30" s="56">
        <v>145</v>
      </c>
      <c r="K30" s="57">
        <f t="shared" si="0"/>
        <v>3.2214347603919044E-5</v>
      </c>
      <c r="M30" s="55" t="str">
        <f>M29</f>
        <v>Certificates &amp; Diplomas 5-7</v>
      </c>
      <c r="N30" s="56">
        <v>2014</v>
      </c>
      <c r="O30" s="56">
        <v>385</v>
      </c>
      <c r="P30" s="57">
        <f t="shared" si="1"/>
        <v>8.55346470862678E-5</v>
      </c>
    </row>
    <row r="31" spans="2:16">
      <c r="B31" s="36">
        <v>2019</v>
      </c>
      <c r="C31" s="8">
        <v>4965300</v>
      </c>
      <c r="D31" s="8">
        <v>52101</v>
      </c>
      <c r="E31" s="37">
        <f t="shared" si="6"/>
        <v>1.0493021569693674E-2</v>
      </c>
      <c r="H31" s="55" t="str">
        <f t="shared" ref="H31:H37" si="7">H30</f>
        <v>Certificates &amp; Diplomas 5-7</v>
      </c>
      <c r="I31" s="56">
        <v>2015</v>
      </c>
      <c r="J31" s="56">
        <v>155</v>
      </c>
      <c r="K31" s="57">
        <f t="shared" si="0"/>
        <v>3.3755090485419977E-5</v>
      </c>
      <c r="M31" s="55" t="str">
        <f t="shared" ref="M31:M37" si="8">M30</f>
        <v>Certificates &amp; Diplomas 5-7</v>
      </c>
      <c r="N31" s="56">
        <v>2015</v>
      </c>
      <c r="O31" s="56">
        <v>415</v>
      </c>
      <c r="P31" s="57">
        <f t="shared" si="1"/>
        <v>9.0376532589995424E-5</v>
      </c>
    </row>
    <row r="32" spans="2:16">
      <c r="B32" s="36">
        <v>2020</v>
      </c>
      <c r="C32" s="8">
        <v>5082800</v>
      </c>
      <c r="D32" s="8">
        <v>84836</v>
      </c>
      <c r="E32" s="37">
        <f t="shared" si="6"/>
        <v>1.6690800346265838E-2</v>
      </c>
      <c r="H32" s="55" t="str">
        <f t="shared" si="7"/>
        <v>Certificates &amp; Diplomas 5-7</v>
      </c>
      <c r="I32" s="56">
        <v>2016</v>
      </c>
      <c r="J32" s="56">
        <v>135</v>
      </c>
      <c r="K32" s="57">
        <f t="shared" si="0"/>
        <v>2.8753993610223644E-5</v>
      </c>
      <c r="M32" s="55" t="str">
        <f t="shared" si="8"/>
        <v>Certificates &amp; Diplomas 5-7</v>
      </c>
      <c r="N32" s="56">
        <v>2016</v>
      </c>
      <c r="O32" s="56">
        <v>420</v>
      </c>
      <c r="P32" s="57">
        <f t="shared" si="1"/>
        <v>8.9456869009584661E-5</v>
      </c>
    </row>
    <row r="33" spans="2:16">
      <c r="B33" s="36">
        <v>2021</v>
      </c>
      <c r="C33" s="8">
        <v>5107900</v>
      </c>
      <c r="D33" s="47">
        <v>-6585</v>
      </c>
      <c r="E33" s="48" t="s">
        <v>170</v>
      </c>
      <c r="H33" s="55" t="str">
        <f t="shared" si="7"/>
        <v>Certificates &amp; Diplomas 5-7</v>
      </c>
      <c r="I33" s="56">
        <v>2017</v>
      </c>
      <c r="J33" s="56">
        <v>195</v>
      </c>
      <c r="K33" s="57">
        <f t="shared" si="0"/>
        <v>4.0652948902370378E-5</v>
      </c>
      <c r="M33" s="55" t="str">
        <f t="shared" si="8"/>
        <v>Certificates &amp; Diplomas 5-7</v>
      </c>
      <c r="N33" s="56">
        <v>2017</v>
      </c>
      <c r="O33" s="56">
        <v>320</v>
      </c>
      <c r="P33" s="57">
        <f t="shared" si="1"/>
        <v>6.6712531532094985E-5</v>
      </c>
    </row>
    <row r="34" spans="2:16">
      <c r="B34" s="36">
        <v>2022</v>
      </c>
      <c r="C34" s="8">
        <v>5115100</v>
      </c>
      <c r="D34" s="47">
        <v>-17613</v>
      </c>
      <c r="E34" s="48" t="s">
        <v>170</v>
      </c>
      <c r="H34" s="55" t="str">
        <f t="shared" si="7"/>
        <v>Certificates &amp; Diplomas 5-7</v>
      </c>
      <c r="I34" s="56">
        <v>2018</v>
      </c>
      <c r="J34" s="56">
        <v>205</v>
      </c>
      <c r="K34" s="57">
        <f t="shared" si="0"/>
        <v>4.1955752031272386E-5</v>
      </c>
      <c r="M34" s="55" t="str">
        <f t="shared" si="8"/>
        <v>Certificates &amp; Diplomas 5-7</v>
      </c>
      <c r="N34" s="56">
        <v>2018</v>
      </c>
      <c r="O34" s="56">
        <v>210</v>
      </c>
      <c r="P34" s="57">
        <f t="shared" si="1"/>
        <v>4.2979063056425373E-5</v>
      </c>
    </row>
    <row r="35" spans="2:16">
      <c r="B35" s="36">
        <v>2023</v>
      </c>
      <c r="C35" s="8">
        <v>5199100</v>
      </c>
      <c r="D35" s="8">
        <v>86772</v>
      </c>
      <c r="E35" s="37">
        <f t="shared" si="6"/>
        <v>1.6689811698178531E-2</v>
      </c>
      <c r="H35" s="55" t="str">
        <f t="shared" si="7"/>
        <v>Certificates &amp; Diplomas 5-7</v>
      </c>
      <c r="I35" s="56">
        <v>2019</v>
      </c>
      <c r="J35" s="56">
        <v>140</v>
      </c>
      <c r="K35" s="57">
        <f t="shared" si="0"/>
        <v>2.819567800535718E-5</v>
      </c>
      <c r="M35" s="55" t="str">
        <f t="shared" si="8"/>
        <v>Certificates &amp; Diplomas 5-7</v>
      </c>
      <c r="N35" s="56">
        <v>2019</v>
      </c>
      <c r="O35" s="56">
        <v>120</v>
      </c>
      <c r="P35" s="57">
        <f t="shared" si="1"/>
        <v>2.4167724004591869E-5</v>
      </c>
    </row>
    <row r="36" spans="2:16">
      <c r="B36" s="36">
        <v>2024</v>
      </c>
      <c r="C36" s="8">
        <v>5270100</v>
      </c>
      <c r="D36" s="22"/>
      <c r="E36" s="38"/>
      <c r="H36" s="55" t="str">
        <f t="shared" si="7"/>
        <v>Certificates &amp; Diplomas 5-7</v>
      </c>
      <c r="I36" s="56">
        <v>2020</v>
      </c>
      <c r="J36" s="56">
        <v>105</v>
      </c>
      <c r="K36" s="57">
        <f t="shared" si="0"/>
        <v>2.065790509168175E-5</v>
      </c>
      <c r="M36" s="55" t="str">
        <f t="shared" si="8"/>
        <v>Certificates &amp; Diplomas 5-7</v>
      </c>
      <c r="N36" s="56">
        <v>2020</v>
      </c>
      <c r="O36" s="56">
        <v>110</v>
      </c>
      <c r="P36" s="57">
        <f t="shared" si="1"/>
        <v>2.1641614857952311E-5</v>
      </c>
    </row>
    <row r="37" spans="2:16">
      <c r="B37" s="36">
        <v>2025</v>
      </c>
      <c r="C37" s="8">
        <v>5341100</v>
      </c>
      <c r="D37" s="23"/>
      <c r="E37" s="39"/>
      <c r="H37" s="55" t="str">
        <f t="shared" si="7"/>
        <v>Certificates &amp; Diplomas 5-7</v>
      </c>
      <c r="I37" s="56">
        <v>2021</v>
      </c>
      <c r="J37" s="56">
        <v>100</v>
      </c>
      <c r="K37" s="57">
        <f t="shared" si="0"/>
        <v>1.9577517179271325E-5</v>
      </c>
      <c r="M37" s="55" t="str">
        <f t="shared" si="8"/>
        <v>Certificates &amp; Diplomas 5-7</v>
      </c>
      <c r="N37" s="56">
        <v>2021</v>
      </c>
      <c r="O37" s="56">
        <v>115</v>
      </c>
      <c r="P37" s="57">
        <f t="shared" si="1"/>
        <v>2.2514144756162025E-5</v>
      </c>
    </row>
    <row r="38" spans="2:16">
      <c r="B38" s="36">
        <v>2026</v>
      </c>
      <c r="C38" s="8">
        <v>5412100</v>
      </c>
      <c r="D38" s="23"/>
      <c r="E38" s="39"/>
      <c r="H38" s="55" t="s">
        <v>169</v>
      </c>
      <c r="I38" s="56">
        <v>2022</v>
      </c>
      <c r="J38" s="56">
        <v>115</v>
      </c>
      <c r="K38" s="57">
        <f t="shared" si="0"/>
        <v>2.2482453910969483E-5</v>
      </c>
      <c r="M38" s="55" t="s">
        <v>169</v>
      </c>
      <c r="N38" s="56">
        <v>2022</v>
      </c>
      <c r="O38" s="56">
        <v>125</v>
      </c>
      <c r="P38" s="57">
        <f t="shared" si="1"/>
        <v>2.44374499032277E-5</v>
      </c>
    </row>
    <row r="39" spans="2:16">
      <c r="B39" s="36">
        <v>2027</v>
      </c>
      <c r="C39" s="8">
        <v>5483100</v>
      </c>
      <c r="D39" s="23"/>
      <c r="E39" s="39"/>
      <c r="H39" s="55" t="s">
        <v>171</v>
      </c>
      <c r="I39" s="56">
        <v>2013</v>
      </c>
      <c r="J39" s="56">
        <v>85</v>
      </c>
      <c r="K39" s="57">
        <f t="shared" si="0"/>
        <v>1.9161406672678089E-5</v>
      </c>
      <c r="M39" s="55" t="s">
        <v>171</v>
      </c>
      <c r="N39" s="56">
        <v>2013</v>
      </c>
      <c r="O39" s="56">
        <v>220</v>
      </c>
      <c r="P39" s="57">
        <f t="shared" si="1"/>
        <v>4.9594229035166815E-5</v>
      </c>
    </row>
    <row r="40" spans="2:16">
      <c r="B40" s="36">
        <v>2028</v>
      </c>
      <c r="C40" s="8">
        <v>5550000</v>
      </c>
      <c r="D40" s="23"/>
      <c r="E40" s="39"/>
      <c r="H40" s="55" t="str">
        <f>H39</f>
        <v>Bachelors degrees 7</v>
      </c>
      <c r="I40" s="56">
        <v>2014</v>
      </c>
      <c r="J40" s="56">
        <v>95</v>
      </c>
      <c r="K40" s="57">
        <f t="shared" si="0"/>
        <v>2.1105951878429718E-5</v>
      </c>
      <c r="M40" s="55" t="str">
        <f>M39</f>
        <v>Bachelors degrees 7</v>
      </c>
      <c r="N40" s="56">
        <v>2014</v>
      </c>
      <c r="O40" s="56">
        <v>295</v>
      </c>
      <c r="P40" s="57">
        <f t="shared" si="1"/>
        <v>6.5539534780387017E-5</v>
      </c>
    </row>
    <row r="41" spans="2:16">
      <c r="B41" s="36">
        <v>2029</v>
      </c>
      <c r="C41" s="8">
        <v>5610000</v>
      </c>
      <c r="D41" s="23"/>
      <c r="E41" s="39"/>
      <c r="H41" s="55" t="str">
        <f t="shared" ref="H41:H48" si="9">H40</f>
        <v>Bachelors degrees 7</v>
      </c>
      <c r="I41" s="56">
        <v>2015</v>
      </c>
      <c r="J41" s="56">
        <v>85</v>
      </c>
      <c r="K41" s="57">
        <f t="shared" ref="K41:K68" si="10">J41/VLOOKUP(I41,$B$25:$C$49,2,0)</f>
        <v>1.8510856072649666E-5</v>
      </c>
      <c r="M41" s="55" t="str">
        <f t="shared" ref="M41:M48" si="11">M40</f>
        <v>Bachelors degrees 7</v>
      </c>
      <c r="N41" s="56">
        <v>2015</v>
      </c>
      <c r="O41" s="56">
        <v>265</v>
      </c>
      <c r="P41" s="57">
        <f t="shared" ref="P41:P68" si="12">O41/VLOOKUP(N41,$B$25:$C$49,2,0)</f>
        <v>5.7710315991201902E-5</v>
      </c>
    </row>
    <row r="42" spans="2:16">
      <c r="B42" s="36">
        <v>2030</v>
      </c>
      <c r="C42" s="8">
        <v>5670000</v>
      </c>
      <c r="D42" s="23"/>
      <c r="E42" s="39"/>
      <c r="H42" s="55" t="str">
        <f t="shared" si="9"/>
        <v>Bachelors degrees 7</v>
      </c>
      <c r="I42" s="56">
        <v>2016</v>
      </c>
      <c r="J42" s="56">
        <v>100</v>
      </c>
      <c r="K42" s="57">
        <f t="shared" si="10"/>
        <v>2.1299254526091586E-5</v>
      </c>
      <c r="M42" s="55" t="str">
        <f t="shared" si="11"/>
        <v>Bachelors degrees 7</v>
      </c>
      <c r="N42" s="56">
        <v>2016</v>
      </c>
      <c r="O42" s="56">
        <v>310</v>
      </c>
      <c r="P42" s="57">
        <f t="shared" si="12"/>
        <v>6.6027689030883914E-5</v>
      </c>
    </row>
    <row r="43" spans="2:16">
      <c r="B43" s="36">
        <v>2031</v>
      </c>
      <c r="C43" s="8">
        <v>5730000</v>
      </c>
      <c r="D43" s="23"/>
      <c r="E43" s="39"/>
      <c r="H43" s="55" t="str">
        <f t="shared" si="9"/>
        <v>Bachelors degrees 7</v>
      </c>
      <c r="I43" s="56">
        <v>2017</v>
      </c>
      <c r="J43" s="56">
        <v>105</v>
      </c>
      <c r="K43" s="57">
        <f t="shared" si="10"/>
        <v>2.1890049408968665E-5</v>
      </c>
      <c r="M43" s="55" t="str">
        <f t="shared" si="11"/>
        <v>Bachelors degrees 7</v>
      </c>
      <c r="N43" s="56">
        <v>2017</v>
      </c>
      <c r="O43" s="56">
        <v>340</v>
      </c>
      <c r="P43" s="57">
        <f t="shared" si="12"/>
        <v>7.0882064752850912E-5</v>
      </c>
    </row>
    <row r="44" spans="2:16">
      <c r="B44" s="36">
        <v>2032</v>
      </c>
      <c r="C44" s="8">
        <v>5790000</v>
      </c>
      <c r="D44" s="23"/>
      <c r="E44" s="39"/>
      <c r="H44" s="55" t="str">
        <f t="shared" si="9"/>
        <v>Bachelors degrees 7</v>
      </c>
      <c r="I44" s="56">
        <v>2018</v>
      </c>
      <c r="J44" s="56">
        <v>100</v>
      </c>
      <c r="K44" s="57">
        <f t="shared" si="10"/>
        <v>2.04662205030597E-5</v>
      </c>
      <c r="M44" s="55" t="str">
        <f t="shared" si="11"/>
        <v>Bachelors degrees 7</v>
      </c>
      <c r="N44" s="56">
        <v>2018</v>
      </c>
      <c r="O44" s="56">
        <v>335</v>
      </c>
      <c r="P44" s="57">
        <f t="shared" si="12"/>
        <v>6.8561838685249988E-5</v>
      </c>
    </row>
    <row r="45" spans="2:16">
      <c r="B45" s="36">
        <v>2033</v>
      </c>
      <c r="C45" s="8">
        <v>5850000</v>
      </c>
      <c r="D45" s="23"/>
      <c r="E45" s="39"/>
      <c r="H45" s="55" t="str">
        <f t="shared" si="9"/>
        <v>Bachelors degrees 7</v>
      </c>
      <c r="I45" s="56">
        <v>2019</v>
      </c>
      <c r="J45" s="56">
        <v>125</v>
      </c>
      <c r="K45" s="57">
        <f t="shared" si="10"/>
        <v>2.5174712504783194E-5</v>
      </c>
      <c r="M45" s="55" t="str">
        <f t="shared" si="11"/>
        <v>Bachelors degrees 7</v>
      </c>
      <c r="N45" s="56">
        <v>2019</v>
      </c>
      <c r="O45" s="56">
        <v>365</v>
      </c>
      <c r="P45" s="57">
        <f t="shared" si="12"/>
        <v>7.3510160513966924E-5</v>
      </c>
    </row>
    <row r="46" spans="2:16">
      <c r="B46" s="36">
        <v>2034</v>
      </c>
      <c r="C46" s="8">
        <v>5910000</v>
      </c>
      <c r="D46" s="23"/>
      <c r="E46" s="39"/>
      <c r="H46" s="55" t="str">
        <f t="shared" si="9"/>
        <v>Bachelors degrees 7</v>
      </c>
      <c r="I46" s="56">
        <v>2020</v>
      </c>
      <c r="J46" s="56">
        <v>140</v>
      </c>
      <c r="K46" s="57">
        <f t="shared" si="10"/>
        <v>2.7543873455575666E-5</v>
      </c>
      <c r="M46" s="55" t="str">
        <f t="shared" si="11"/>
        <v>Bachelors degrees 7</v>
      </c>
      <c r="N46" s="56">
        <v>2020</v>
      </c>
      <c r="O46" s="56">
        <v>440</v>
      </c>
      <c r="P46" s="57">
        <f t="shared" si="12"/>
        <v>8.6566459431809245E-5</v>
      </c>
    </row>
    <row r="47" spans="2:16">
      <c r="B47" s="36">
        <v>2035</v>
      </c>
      <c r="C47" s="8">
        <v>5970000</v>
      </c>
      <c r="D47" s="23"/>
      <c r="E47" s="39"/>
      <c r="H47" s="55" t="str">
        <f t="shared" si="9"/>
        <v>Bachelors degrees 7</v>
      </c>
      <c r="I47" s="56">
        <v>2021</v>
      </c>
      <c r="J47" s="56">
        <v>170</v>
      </c>
      <c r="K47" s="57">
        <f t="shared" si="10"/>
        <v>3.328177920476125E-5</v>
      </c>
      <c r="M47" s="55" t="str">
        <f t="shared" si="11"/>
        <v>Bachelors degrees 7</v>
      </c>
      <c r="N47" s="56">
        <v>2021</v>
      </c>
      <c r="O47" s="56">
        <v>340</v>
      </c>
      <c r="P47" s="57">
        <f t="shared" si="12"/>
        <v>6.6563558409522499E-5</v>
      </c>
    </row>
    <row r="48" spans="2:16">
      <c r="B48" s="36">
        <v>2036</v>
      </c>
      <c r="C48" s="8">
        <v>6030000</v>
      </c>
      <c r="D48" s="23"/>
      <c r="E48" s="39"/>
      <c r="H48" s="55" t="str">
        <f t="shared" si="9"/>
        <v>Bachelors degrees 7</v>
      </c>
      <c r="I48" s="56">
        <v>2022</v>
      </c>
      <c r="J48" s="56">
        <v>130</v>
      </c>
      <c r="K48" s="57">
        <f t="shared" si="10"/>
        <v>2.5414947899356806E-5</v>
      </c>
      <c r="M48" s="55" t="str">
        <f t="shared" si="11"/>
        <v>Bachelors degrees 7</v>
      </c>
      <c r="N48" s="56">
        <v>2022</v>
      </c>
      <c r="O48" s="56">
        <v>250</v>
      </c>
      <c r="P48" s="57">
        <f t="shared" si="12"/>
        <v>4.8874899806455399E-5</v>
      </c>
    </row>
    <row r="49" spans="2:16">
      <c r="B49" s="36">
        <v>2037</v>
      </c>
      <c r="C49" s="8">
        <v>6090000</v>
      </c>
      <c r="D49" s="23"/>
      <c r="E49" s="39"/>
      <c r="H49" s="58" t="s">
        <v>172</v>
      </c>
      <c r="I49" s="56">
        <v>2013</v>
      </c>
      <c r="J49" s="56">
        <v>5</v>
      </c>
      <c r="K49" s="57">
        <f t="shared" si="10"/>
        <v>1.127141568981064E-6</v>
      </c>
      <c r="M49" s="58" t="s">
        <v>172</v>
      </c>
      <c r="N49" s="56">
        <v>2013</v>
      </c>
      <c r="O49" s="56">
        <v>45</v>
      </c>
      <c r="P49" s="57">
        <f t="shared" si="12"/>
        <v>1.0144274120829576E-5</v>
      </c>
    </row>
    <row r="50" spans="2:16">
      <c r="B50" s="36">
        <v>2038</v>
      </c>
      <c r="C50" s="8">
        <f t="shared" ref="C50:C62" si="13">_xlfn.FORECAST.LINEAR(B50,$C$25:$C$49,$B$25:$B$49)</f>
        <v>6200165</v>
      </c>
      <c r="D50" s="23"/>
      <c r="E50" s="39"/>
      <c r="H50" s="58" t="str">
        <f>H49</f>
        <v>Graduate certificates/diplomas 7</v>
      </c>
      <c r="I50" s="56">
        <v>2014</v>
      </c>
      <c r="J50" s="56">
        <v>10</v>
      </c>
      <c r="K50" s="57">
        <f t="shared" si="10"/>
        <v>2.2216791450978648E-6</v>
      </c>
      <c r="M50" s="58" t="str">
        <f>M49</f>
        <v>Graduate certificates/diplomas 7</v>
      </c>
      <c r="N50" s="56">
        <v>2014</v>
      </c>
      <c r="O50" s="56">
        <v>45</v>
      </c>
      <c r="P50" s="57">
        <f t="shared" si="12"/>
        <v>9.9975561529403929E-6</v>
      </c>
    </row>
    <row r="51" spans="2:16">
      <c r="B51" s="36">
        <v>2039</v>
      </c>
      <c r="C51" s="8">
        <f t="shared" si="13"/>
        <v>6267613.3846153915</v>
      </c>
      <c r="D51" s="23"/>
      <c r="E51" s="39"/>
      <c r="H51" s="58" t="str">
        <f t="shared" ref="H51:H58" si="14">H50</f>
        <v>Graduate certificates/diplomas 7</v>
      </c>
      <c r="I51" s="56">
        <v>2015</v>
      </c>
      <c r="J51" s="56">
        <v>5</v>
      </c>
      <c r="K51" s="57">
        <f t="shared" si="10"/>
        <v>1.088873886626451E-6</v>
      </c>
      <c r="M51" s="58" t="str">
        <f t="shared" ref="M51:M58" si="15">M50</f>
        <v>Graduate certificates/diplomas 7</v>
      </c>
      <c r="N51" s="56">
        <v>2015</v>
      </c>
      <c r="O51" s="56">
        <v>25</v>
      </c>
      <c r="P51" s="57">
        <f t="shared" si="12"/>
        <v>5.4443694331322543E-6</v>
      </c>
    </row>
    <row r="52" spans="2:16">
      <c r="B52" s="36">
        <v>2040</v>
      </c>
      <c r="C52" s="8">
        <f t="shared" si="13"/>
        <v>6335061.769230783</v>
      </c>
      <c r="D52" s="23"/>
      <c r="E52" s="39"/>
      <c r="H52" s="58" t="str">
        <f t="shared" si="14"/>
        <v>Graduate certificates/diplomas 7</v>
      </c>
      <c r="I52" s="56">
        <v>2016</v>
      </c>
      <c r="J52" s="56">
        <v>5</v>
      </c>
      <c r="K52" s="57">
        <f t="shared" si="10"/>
        <v>1.0649627263045794E-6</v>
      </c>
      <c r="M52" s="58" t="str">
        <f t="shared" si="15"/>
        <v>Graduate certificates/diplomas 7</v>
      </c>
      <c r="N52" s="56">
        <v>2016</v>
      </c>
      <c r="O52" s="56">
        <v>55</v>
      </c>
      <c r="P52" s="57">
        <f t="shared" si="12"/>
        <v>1.1714589989350372E-5</v>
      </c>
    </row>
    <row r="53" spans="2:16">
      <c r="B53" s="36">
        <v>2041</v>
      </c>
      <c r="C53" s="8">
        <f t="shared" si="13"/>
        <v>6402510.1538461745</v>
      </c>
      <c r="D53" s="23"/>
      <c r="E53" s="39"/>
      <c r="H53" s="58" t="str">
        <f t="shared" si="14"/>
        <v>Graduate certificates/diplomas 7</v>
      </c>
      <c r="I53" s="56">
        <v>2017</v>
      </c>
      <c r="J53" s="56">
        <v>5</v>
      </c>
      <c r="K53" s="57">
        <f t="shared" si="10"/>
        <v>1.0423833051889841E-6</v>
      </c>
      <c r="M53" s="58" t="str">
        <f t="shared" si="15"/>
        <v>Graduate certificates/diplomas 7</v>
      </c>
      <c r="N53" s="56">
        <v>2017</v>
      </c>
      <c r="O53" s="56">
        <v>50</v>
      </c>
      <c r="P53" s="57">
        <f t="shared" si="12"/>
        <v>1.0423833051889842E-5</v>
      </c>
    </row>
    <row r="54" spans="2:16">
      <c r="B54" s="36">
        <v>2042</v>
      </c>
      <c r="C54" s="8">
        <f t="shared" si="13"/>
        <v>6469958.5384615362</v>
      </c>
      <c r="D54" s="23"/>
      <c r="E54" s="39"/>
      <c r="H54" s="58" t="str">
        <f t="shared" si="14"/>
        <v>Graduate certificates/diplomas 7</v>
      </c>
      <c r="I54" s="56">
        <v>2018</v>
      </c>
      <c r="J54" s="56">
        <v>85</v>
      </c>
      <c r="K54" s="57">
        <f t="shared" si="10"/>
        <v>1.7396287427600744E-5</v>
      </c>
      <c r="M54" s="58" t="str">
        <f t="shared" si="15"/>
        <v>Graduate certificates/diplomas 7</v>
      </c>
      <c r="N54" s="56">
        <v>2018</v>
      </c>
      <c r="O54" s="56">
        <v>220</v>
      </c>
      <c r="P54" s="57">
        <f t="shared" si="12"/>
        <v>4.5025685106731339E-5</v>
      </c>
    </row>
    <row r="55" spans="2:16">
      <c r="B55" s="36">
        <v>2043</v>
      </c>
      <c r="C55" s="8">
        <f t="shared" si="13"/>
        <v>6537406.9230769277</v>
      </c>
      <c r="D55" s="23"/>
      <c r="E55" s="39"/>
      <c r="H55" s="58" t="str">
        <f t="shared" si="14"/>
        <v>Graduate certificates/diplomas 7</v>
      </c>
      <c r="I55" s="56">
        <v>2019</v>
      </c>
      <c r="J55" s="56">
        <v>20</v>
      </c>
      <c r="K55" s="57">
        <f t="shared" si="10"/>
        <v>4.0279540007653114E-6</v>
      </c>
      <c r="M55" s="58" t="str">
        <f t="shared" si="15"/>
        <v>Graduate certificates/diplomas 7</v>
      </c>
      <c r="N55" s="56">
        <v>2019</v>
      </c>
      <c r="O55" s="56">
        <v>175</v>
      </c>
      <c r="P55" s="57">
        <f t="shared" si="12"/>
        <v>3.5244597506696474E-5</v>
      </c>
    </row>
    <row r="56" spans="2:16">
      <c r="B56" s="36">
        <v>2044</v>
      </c>
      <c r="C56" s="8">
        <f t="shared" si="13"/>
        <v>6604855.3076923192</v>
      </c>
      <c r="D56" s="23"/>
      <c r="E56" s="39"/>
      <c r="H56" s="58" t="str">
        <f t="shared" si="14"/>
        <v>Graduate certificates/diplomas 7</v>
      </c>
      <c r="I56" s="56">
        <v>2020</v>
      </c>
      <c r="J56" s="56">
        <v>55</v>
      </c>
      <c r="K56" s="57">
        <f t="shared" si="10"/>
        <v>1.0820807428976156E-5</v>
      </c>
      <c r="M56" s="58" t="str">
        <f t="shared" si="15"/>
        <v>Graduate certificates/diplomas 7</v>
      </c>
      <c r="N56" s="56">
        <v>2020</v>
      </c>
      <c r="O56" s="56">
        <v>100</v>
      </c>
      <c r="P56" s="57">
        <f t="shared" si="12"/>
        <v>1.9674195325411192E-5</v>
      </c>
    </row>
    <row r="57" spans="2:16">
      <c r="B57" s="36">
        <v>2045</v>
      </c>
      <c r="C57" s="8">
        <f t="shared" si="13"/>
        <v>6672303.6923077106</v>
      </c>
      <c r="D57" s="23"/>
      <c r="E57" s="39"/>
      <c r="H57" s="58" t="str">
        <f t="shared" si="14"/>
        <v>Graduate certificates/diplomas 7</v>
      </c>
      <c r="I57" s="56">
        <v>2021</v>
      </c>
      <c r="J57" s="56">
        <v>15</v>
      </c>
      <c r="K57" s="57">
        <f t="shared" si="10"/>
        <v>2.9366275768906988E-6</v>
      </c>
      <c r="M57" s="58" t="str">
        <f t="shared" si="15"/>
        <v>Graduate certificates/diplomas 7</v>
      </c>
      <c r="N57" s="56">
        <v>2021</v>
      </c>
      <c r="O57" s="56">
        <v>35</v>
      </c>
      <c r="P57" s="57">
        <f t="shared" si="12"/>
        <v>6.8521310127449641E-6</v>
      </c>
    </row>
    <row r="58" spans="2:16">
      <c r="B58" s="36">
        <v>2046</v>
      </c>
      <c r="C58" s="8">
        <f t="shared" si="13"/>
        <v>6739752.0769230723</v>
      </c>
      <c r="D58" s="23"/>
      <c r="E58" s="39"/>
      <c r="H58" s="58" t="str">
        <f t="shared" si="14"/>
        <v>Graduate certificates/diplomas 7</v>
      </c>
      <c r="I58" s="56">
        <v>2022</v>
      </c>
      <c r="J58" s="56">
        <v>5</v>
      </c>
      <c r="K58" s="57">
        <f t="shared" si="10"/>
        <v>9.7749799612910804E-7</v>
      </c>
      <c r="M58" s="58" t="str">
        <f t="shared" si="15"/>
        <v>Graduate certificates/diplomas 7</v>
      </c>
      <c r="N58" s="56">
        <v>2022</v>
      </c>
      <c r="O58" s="56">
        <v>20</v>
      </c>
      <c r="P58" s="57">
        <f t="shared" si="12"/>
        <v>3.9099919845164322E-6</v>
      </c>
    </row>
    <row r="59" spans="2:16">
      <c r="B59" s="36">
        <v>2047</v>
      </c>
      <c r="C59" s="8">
        <f t="shared" si="13"/>
        <v>6807200.4615384638</v>
      </c>
      <c r="D59" s="23"/>
      <c r="E59" s="39"/>
      <c r="H59" s="58" t="s">
        <v>173</v>
      </c>
      <c r="I59" s="56">
        <v>2013</v>
      </c>
      <c r="J59" s="56">
        <v>320</v>
      </c>
      <c r="K59" s="57">
        <f t="shared" si="10"/>
        <v>7.2137060414788099E-5</v>
      </c>
      <c r="M59" s="58" t="s">
        <v>173</v>
      </c>
      <c r="N59" s="56">
        <v>2013</v>
      </c>
      <c r="O59" s="56">
        <v>315</v>
      </c>
      <c r="P59" s="57">
        <f t="shared" si="12"/>
        <v>7.1009918845807028E-5</v>
      </c>
    </row>
    <row r="60" spans="2:16">
      <c r="B60" s="36">
        <v>2048</v>
      </c>
      <c r="C60" s="8">
        <f t="shared" si="13"/>
        <v>6874648.8461538553</v>
      </c>
      <c r="D60" s="23"/>
      <c r="E60" s="39"/>
      <c r="H60" s="58" t="s">
        <v>173</v>
      </c>
      <c r="I60" s="56">
        <v>2014</v>
      </c>
      <c r="J60" s="56">
        <v>315</v>
      </c>
      <c r="K60" s="57">
        <f t="shared" si="10"/>
        <v>6.9982893070582745E-5</v>
      </c>
      <c r="M60" s="58" t="s">
        <v>173</v>
      </c>
      <c r="N60" s="56">
        <v>2014</v>
      </c>
      <c r="O60" s="56">
        <v>380</v>
      </c>
      <c r="P60" s="57">
        <f t="shared" si="12"/>
        <v>8.4423807513718871E-5</v>
      </c>
    </row>
    <row r="61" spans="2:16">
      <c r="B61" s="36">
        <v>2049</v>
      </c>
      <c r="C61" s="8">
        <f t="shared" si="13"/>
        <v>6942097.2307692468</v>
      </c>
      <c r="D61" s="23"/>
      <c r="E61" s="39"/>
      <c r="H61" s="58" t="s">
        <v>173</v>
      </c>
      <c r="I61" s="56">
        <v>2015</v>
      </c>
      <c r="J61" s="56">
        <v>360</v>
      </c>
      <c r="K61" s="57">
        <f t="shared" si="10"/>
        <v>7.8398919837104465E-5</v>
      </c>
      <c r="M61" s="58" t="s">
        <v>173</v>
      </c>
      <c r="N61" s="56">
        <v>2015</v>
      </c>
      <c r="O61" s="56">
        <v>255</v>
      </c>
      <c r="P61" s="57">
        <f t="shared" si="12"/>
        <v>5.5532568217948994E-5</v>
      </c>
    </row>
    <row r="62" spans="2:16" ht="15.75" thickBot="1">
      <c r="B62" s="40">
        <v>2050</v>
      </c>
      <c r="C62" s="41">
        <f t="shared" si="13"/>
        <v>7009545.6153846383</v>
      </c>
      <c r="D62" s="42"/>
      <c r="E62" s="43"/>
      <c r="H62" s="58" t="s">
        <v>173</v>
      </c>
      <c r="I62" s="56">
        <v>2016</v>
      </c>
      <c r="J62" s="56">
        <v>390</v>
      </c>
      <c r="K62" s="57">
        <f t="shared" si="10"/>
        <v>8.3067092651757193E-5</v>
      </c>
      <c r="M62" s="58" t="s">
        <v>173</v>
      </c>
      <c r="N62" s="56">
        <v>2016</v>
      </c>
      <c r="O62" s="56">
        <v>315</v>
      </c>
      <c r="P62" s="57">
        <f t="shared" si="12"/>
        <v>6.7092651757188503E-5</v>
      </c>
    </row>
    <row r="63" spans="2:16">
      <c r="H63" s="58" t="s">
        <v>173</v>
      </c>
      <c r="I63" s="56">
        <v>2017</v>
      </c>
      <c r="J63" s="56">
        <v>510</v>
      </c>
      <c r="K63" s="57">
        <f t="shared" si="10"/>
        <v>1.0632309712927637E-4</v>
      </c>
      <c r="M63" s="58" t="s">
        <v>173</v>
      </c>
      <c r="N63" s="56">
        <v>2017</v>
      </c>
      <c r="O63" s="56">
        <v>390</v>
      </c>
      <c r="P63" s="57">
        <f t="shared" si="12"/>
        <v>8.1305897804740757E-5</v>
      </c>
    </row>
    <row r="64" spans="2:16">
      <c r="H64" s="58" t="s">
        <v>173</v>
      </c>
      <c r="I64" s="56">
        <v>2018</v>
      </c>
      <c r="J64" s="56">
        <v>550</v>
      </c>
      <c r="K64" s="57">
        <f t="shared" si="10"/>
        <v>1.1256421276682835E-4</v>
      </c>
      <c r="M64" s="58" t="s">
        <v>173</v>
      </c>
      <c r="N64" s="56">
        <v>2018</v>
      </c>
      <c r="O64" s="56">
        <v>425</v>
      </c>
      <c r="P64" s="57">
        <f t="shared" si="12"/>
        <v>8.6981437138003719E-5</v>
      </c>
    </row>
    <row r="65" spans="8:16">
      <c r="H65" s="58" t="s">
        <v>173</v>
      </c>
      <c r="I65" s="56">
        <v>2019</v>
      </c>
      <c r="J65" s="56">
        <v>550</v>
      </c>
      <c r="K65" s="57">
        <f t="shared" si="10"/>
        <v>1.1076873502104606E-4</v>
      </c>
      <c r="M65" s="58" t="s">
        <v>173</v>
      </c>
      <c r="N65" s="56">
        <v>2019</v>
      </c>
      <c r="O65" s="56">
        <v>405</v>
      </c>
      <c r="P65" s="57">
        <f t="shared" si="12"/>
        <v>8.1566068515497554E-5</v>
      </c>
    </row>
    <row r="66" spans="8:16">
      <c r="H66" s="58" t="s">
        <v>173</v>
      </c>
      <c r="I66" s="56">
        <v>2020</v>
      </c>
      <c r="J66" s="56">
        <v>550</v>
      </c>
      <c r="K66" s="57">
        <f t="shared" si="10"/>
        <v>1.0820807428976155E-4</v>
      </c>
      <c r="M66" s="58" t="s">
        <v>173</v>
      </c>
      <c r="N66" s="56">
        <v>2020</v>
      </c>
      <c r="O66" s="56">
        <v>465</v>
      </c>
      <c r="P66" s="57">
        <f t="shared" si="12"/>
        <v>9.1485008263162042E-5</v>
      </c>
    </row>
    <row r="67" spans="8:16">
      <c r="H67" s="58" t="s">
        <v>173</v>
      </c>
      <c r="I67" s="56">
        <v>2021</v>
      </c>
      <c r="J67" s="56">
        <v>480</v>
      </c>
      <c r="K67" s="57">
        <f t="shared" si="10"/>
        <v>9.3972082460502362E-5</v>
      </c>
      <c r="M67" s="58" t="s">
        <v>173</v>
      </c>
      <c r="N67" s="56">
        <v>2021</v>
      </c>
      <c r="O67" s="56">
        <v>400</v>
      </c>
      <c r="P67" s="57">
        <f t="shared" si="12"/>
        <v>7.83100687170853E-5</v>
      </c>
    </row>
    <row r="68" spans="8:16" ht="15.75" thickBot="1">
      <c r="H68" s="59" t="s">
        <v>173</v>
      </c>
      <c r="I68" s="60">
        <v>2022</v>
      </c>
      <c r="J68" s="60">
        <v>465</v>
      </c>
      <c r="K68" s="61">
        <f t="shared" si="10"/>
        <v>9.0907313640007034E-5</v>
      </c>
      <c r="M68" s="59" t="s">
        <v>173</v>
      </c>
      <c r="N68" s="60">
        <v>2022</v>
      </c>
      <c r="O68" s="60">
        <v>375</v>
      </c>
      <c r="P68" s="61">
        <f t="shared" si="12"/>
        <v>7.3312349709683092E-5</v>
      </c>
    </row>
    <row r="69" spans="8:16"/>
    <row r="70" spans="8:16"/>
  </sheetData>
  <hyperlinks>
    <hyperlink ref="C7" location="REF!B8" display="[3]" xr:uid="{37587066-188D-4A7E-A97E-C4DDCF7AC569}"/>
    <hyperlink ref="C23" location="REF!B9" display="[4]" xr:uid="{1EBF0BCD-FF0F-4A92-8167-D3F8DB630A14}"/>
    <hyperlink ref="I7" location="REF!B10" display="[5]" xr:uid="{FED003C7-1E8E-442E-8604-291B702A7C1C}"/>
    <hyperlink ref="N7" location="REF!B10" display="[5]" xr:uid="{CDB4F54A-CDCB-4037-9349-ECEFD89CED3C}"/>
    <hyperlink ref="D23" location="REF!B14" display="[9]" xr:uid="{64678D1F-2009-4260-8B58-301E9DE3A96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F224-6643-4134-9A45-C460685D0E3D}">
  <sheetPr>
    <tabColor theme="7"/>
  </sheetPr>
  <dimension ref="A1:AP53"/>
  <sheetViews>
    <sheetView zoomScale="70" zoomScaleNormal="70" workbookViewId="0">
      <selection activeCell="E48" sqref="E48"/>
    </sheetView>
  </sheetViews>
  <sheetFormatPr defaultColWidth="0" defaultRowHeight="15" zeroHeight="1"/>
  <cols>
    <col min="1" max="1" width="9.140625" style="50" customWidth="1"/>
    <col min="2" max="2" width="105.85546875" style="50" bestFit="1" customWidth="1"/>
    <col min="3" max="3" width="8.7109375" style="50" customWidth="1"/>
    <col min="4" max="40" width="35.7109375" style="50" customWidth="1"/>
    <col min="41" max="42" width="9.140625" style="50" customWidth="1"/>
    <col min="43" max="16384" width="9.140625" style="50" hidden="1"/>
  </cols>
  <sheetData>
    <row r="1" spans="2:40" ht="15.75" thickBot="1">
      <c r="H1" s="225"/>
    </row>
    <row r="2" spans="2:40" ht="15.75" thickBot="1">
      <c r="B2"/>
      <c r="C2" s="49" t="s">
        <v>50</v>
      </c>
      <c r="D2" s="33" t="s">
        <v>51</v>
      </c>
      <c r="H2" s="225"/>
    </row>
    <row r="3" spans="2:40" ht="54" customHeight="1" thickBot="1">
      <c r="C3" s="226">
        <v>5</v>
      </c>
      <c r="D3" s="62" t="str">
        <f>VLOOKUP(C3,'Site Guide'!$D$9:$F$19,3,0)</f>
        <v>Information regarding capital allocations of EDBs</v>
      </c>
      <c r="E3" s="227"/>
      <c r="H3" s="225"/>
    </row>
    <row r="4" spans="2:40">
      <c r="H4" s="225"/>
    </row>
    <row r="5" spans="2:40" ht="15.75" thickBot="1">
      <c r="B5" s="53" t="s">
        <v>174</v>
      </c>
      <c r="C5" s="54" t="s">
        <v>175</v>
      </c>
    </row>
    <row r="6" spans="2:40" ht="15.75" thickBot="1">
      <c r="B6" s="67" t="s">
        <v>176</v>
      </c>
      <c r="C6" s="67" t="s">
        <v>146</v>
      </c>
      <c r="D6" s="67" t="s">
        <v>177</v>
      </c>
      <c r="E6" s="67" t="s">
        <v>178</v>
      </c>
      <c r="F6" s="67" t="s">
        <v>179</v>
      </c>
      <c r="G6" s="67" t="s">
        <v>180</v>
      </c>
      <c r="H6" s="67" t="s">
        <v>181</v>
      </c>
      <c r="I6" s="67" t="s">
        <v>182</v>
      </c>
      <c r="J6" s="67" t="s">
        <v>183</v>
      </c>
      <c r="K6" s="67" t="s">
        <v>184</v>
      </c>
      <c r="L6" s="67" t="s">
        <v>185</v>
      </c>
      <c r="M6" s="67" t="s">
        <v>186</v>
      </c>
      <c r="N6" s="67" t="s">
        <v>187</v>
      </c>
      <c r="O6" s="67" t="s">
        <v>188</v>
      </c>
      <c r="P6" s="67" t="s">
        <v>189</v>
      </c>
      <c r="Q6" s="67" t="s">
        <v>190</v>
      </c>
      <c r="R6" s="67" t="s">
        <v>191</v>
      </c>
      <c r="S6" s="67" t="s">
        <v>192</v>
      </c>
      <c r="T6" s="67" t="s">
        <v>193</v>
      </c>
      <c r="U6" s="67" t="s">
        <v>194</v>
      </c>
      <c r="V6" s="67" t="s">
        <v>195</v>
      </c>
      <c r="W6" s="67" t="s">
        <v>196</v>
      </c>
      <c r="X6" s="67" t="s">
        <v>197</v>
      </c>
      <c r="Y6" s="67" t="s">
        <v>198</v>
      </c>
      <c r="Z6" s="67" t="s">
        <v>199</v>
      </c>
      <c r="AA6" s="67" t="s">
        <v>200</v>
      </c>
      <c r="AB6" s="67" t="s">
        <v>201</v>
      </c>
      <c r="AC6" s="67" t="s">
        <v>202</v>
      </c>
      <c r="AD6" s="67" t="s">
        <v>203</v>
      </c>
      <c r="AE6" s="67" t="s">
        <v>204</v>
      </c>
      <c r="AF6" s="67" t="s">
        <v>205</v>
      </c>
      <c r="AG6" s="67" t="s">
        <v>206</v>
      </c>
      <c r="AH6" s="67" t="s">
        <v>207</v>
      </c>
      <c r="AI6" s="67" t="s">
        <v>208</v>
      </c>
      <c r="AJ6" s="67" t="s">
        <v>209</v>
      </c>
      <c r="AK6" s="67" t="s">
        <v>210</v>
      </c>
      <c r="AL6" s="67" t="s">
        <v>211</v>
      </c>
      <c r="AM6" s="67" t="s">
        <v>212</v>
      </c>
      <c r="AN6" s="228" t="s">
        <v>213</v>
      </c>
    </row>
    <row r="7" spans="2:40">
      <c r="B7" s="229" t="s">
        <v>214</v>
      </c>
      <c r="C7" s="230">
        <v>2022</v>
      </c>
      <c r="D7" s="231" t="s">
        <v>215</v>
      </c>
      <c r="E7" s="231" t="s">
        <v>216</v>
      </c>
      <c r="F7" s="231" t="s">
        <v>217</v>
      </c>
      <c r="G7" s="231" t="s">
        <v>218</v>
      </c>
      <c r="H7" s="231" t="s">
        <v>219</v>
      </c>
      <c r="I7" s="231" t="s">
        <v>220</v>
      </c>
      <c r="J7" s="231" t="s">
        <v>221</v>
      </c>
      <c r="K7" s="230">
        <v>18058</v>
      </c>
      <c r="L7" s="230">
        <v>75681.847383278349</v>
      </c>
      <c r="M7" s="230">
        <v>3223.428062</v>
      </c>
      <c r="N7" s="230">
        <v>11886</v>
      </c>
      <c r="O7" s="230">
        <v>74171.25</v>
      </c>
      <c r="P7" s="230">
        <v>14169.9</v>
      </c>
      <c r="Q7" s="230">
        <v>9370.0325899999989</v>
      </c>
      <c r="R7" s="230">
        <v>15336.762000000001</v>
      </c>
      <c r="S7" s="230">
        <v>5520</v>
      </c>
      <c r="T7" s="230">
        <v>7570.2204833333317</v>
      </c>
      <c r="U7" s="230">
        <v>26857.675999999999</v>
      </c>
      <c r="V7" s="230">
        <v>8485.2000000000007</v>
      </c>
      <c r="W7" s="230">
        <v>1420</v>
      </c>
      <c r="X7" s="230">
        <v>12185</v>
      </c>
      <c r="Y7" s="230">
        <v>9110</v>
      </c>
      <c r="Z7" s="230">
        <v>29727.599999999999</v>
      </c>
      <c r="AA7" s="230">
        <v>84904.820399999997</v>
      </c>
      <c r="AB7" s="230">
        <v>18405.114254</v>
      </c>
      <c r="AC7" s="230">
        <v>258654</v>
      </c>
      <c r="AD7" s="230">
        <v>3127.924</v>
      </c>
      <c r="AE7" s="230">
        <v>20078.193664999999</v>
      </c>
      <c r="AF7" s="230">
        <v>24673.104934999999</v>
      </c>
      <c r="AG7" s="230">
        <v>11682</v>
      </c>
      <c r="AH7" s="230">
        <v>55687.599999999977</v>
      </c>
      <c r="AI7" s="230">
        <v>337183</v>
      </c>
      <c r="AJ7" s="230">
        <v>51489.402909999997</v>
      </c>
      <c r="AK7" s="230">
        <v>18050</v>
      </c>
      <c r="AL7" s="230">
        <v>51069.556635970883</v>
      </c>
      <c r="AM7" s="230">
        <v>4414</v>
      </c>
      <c r="AN7" s="232">
        <v>1262191.625</v>
      </c>
    </row>
    <row r="8" spans="2:40">
      <c r="B8" s="233" t="s">
        <v>222</v>
      </c>
      <c r="C8" s="234">
        <v>2022</v>
      </c>
      <c r="D8" s="235" t="s">
        <v>215</v>
      </c>
      <c r="E8" s="235" t="s">
        <v>216</v>
      </c>
      <c r="F8" s="235" t="s">
        <v>217</v>
      </c>
      <c r="G8" s="235" t="s">
        <v>223</v>
      </c>
      <c r="H8" s="235" t="s">
        <v>223</v>
      </c>
      <c r="I8" s="235" t="s">
        <v>220</v>
      </c>
      <c r="J8" s="235" t="s">
        <v>221</v>
      </c>
      <c r="K8" s="234">
        <v>2400</v>
      </c>
      <c r="L8" s="234">
        <v>11749</v>
      </c>
      <c r="M8" s="234">
        <v>87</v>
      </c>
      <c r="N8" s="234">
        <v>1965</v>
      </c>
      <c r="O8" s="234">
        <v>18000</v>
      </c>
      <c r="P8" s="234">
        <v>3586.9</v>
      </c>
      <c r="Q8" s="234">
        <v>111.68300000000001</v>
      </c>
      <c r="R8" s="234">
        <v>400</v>
      </c>
      <c r="S8" s="234">
        <v>1276</v>
      </c>
      <c r="T8" s="234">
        <v>232.10689333333329</v>
      </c>
      <c r="U8" s="234">
        <v>5000</v>
      </c>
      <c r="V8" s="234">
        <v>96</v>
      </c>
      <c r="W8" s="234">
        <v>99</v>
      </c>
      <c r="X8" s="234">
        <v>951</v>
      </c>
      <c r="Y8" s="234">
        <v>1833</v>
      </c>
      <c r="Z8" s="234">
        <v>6155.8</v>
      </c>
      <c r="AA8" s="234">
        <v>15121.296</v>
      </c>
      <c r="AB8" s="234">
        <v>7064.2010499999988</v>
      </c>
      <c r="AC8" s="234">
        <v>55351</v>
      </c>
      <c r="AD8" s="234">
        <v>50</v>
      </c>
      <c r="AE8" s="234">
        <v>1224.268611</v>
      </c>
      <c r="AF8" s="234">
        <v>3308.9231574999999</v>
      </c>
      <c r="AG8" s="234">
        <v>4139</v>
      </c>
      <c r="AH8" s="234">
        <v>16116.85</v>
      </c>
      <c r="AI8" s="234">
        <v>111191</v>
      </c>
      <c r="AJ8" s="234">
        <v>14451</v>
      </c>
      <c r="AK8" s="234">
        <v>3738</v>
      </c>
      <c r="AL8" s="234">
        <v>15925.02998999999</v>
      </c>
      <c r="AM8" s="234">
        <v>163</v>
      </c>
      <c r="AN8" s="236">
        <v>301786.03125</v>
      </c>
    </row>
    <row r="9" spans="2:40">
      <c r="B9" s="233" t="s">
        <v>224</v>
      </c>
      <c r="C9" s="234">
        <v>2022</v>
      </c>
      <c r="D9" s="235" t="s">
        <v>215</v>
      </c>
      <c r="E9" s="235" t="s">
        <v>216</v>
      </c>
      <c r="F9" s="235" t="s">
        <v>217</v>
      </c>
      <c r="G9" s="235" t="s">
        <v>225</v>
      </c>
      <c r="H9" s="235" t="s">
        <v>226</v>
      </c>
      <c r="I9" s="235" t="s">
        <v>220</v>
      </c>
      <c r="J9" s="235" t="s">
        <v>221</v>
      </c>
      <c r="K9" s="234">
        <v>1210</v>
      </c>
      <c r="L9" s="234">
        <v>389.2</v>
      </c>
      <c r="M9" s="234">
        <v>514.46</v>
      </c>
      <c r="N9" s="234">
        <v>829</v>
      </c>
      <c r="O9" s="234">
        <v>350</v>
      </c>
      <c r="P9" s="234">
        <v>962</v>
      </c>
      <c r="Q9" s="234">
        <v>351</v>
      </c>
      <c r="R9" s="234">
        <v>4466.6769999999997</v>
      </c>
      <c r="S9" s="234">
        <v>471</v>
      </c>
      <c r="T9" s="234">
        <v>1043.55017</v>
      </c>
      <c r="U9" s="234">
        <v>724</v>
      </c>
      <c r="V9" s="234">
        <v>895.19999999999993</v>
      </c>
      <c r="W9" s="234">
        <v>339</v>
      </c>
      <c r="X9" s="234">
        <v>788</v>
      </c>
      <c r="Y9" s="234">
        <v>1160</v>
      </c>
      <c r="Z9" s="234">
        <v>1067</v>
      </c>
      <c r="AA9" s="234">
        <v>14578.896000000001</v>
      </c>
      <c r="AB9" s="234">
        <v>1975.47345</v>
      </c>
      <c r="AC9" s="234">
        <v>12244</v>
      </c>
      <c r="AD9" s="234">
        <v>602.55899999999997</v>
      </c>
      <c r="AE9" s="234">
        <v>6984.55836</v>
      </c>
      <c r="AF9" s="234">
        <v>5414.6593650000004</v>
      </c>
      <c r="AG9" s="234">
        <v>1186</v>
      </c>
      <c r="AH9" s="234">
        <v>1352.35</v>
      </c>
      <c r="AI9" s="234">
        <v>11215</v>
      </c>
      <c r="AJ9" s="234">
        <v>3052.3649999999998</v>
      </c>
      <c r="AK9" s="234">
        <v>2619</v>
      </c>
      <c r="AL9" s="234">
        <v>4020.0171300000011</v>
      </c>
      <c r="AM9" s="234">
        <v>2438</v>
      </c>
      <c r="AN9" s="236">
        <v>83242.9609375</v>
      </c>
    </row>
    <row r="10" spans="2:40">
      <c r="B10" s="233" t="s">
        <v>227</v>
      </c>
      <c r="C10" s="234">
        <v>2022</v>
      </c>
      <c r="D10" s="235" t="s">
        <v>215</v>
      </c>
      <c r="E10" s="235" t="s">
        <v>216</v>
      </c>
      <c r="F10" s="235" t="s">
        <v>217</v>
      </c>
      <c r="G10" s="235" t="s">
        <v>228</v>
      </c>
      <c r="H10" s="235" t="s">
        <v>228</v>
      </c>
      <c r="I10" s="235" t="s">
        <v>220</v>
      </c>
      <c r="J10" s="235" t="s">
        <v>221</v>
      </c>
      <c r="K10" s="234">
        <v>2921</v>
      </c>
      <c r="L10" s="234">
        <v>7061.353385902501</v>
      </c>
      <c r="M10" s="234">
        <v>0</v>
      </c>
      <c r="N10" s="234">
        <v>0</v>
      </c>
      <c r="O10" s="234">
        <v>905</v>
      </c>
      <c r="P10" s="234">
        <v>1122</v>
      </c>
      <c r="Q10" s="234">
        <v>1001.78594</v>
      </c>
      <c r="R10" s="234">
        <v>0</v>
      </c>
      <c r="S10" s="234">
        <v>0</v>
      </c>
      <c r="T10" s="234">
        <v>486.20177999999999</v>
      </c>
      <c r="U10" s="234">
        <v>6564</v>
      </c>
      <c r="V10" s="234">
        <v>63.6</v>
      </c>
      <c r="W10" s="234">
        <v>5</v>
      </c>
      <c r="X10" s="234">
        <v>3187</v>
      </c>
      <c r="Y10" s="234">
        <v>1645</v>
      </c>
      <c r="Z10" s="234">
        <v>2375.8000000000002</v>
      </c>
      <c r="AA10" s="234">
        <v>18171.864000000001</v>
      </c>
      <c r="AB10" s="234">
        <v>358.73102499999999</v>
      </c>
      <c r="AC10" s="234">
        <v>74993</v>
      </c>
      <c r="AD10" s="234">
        <v>50</v>
      </c>
      <c r="AE10" s="234">
        <v>2604.63</v>
      </c>
      <c r="AF10" s="234">
        <v>1924.5101924999999</v>
      </c>
      <c r="AG10" s="234">
        <v>1461</v>
      </c>
      <c r="AH10" s="234">
        <v>1172.1500000000001</v>
      </c>
      <c r="AI10" s="234">
        <v>38052</v>
      </c>
      <c r="AJ10" s="234">
        <v>7738.2459099999996</v>
      </c>
      <c r="AK10" s="234">
        <v>5701</v>
      </c>
      <c r="AL10" s="234">
        <v>7987.1355500000018</v>
      </c>
      <c r="AM10" s="234">
        <v>265</v>
      </c>
      <c r="AN10" s="236">
        <v>187817.015625</v>
      </c>
    </row>
    <row r="11" spans="2:40">
      <c r="B11" s="233" t="s">
        <v>229</v>
      </c>
      <c r="C11" s="234">
        <v>2023</v>
      </c>
      <c r="D11" s="235" t="s">
        <v>215</v>
      </c>
      <c r="E11" s="235" t="s">
        <v>216</v>
      </c>
      <c r="F11" s="235" t="s">
        <v>217</v>
      </c>
      <c r="G11" s="235" t="s">
        <v>218</v>
      </c>
      <c r="H11" s="235" t="s">
        <v>219</v>
      </c>
      <c r="I11" s="235" t="s">
        <v>220</v>
      </c>
      <c r="J11" s="235" t="s">
        <v>221</v>
      </c>
      <c r="K11" s="234">
        <v>24932</v>
      </c>
      <c r="L11" s="234">
        <v>90192.373923016887</v>
      </c>
      <c r="M11" s="234">
        <v>2980.6005924999999</v>
      </c>
      <c r="N11" s="234">
        <v>10011</v>
      </c>
      <c r="O11" s="234">
        <v>75898.420151258048</v>
      </c>
      <c r="P11" s="234">
        <v>19238.594381103521</v>
      </c>
      <c r="Q11" s="234">
        <v>12695.050639999999</v>
      </c>
      <c r="R11" s="234">
        <v>18503</v>
      </c>
      <c r="S11" s="234">
        <v>5202</v>
      </c>
      <c r="T11" s="234">
        <v>8241.8083711300023</v>
      </c>
      <c r="U11" s="234">
        <v>26914.960999999999</v>
      </c>
      <c r="V11" s="234">
        <v>17190.375</v>
      </c>
      <c r="W11" s="234">
        <v>2297</v>
      </c>
      <c r="X11" s="234">
        <v>23521</v>
      </c>
      <c r="Y11" s="234">
        <v>16509.616908145072</v>
      </c>
      <c r="Z11" s="234">
        <v>43730.369166666671</v>
      </c>
      <c r="AA11" s="234">
        <v>117636.37385199381</v>
      </c>
      <c r="AB11" s="234">
        <v>15848.54774869522</v>
      </c>
      <c r="AC11" s="234">
        <v>261501</v>
      </c>
      <c r="AD11" s="234">
        <v>3824.1120000000001</v>
      </c>
      <c r="AE11" s="234">
        <v>24964.636706199999</v>
      </c>
      <c r="AF11" s="234">
        <v>34059.685072558568</v>
      </c>
      <c r="AG11" s="234">
        <v>17825.882000000001</v>
      </c>
      <c r="AH11" s="234">
        <v>75073.475266562542</v>
      </c>
      <c r="AI11" s="234">
        <v>399451</v>
      </c>
      <c r="AJ11" s="234">
        <v>73923.685283090075</v>
      </c>
      <c r="AK11" s="234">
        <v>16367</v>
      </c>
      <c r="AL11" s="234">
        <v>52010</v>
      </c>
      <c r="AM11" s="234">
        <v>6946</v>
      </c>
      <c r="AN11" s="236">
        <v>1497489.625</v>
      </c>
    </row>
    <row r="12" spans="2:40">
      <c r="B12" s="233" t="s">
        <v>230</v>
      </c>
      <c r="C12" s="234">
        <v>2023</v>
      </c>
      <c r="D12" s="235" t="s">
        <v>215</v>
      </c>
      <c r="E12" s="235" t="s">
        <v>216</v>
      </c>
      <c r="F12" s="235" t="s">
        <v>217</v>
      </c>
      <c r="G12" s="235" t="s">
        <v>223</v>
      </c>
      <c r="H12" s="235" t="s">
        <v>223</v>
      </c>
      <c r="I12" s="235" t="s">
        <v>220</v>
      </c>
      <c r="J12" s="235" t="s">
        <v>221</v>
      </c>
      <c r="K12" s="234">
        <v>4400</v>
      </c>
      <c r="L12" s="234">
        <v>13533.832</v>
      </c>
      <c r="M12" s="234">
        <v>171.6</v>
      </c>
      <c r="N12" s="234">
        <v>2318</v>
      </c>
      <c r="O12" s="234">
        <v>14000</v>
      </c>
      <c r="P12" s="234">
        <v>3964.0549999999998</v>
      </c>
      <c r="Q12" s="234">
        <v>111.6835</v>
      </c>
      <c r="R12" s="234">
        <v>400</v>
      </c>
      <c r="S12" s="234">
        <v>688</v>
      </c>
      <c r="T12" s="234">
        <v>615.59837113000094</v>
      </c>
      <c r="U12" s="234">
        <v>6000</v>
      </c>
      <c r="V12" s="234">
        <v>200</v>
      </c>
      <c r="W12" s="234">
        <v>245</v>
      </c>
      <c r="X12" s="234">
        <v>1175</v>
      </c>
      <c r="Y12" s="234">
        <v>1366.07835</v>
      </c>
      <c r="Z12" s="234">
        <v>4094.6618357487928</v>
      </c>
      <c r="AA12" s="234">
        <v>22206.902451757549</v>
      </c>
      <c r="AB12" s="234">
        <v>5019.4365190161388</v>
      </c>
      <c r="AC12" s="234">
        <v>64800</v>
      </c>
      <c r="AD12" s="234">
        <v>172</v>
      </c>
      <c r="AE12" s="234">
        <v>1524.267611</v>
      </c>
      <c r="AF12" s="234">
        <v>13044.68056781721</v>
      </c>
      <c r="AG12" s="234">
        <v>4263.9859999999999</v>
      </c>
      <c r="AH12" s="234">
        <v>18236.299500000001</v>
      </c>
      <c r="AI12" s="234">
        <v>86553</v>
      </c>
      <c r="AJ12" s="234">
        <v>28348.84318519794</v>
      </c>
      <c r="AK12" s="234">
        <v>4218</v>
      </c>
      <c r="AL12" s="234">
        <v>13674</v>
      </c>
      <c r="AM12" s="234">
        <v>230</v>
      </c>
      <c r="AN12" s="236">
        <v>315574.90625</v>
      </c>
    </row>
    <row r="13" spans="2:40">
      <c r="B13" s="233" t="s">
        <v>231</v>
      </c>
      <c r="C13" s="234">
        <v>2023</v>
      </c>
      <c r="D13" s="235" t="s">
        <v>215</v>
      </c>
      <c r="E13" s="235" t="s">
        <v>216</v>
      </c>
      <c r="F13" s="235" t="s">
        <v>217</v>
      </c>
      <c r="G13" s="235" t="s">
        <v>225</v>
      </c>
      <c r="H13" s="235" t="s">
        <v>226</v>
      </c>
      <c r="I13" s="235" t="s">
        <v>220</v>
      </c>
      <c r="J13" s="235" t="s">
        <v>221</v>
      </c>
      <c r="K13" s="234">
        <v>980</v>
      </c>
      <c r="L13" s="234">
        <v>1378.777</v>
      </c>
      <c r="M13" s="234">
        <v>615.86799999999994</v>
      </c>
      <c r="N13" s="234">
        <v>310</v>
      </c>
      <c r="O13" s="234">
        <v>1842</v>
      </c>
      <c r="P13" s="234">
        <v>1845.375381103516</v>
      </c>
      <c r="Q13" s="234">
        <v>299.50490000000002</v>
      </c>
      <c r="R13" s="234">
        <v>4345</v>
      </c>
      <c r="S13" s="234">
        <v>858</v>
      </c>
      <c r="T13" s="234">
        <v>1389.7360000000001</v>
      </c>
      <c r="U13" s="234">
        <v>2735.3310000000001</v>
      </c>
      <c r="V13" s="234">
        <v>2991.5</v>
      </c>
      <c r="W13" s="234">
        <v>1025</v>
      </c>
      <c r="X13" s="234">
        <v>6515</v>
      </c>
      <c r="Y13" s="234">
        <v>1481.768875508476</v>
      </c>
      <c r="Z13" s="234">
        <v>4391.0628019323667</v>
      </c>
      <c r="AA13" s="234">
        <v>29703.324092685601</v>
      </c>
      <c r="AB13" s="234">
        <v>1289.316207509012</v>
      </c>
      <c r="AC13" s="234">
        <v>13737</v>
      </c>
      <c r="AD13" s="234">
        <v>0</v>
      </c>
      <c r="AE13" s="234">
        <v>10046.159</v>
      </c>
      <c r="AF13" s="234">
        <v>5067.8848058301919</v>
      </c>
      <c r="AG13" s="234">
        <v>2413.0030000000002</v>
      </c>
      <c r="AH13" s="234">
        <v>6938.7668465625502</v>
      </c>
      <c r="AI13" s="234">
        <v>25939</v>
      </c>
      <c r="AJ13" s="234">
        <v>6898.3600000000006</v>
      </c>
      <c r="AK13" s="234">
        <v>1525</v>
      </c>
      <c r="AL13" s="234">
        <v>2555</v>
      </c>
      <c r="AM13" s="234">
        <v>4065</v>
      </c>
      <c r="AN13" s="236">
        <v>143181.734375</v>
      </c>
    </row>
    <row r="14" spans="2:40">
      <c r="B14" s="233" t="s">
        <v>232</v>
      </c>
      <c r="C14" s="234">
        <v>2023</v>
      </c>
      <c r="D14" s="235" t="s">
        <v>215</v>
      </c>
      <c r="E14" s="235" t="s">
        <v>216</v>
      </c>
      <c r="F14" s="235" t="s">
        <v>217</v>
      </c>
      <c r="G14" s="235" t="s">
        <v>228</v>
      </c>
      <c r="H14" s="235" t="s">
        <v>228</v>
      </c>
      <c r="I14" s="235" t="s">
        <v>220</v>
      </c>
      <c r="J14" s="235" t="s">
        <v>221</v>
      </c>
      <c r="K14" s="234">
        <v>2870</v>
      </c>
      <c r="L14" s="234">
        <v>12752.54747084412</v>
      </c>
      <c r="M14" s="234">
        <v>0</v>
      </c>
      <c r="N14" s="234">
        <v>192</v>
      </c>
      <c r="O14" s="234">
        <v>12287.445889250001</v>
      </c>
      <c r="P14" s="234">
        <v>1969.54</v>
      </c>
      <c r="Q14" s="234">
        <v>2091.1323400000001</v>
      </c>
      <c r="R14" s="234">
        <v>100</v>
      </c>
      <c r="S14" s="234">
        <v>0</v>
      </c>
      <c r="T14" s="234">
        <v>318.28199999999998</v>
      </c>
      <c r="U14" s="234">
        <v>3245.63</v>
      </c>
      <c r="V14" s="234">
        <v>2471.875</v>
      </c>
      <c r="W14" s="234">
        <v>270</v>
      </c>
      <c r="X14" s="234">
        <v>5340</v>
      </c>
      <c r="Y14" s="234">
        <v>3981</v>
      </c>
      <c r="Z14" s="234">
        <v>10179.10628019324</v>
      </c>
      <c r="AA14" s="234">
        <v>14358.057483865799</v>
      </c>
      <c r="AB14" s="234">
        <v>864.84557114000609</v>
      </c>
      <c r="AC14" s="234">
        <v>82626</v>
      </c>
      <c r="AD14" s="234">
        <v>172.25</v>
      </c>
      <c r="AE14" s="234">
        <v>410.6</v>
      </c>
      <c r="AF14" s="234">
        <v>3329.893647961685</v>
      </c>
      <c r="AG14" s="234">
        <v>4574</v>
      </c>
      <c r="AH14" s="234">
        <v>2645.1999999999989</v>
      </c>
      <c r="AI14" s="234">
        <v>70817</v>
      </c>
      <c r="AJ14" s="234">
        <v>11637.45639126214</v>
      </c>
      <c r="AK14" s="234">
        <v>3322</v>
      </c>
      <c r="AL14" s="234">
        <v>8895</v>
      </c>
      <c r="AM14" s="234">
        <v>295</v>
      </c>
      <c r="AN14" s="236">
        <v>262015.859375</v>
      </c>
    </row>
    <row r="15" spans="2:40">
      <c r="B15" s="233" t="s">
        <v>233</v>
      </c>
      <c r="C15" s="234">
        <v>2024</v>
      </c>
      <c r="D15" s="235" t="s">
        <v>215</v>
      </c>
      <c r="E15" s="235" t="s">
        <v>216</v>
      </c>
      <c r="F15" s="235" t="s">
        <v>217</v>
      </c>
      <c r="G15" s="235" t="s">
        <v>218</v>
      </c>
      <c r="H15" s="235" t="s">
        <v>219</v>
      </c>
      <c r="I15" s="235" t="s">
        <v>220</v>
      </c>
      <c r="J15" s="235" t="s">
        <v>221</v>
      </c>
      <c r="K15" s="234">
        <v>20720</v>
      </c>
      <c r="L15" s="234">
        <v>85373.010441467559</v>
      </c>
      <c r="M15" s="234">
        <v>3324.6719343999998</v>
      </c>
      <c r="N15" s="234">
        <v>9378</v>
      </c>
      <c r="O15" s="234">
        <v>53135.668933975641</v>
      </c>
      <c r="P15" s="234">
        <v>14937.76102539063</v>
      </c>
      <c r="Q15" s="234">
        <v>11181.54574</v>
      </c>
      <c r="R15" s="234">
        <v>18412.04</v>
      </c>
      <c r="S15" s="234">
        <v>6089</v>
      </c>
      <c r="T15" s="234">
        <v>8581.4740000000002</v>
      </c>
      <c r="U15" s="234">
        <v>27256.059000000001</v>
      </c>
      <c r="V15" s="234">
        <v>18583.310000000001</v>
      </c>
      <c r="W15" s="234">
        <v>1782</v>
      </c>
      <c r="X15" s="234">
        <v>19330</v>
      </c>
      <c r="Y15" s="234">
        <v>17192.86178157742</v>
      </c>
      <c r="Z15" s="234">
        <v>39952.208434782609</v>
      </c>
      <c r="AA15" s="234">
        <v>112983.764</v>
      </c>
      <c r="AB15" s="234">
        <v>15837.875927973189</v>
      </c>
      <c r="AC15" s="234">
        <v>257011</v>
      </c>
      <c r="AD15" s="234">
        <v>3987.25</v>
      </c>
      <c r="AE15" s="234">
        <v>32617.568271783199</v>
      </c>
      <c r="AF15" s="234">
        <v>33069.015397908697</v>
      </c>
      <c r="AG15" s="234">
        <v>15772.500134431401</v>
      </c>
      <c r="AH15" s="234">
        <v>60239.227812906363</v>
      </c>
      <c r="AI15" s="234">
        <v>342803</v>
      </c>
      <c r="AJ15" s="234">
        <v>77643.023460517987</v>
      </c>
      <c r="AK15" s="234">
        <v>21341</v>
      </c>
      <c r="AL15" s="234">
        <v>50147</v>
      </c>
      <c r="AM15" s="234">
        <v>4238</v>
      </c>
      <c r="AN15" s="236">
        <v>1382919.75</v>
      </c>
    </row>
    <row r="16" spans="2:40">
      <c r="B16" s="233" t="s">
        <v>234</v>
      </c>
      <c r="C16" s="234">
        <v>2024</v>
      </c>
      <c r="D16" s="235" t="s">
        <v>215</v>
      </c>
      <c r="E16" s="235" t="s">
        <v>216</v>
      </c>
      <c r="F16" s="235" t="s">
        <v>217</v>
      </c>
      <c r="G16" s="235" t="s">
        <v>223</v>
      </c>
      <c r="H16" s="235" t="s">
        <v>223</v>
      </c>
      <c r="I16" s="235" t="s">
        <v>220</v>
      </c>
      <c r="J16" s="235" t="s">
        <v>221</v>
      </c>
      <c r="K16" s="234">
        <v>4500</v>
      </c>
      <c r="L16" s="234">
        <v>13000</v>
      </c>
      <c r="M16" s="234">
        <v>112</v>
      </c>
      <c r="N16" s="234">
        <v>2318</v>
      </c>
      <c r="O16" s="234">
        <v>12000</v>
      </c>
      <c r="P16" s="234">
        <v>2795.944</v>
      </c>
      <c r="Q16" s="234">
        <v>111.6835</v>
      </c>
      <c r="R16" s="234">
        <v>400</v>
      </c>
      <c r="S16" s="234">
        <v>692</v>
      </c>
      <c r="T16" s="234">
        <v>274.71199999999999</v>
      </c>
      <c r="U16" s="234">
        <v>6000</v>
      </c>
      <c r="V16" s="234">
        <v>200</v>
      </c>
      <c r="W16" s="234">
        <v>105</v>
      </c>
      <c r="X16" s="234">
        <v>1175</v>
      </c>
      <c r="Y16" s="234">
        <v>1366.07835</v>
      </c>
      <c r="Z16" s="234">
        <v>4100.1504999999997</v>
      </c>
      <c r="AA16" s="234">
        <v>22105.082910964509</v>
      </c>
      <c r="AB16" s="234">
        <v>5438.1483910686948</v>
      </c>
      <c r="AC16" s="234">
        <v>64783</v>
      </c>
      <c r="AD16" s="234">
        <v>172</v>
      </c>
      <c r="AE16" s="234">
        <v>5524.2676110000002</v>
      </c>
      <c r="AF16" s="234">
        <v>13045.27546294778</v>
      </c>
      <c r="AG16" s="234">
        <v>3059.87</v>
      </c>
      <c r="AH16" s="234">
        <v>13435.1765</v>
      </c>
      <c r="AI16" s="234">
        <v>86108</v>
      </c>
      <c r="AJ16" s="234">
        <v>28472.138905838368</v>
      </c>
      <c r="AK16" s="234">
        <v>4218</v>
      </c>
      <c r="AL16" s="234">
        <v>12221</v>
      </c>
      <c r="AM16" s="234">
        <v>230</v>
      </c>
      <c r="AN16" s="236">
        <v>307962.53125</v>
      </c>
    </row>
    <row r="17" spans="2:40">
      <c r="B17" s="233" t="s">
        <v>235</v>
      </c>
      <c r="C17" s="234">
        <v>2024</v>
      </c>
      <c r="D17" s="235" t="s">
        <v>215</v>
      </c>
      <c r="E17" s="235" t="s">
        <v>216</v>
      </c>
      <c r="F17" s="235" t="s">
        <v>217</v>
      </c>
      <c r="G17" s="235" t="s">
        <v>225</v>
      </c>
      <c r="H17" s="235" t="s">
        <v>226</v>
      </c>
      <c r="I17" s="235" t="s">
        <v>220</v>
      </c>
      <c r="J17" s="235" t="s">
        <v>221</v>
      </c>
      <c r="K17" s="234">
        <v>975</v>
      </c>
      <c r="L17" s="234">
        <v>370</v>
      </c>
      <c r="M17" s="234">
        <v>254.529</v>
      </c>
      <c r="N17" s="234">
        <v>1115</v>
      </c>
      <c r="O17" s="234">
        <v>3987</v>
      </c>
      <c r="P17" s="234">
        <v>856.1320253906249</v>
      </c>
      <c r="Q17" s="234">
        <v>166</v>
      </c>
      <c r="R17" s="234">
        <v>5240</v>
      </c>
      <c r="S17" s="234">
        <v>869</v>
      </c>
      <c r="T17" s="234">
        <v>1251.2529999999999</v>
      </c>
      <c r="U17" s="234">
        <v>2870.0590000000002</v>
      </c>
      <c r="V17" s="234">
        <v>2328</v>
      </c>
      <c r="W17" s="234">
        <v>505</v>
      </c>
      <c r="X17" s="234">
        <v>1310</v>
      </c>
      <c r="Y17" s="234">
        <v>1997.089675508475</v>
      </c>
      <c r="Z17" s="234">
        <v>5606.130434782609</v>
      </c>
      <c r="AA17" s="234">
        <v>31557.893446749749</v>
      </c>
      <c r="AB17" s="234">
        <v>2211.0607887153719</v>
      </c>
      <c r="AC17" s="234">
        <v>16955</v>
      </c>
      <c r="AD17" s="234">
        <v>150</v>
      </c>
      <c r="AE17" s="234">
        <v>4854.8747540000004</v>
      </c>
      <c r="AF17" s="234">
        <v>3892.1658851472962</v>
      </c>
      <c r="AG17" s="234">
        <v>1783.3811493785761</v>
      </c>
      <c r="AH17" s="234">
        <v>6701.3999999999987</v>
      </c>
      <c r="AI17" s="234">
        <v>32885</v>
      </c>
      <c r="AJ17" s="234">
        <v>7531.5</v>
      </c>
      <c r="AK17" s="234">
        <v>2350</v>
      </c>
      <c r="AL17" s="234">
        <v>2770</v>
      </c>
      <c r="AM17" s="234">
        <v>1888</v>
      </c>
      <c r="AN17" s="236">
        <v>145230.46875</v>
      </c>
    </row>
    <row r="18" spans="2:40">
      <c r="B18" s="233" t="s">
        <v>236</v>
      </c>
      <c r="C18" s="234">
        <v>2024</v>
      </c>
      <c r="D18" s="235" t="s">
        <v>215</v>
      </c>
      <c r="E18" s="235" t="s">
        <v>216</v>
      </c>
      <c r="F18" s="235" t="s">
        <v>217</v>
      </c>
      <c r="G18" s="235" t="s">
        <v>228</v>
      </c>
      <c r="H18" s="235" t="s">
        <v>228</v>
      </c>
      <c r="I18" s="235" t="s">
        <v>220</v>
      </c>
      <c r="J18" s="235" t="s">
        <v>221</v>
      </c>
      <c r="K18" s="234">
        <v>625</v>
      </c>
      <c r="L18" s="234">
        <v>13578.132</v>
      </c>
      <c r="M18" s="234">
        <v>0</v>
      </c>
      <c r="N18" s="234">
        <v>1650</v>
      </c>
      <c r="O18" s="234">
        <v>15099.820399684</v>
      </c>
      <c r="P18" s="234">
        <v>4327.91</v>
      </c>
      <c r="Q18" s="234">
        <v>1891.1323400000001</v>
      </c>
      <c r="R18" s="234">
        <v>1250</v>
      </c>
      <c r="S18" s="234">
        <v>0</v>
      </c>
      <c r="T18" s="234">
        <v>405.32000000000011</v>
      </c>
      <c r="U18" s="234">
        <v>3700</v>
      </c>
      <c r="V18" s="234">
        <v>6791.31</v>
      </c>
      <c r="W18" s="234">
        <v>180</v>
      </c>
      <c r="X18" s="234">
        <v>11740</v>
      </c>
      <c r="Y18" s="234">
        <v>4246</v>
      </c>
      <c r="Z18" s="234">
        <v>2025</v>
      </c>
      <c r="AA18" s="234">
        <v>10105.2414787902</v>
      </c>
      <c r="AB18" s="234">
        <v>302.61919210411207</v>
      </c>
      <c r="AC18" s="234">
        <v>70156</v>
      </c>
      <c r="AD18" s="234">
        <v>172.25</v>
      </c>
      <c r="AE18" s="234">
        <v>6339.6668799999998</v>
      </c>
      <c r="AF18" s="234">
        <v>3813.0846900299948</v>
      </c>
      <c r="AG18" s="234">
        <v>4996</v>
      </c>
      <c r="AH18" s="234">
        <v>6442.9999999999991</v>
      </c>
      <c r="AI18" s="234">
        <v>52836</v>
      </c>
      <c r="AJ18" s="234">
        <v>15684.834310679609</v>
      </c>
      <c r="AK18" s="234">
        <v>11335</v>
      </c>
      <c r="AL18" s="234">
        <v>5595</v>
      </c>
      <c r="AM18" s="234">
        <v>240</v>
      </c>
      <c r="AN18" s="236">
        <v>255528.3125</v>
      </c>
    </row>
    <row r="19" spans="2:40">
      <c r="B19" s="233" t="s">
        <v>237</v>
      </c>
      <c r="C19" s="234">
        <v>2025</v>
      </c>
      <c r="D19" s="235" t="s">
        <v>215</v>
      </c>
      <c r="E19" s="235" t="s">
        <v>216</v>
      </c>
      <c r="F19" s="235" t="s">
        <v>217</v>
      </c>
      <c r="G19" s="235" t="s">
        <v>218</v>
      </c>
      <c r="H19" s="235" t="s">
        <v>219</v>
      </c>
      <c r="I19" s="235" t="s">
        <v>220</v>
      </c>
      <c r="J19" s="235" t="s">
        <v>221</v>
      </c>
      <c r="K19" s="234">
        <v>20005</v>
      </c>
      <c r="L19" s="234">
        <v>82140.561703031926</v>
      </c>
      <c r="M19" s="234">
        <v>2146.6986777333332</v>
      </c>
      <c r="N19" s="234">
        <v>7223</v>
      </c>
      <c r="O19" s="234">
        <v>51788.273711947237</v>
      </c>
      <c r="P19" s="234">
        <v>11738.61228710937</v>
      </c>
      <c r="Q19" s="234">
        <v>7723.7606400000004</v>
      </c>
      <c r="R19" s="234">
        <v>20577.716</v>
      </c>
      <c r="S19" s="234">
        <v>5660</v>
      </c>
      <c r="T19" s="234">
        <v>8965.1839999999993</v>
      </c>
      <c r="U19" s="234">
        <v>26676.78000000001</v>
      </c>
      <c r="V19" s="234">
        <v>19190</v>
      </c>
      <c r="W19" s="234">
        <v>2102</v>
      </c>
      <c r="X19" s="234">
        <v>16246</v>
      </c>
      <c r="Y19" s="234">
        <v>14396.97320929033</v>
      </c>
      <c r="Z19" s="234">
        <v>31661.124070217389</v>
      </c>
      <c r="AA19" s="234">
        <v>95570.988000000012</v>
      </c>
      <c r="AB19" s="234">
        <v>15093.297966518579</v>
      </c>
      <c r="AC19" s="234">
        <v>246560</v>
      </c>
      <c r="AD19" s="234">
        <v>3965.39</v>
      </c>
      <c r="AE19" s="234">
        <v>30911.828235314591</v>
      </c>
      <c r="AF19" s="234">
        <v>23281.372103047339</v>
      </c>
      <c r="AG19" s="234">
        <v>16129.966931088409</v>
      </c>
      <c r="AH19" s="234">
        <v>60326.524747213472</v>
      </c>
      <c r="AI19" s="234">
        <v>290261</v>
      </c>
      <c r="AJ19" s="234">
        <v>80364.958964974358</v>
      </c>
      <c r="AK19" s="234">
        <v>21739</v>
      </c>
      <c r="AL19" s="234">
        <v>47537</v>
      </c>
      <c r="AM19" s="234">
        <v>3195</v>
      </c>
      <c r="AN19" s="236">
        <v>1263178</v>
      </c>
    </row>
    <row r="20" spans="2:40">
      <c r="B20" s="233" t="s">
        <v>238</v>
      </c>
      <c r="C20" s="234">
        <v>2025</v>
      </c>
      <c r="D20" s="235" t="s">
        <v>215</v>
      </c>
      <c r="E20" s="235" t="s">
        <v>216</v>
      </c>
      <c r="F20" s="235" t="s">
        <v>217</v>
      </c>
      <c r="G20" s="235" t="s">
        <v>223</v>
      </c>
      <c r="H20" s="235" t="s">
        <v>223</v>
      </c>
      <c r="I20" s="235" t="s">
        <v>220</v>
      </c>
      <c r="J20" s="235" t="s">
        <v>221</v>
      </c>
      <c r="K20" s="234">
        <v>4400</v>
      </c>
      <c r="L20" s="234">
        <v>13500</v>
      </c>
      <c r="M20" s="234">
        <v>84</v>
      </c>
      <c r="N20" s="234">
        <v>2318</v>
      </c>
      <c r="O20" s="234">
        <v>10000</v>
      </c>
      <c r="P20" s="234">
        <v>2570.5079999999998</v>
      </c>
      <c r="Q20" s="234">
        <v>111.6835</v>
      </c>
      <c r="R20" s="234">
        <v>400</v>
      </c>
      <c r="S20" s="234">
        <v>692</v>
      </c>
      <c r="T20" s="234">
        <v>249.71199999999999</v>
      </c>
      <c r="U20" s="234">
        <v>6000</v>
      </c>
      <c r="V20" s="234">
        <v>200</v>
      </c>
      <c r="W20" s="234">
        <v>130</v>
      </c>
      <c r="X20" s="234">
        <v>1175</v>
      </c>
      <c r="Y20" s="234">
        <v>1366.07835</v>
      </c>
      <c r="Z20" s="234">
        <v>4105.3020049999996</v>
      </c>
      <c r="AA20" s="234">
        <v>19443.971879404158</v>
      </c>
      <c r="AB20" s="234">
        <v>5426.0333147162119</v>
      </c>
      <c r="AC20" s="234">
        <v>62334</v>
      </c>
      <c r="AD20" s="234">
        <v>172</v>
      </c>
      <c r="AE20" s="234">
        <v>4364.2676110000002</v>
      </c>
      <c r="AF20" s="234">
        <v>3211.216967142926</v>
      </c>
      <c r="AG20" s="234">
        <v>3059.87</v>
      </c>
      <c r="AH20" s="234">
        <v>13435.1765</v>
      </c>
      <c r="AI20" s="234">
        <v>75208</v>
      </c>
      <c r="AJ20" s="234">
        <v>30979.339323498629</v>
      </c>
      <c r="AK20" s="234">
        <v>4218</v>
      </c>
      <c r="AL20" s="234">
        <v>11824</v>
      </c>
      <c r="AM20" s="234">
        <v>230</v>
      </c>
      <c r="AN20" s="236">
        <v>281208.15625</v>
      </c>
    </row>
    <row r="21" spans="2:40">
      <c r="B21" s="233" t="s">
        <v>239</v>
      </c>
      <c r="C21" s="234">
        <v>2025</v>
      </c>
      <c r="D21" s="235" t="s">
        <v>215</v>
      </c>
      <c r="E21" s="235" t="s">
        <v>216</v>
      </c>
      <c r="F21" s="235" t="s">
        <v>217</v>
      </c>
      <c r="G21" s="235" t="s">
        <v>225</v>
      </c>
      <c r="H21" s="235" t="s">
        <v>226</v>
      </c>
      <c r="I21" s="235" t="s">
        <v>220</v>
      </c>
      <c r="J21" s="235" t="s">
        <v>221</v>
      </c>
      <c r="K21" s="234">
        <v>670</v>
      </c>
      <c r="L21" s="234">
        <v>240</v>
      </c>
      <c r="M21" s="234">
        <v>168.30175</v>
      </c>
      <c r="N21" s="234">
        <v>890</v>
      </c>
      <c r="O21" s="234">
        <v>2050</v>
      </c>
      <c r="P21" s="234">
        <v>747.81928710937495</v>
      </c>
      <c r="Q21" s="234">
        <v>79.504899999999992</v>
      </c>
      <c r="R21" s="234">
        <v>4335</v>
      </c>
      <c r="S21" s="234">
        <v>740</v>
      </c>
      <c r="T21" s="234">
        <v>830.87599999999998</v>
      </c>
      <c r="U21" s="234">
        <v>2351.815000000001</v>
      </c>
      <c r="V21" s="234">
        <v>2030</v>
      </c>
      <c r="W21" s="234">
        <v>220</v>
      </c>
      <c r="X21" s="234">
        <v>860</v>
      </c>
      <c r="Y21" s="234">
        <v>2499.6645592903319</v>
      </c>
      <c r="Z21" s="234">
        <v>6140.8695652173919</v>
      </c>
      <c r="AA21" s="234">
        <v>18545.081377932391</v>
      </c>
      <c r="AB21" s="234">
        <v>653.18337348776163</v>
      </c>
      <c r="AC21" s="234">
        <v>18173</v>
      </c>
      <c r="AD21" s="234">
        <v>0</v>
      </c>
      <c r="AE21" s="234">
        <v>4918.9816040000014</v>
      </c>
      <c r="AF21" s="234">
        <v>4151.960462117192</v>
      </c>
      <c r="AG21" s="234">
        <v>2812.4650036090802</v>
      </c>
      <c r="AH21" s="234">
        <v>7891.3999999999978</v>
      </c>
      <c r="AI21" s="234">
        <v>31046</v>
      </c>
      <c r="AJ21" s="234">
        <v>6685.1699800000006</v>
      </c>
      <c r="AK21" s="234">
        <v>1205</v>
      </c>
      <c r="AL21" s="234">
        <v>2094</v>
      </c>
      <c r="AM21" s="234">
        <v>1608</v>
      </c>
      <c r="AN21" s="236">
        <v>124638.1015625</v>
      </c>
    </row>
    <row r="22" spans="2:40">
      <c r="B22" s="233" t="s">
        <v>240</v>
      </c>
      <c r="C22" s="234">
        <v>2025</v>
      </c>
      <c r="D22" s="235" t="s">
        <v>215</v>
      </c>
      <c r="E22" s="235" t="s">
        <v>216</v>
      </c>
      <c r="F22" s="235" t="s">
        <v>217</v>
      </c>
      <c r="G22" s="235" t="s">
        <v>228</v>
      </c>
      <c r="H22" s="235" t="s">
        <v>228</v>
      </c>
      <c r="I22" s="235" t="s">
        <v>220</v>
      </c>
      <c r="J22" s="235" t="s">
        <v>221</v>
      </c>
      <c r="K22" s="234">
        <v>1570</v>
      </c>
      <c r="L22" s="234">
        <v>9216.155999999999</v>
      </c>
      <c r="M22" s="234">
        <v>0</v>
      </c>
      <c r="N22" s="234">
        <v>2150</v>
      </c>
      <c r="O22" s="234">
        <v>16087.666253277501</v>
      </c>
      <c r="P22" s="234">
        <v>3837.93</v>
      </c>
      <c r="Q22" s="234">
        <v>991.13234</v>
      </c>
      <c r="R22" s="234">
        <v>2350</v>
      </c>
      <c r="S22" s="234">
        <v>515</v>
      </c>
      <c r="T22" s="234">
        <v>667.03300000000002</v>
      </c>
      <c r="U22" s="234">
        <v>4758.1850000000004</v>
      </c>
      <c r="V22" s="234">
        <v>4175</v>
      </c>
      <c r="W22" s="234">
        <v>350</v>
      </c>
      <c r="X22" s="234">
        <v>7690</v>
      </c>
      <c r="Y22" s="234">
        <v>4561.5</v>
      </c>
      <c r="Z22" s="234">
        <v>4125</v>
      </c>
      <c r="AA22" s="234">
        <v>16350.63695085184</v>
      </c>
      <c r="AB22" s="234">
        <v>2171.1048288729462</v>
      </c>
      <c r="AC22" s="234">
        <v>68436</v>
      </c>
      <c r="AD22" s="234">
        <v>1672.25</v>
      </c>
      <c r="AE22" s="234">
        <v>12559.14</v>
      </c>
      <c r="AF22" s="234">
        <v>4713.5310927056571</v>
      </c>
      <c r="AG22" s="234">
        <v>3576</v>
      </c>
      <c r="AH22" s="234">
        <v>5227.4999999999991</v>
      </c>
      <c r="AI22" s="234">
        <v>37925</v>
      </c>
      <c r="AJ22" s="234">
        <v>16469.399417475732</v>
      </c>
      <c r="AK22" s="234">
        <v>12878</v>
      </c>
      <c r="AL22" s="234">
        <v>6610</v>
      </c>
      <c r="AM22" s="234">
        <v>240</v>
      </c>
      <c r="AN22" s="236">
        <v>251873.171875</v>
      </c>
    </row>
    <row r="23" spans="2:40">
      <c r="B23" s="233" t="s">
        <v>241</v>
      </c>
      <c r="C23" s="234">
        <v>2026</v>
      </c>
      <c r="D23" s="235" t="s">
        <v>215</v>
      </c>
      <c r="E23" s="235" t="s">
        <v>216</v>
      </c>
      <c r="F23" s="235" t="s">
        <v>217</v>
      </c>
      <c r="G23" s="235" t="s">
        <v>218</v>
      </c>
      <c r="H23" s="235" t="s">
        <v>219</v>
      </c>
      <c r="I23" s="235" t="s">
        <v>220</v>
      </c>
      <c r="J23" s="235" t="s">
        <v>221</v>
      </c>
      <c r="K23" s="234">
        <v>22725</v>
      </c>
      <c r="L23" s="234">
        <v>69684.246638374258</v>
      </c>
      <c r="M23" s="234">
        <v>2066.1164044000002</v>
      </c>
      <c r="N23" s="234">
        <v>6794</v>
      </c>
      <c r="O23" s="234">
        <v>49162.341235120242</v>
      </c>
      <c r="P23" s="234">
        <v>12813.615154296869</v>
      </c>
      <c r="Q23" s="234">
        <v>14632.91994</v>
      </c>
      <c r="R23" s="234">
        <v>17460.916000000001</v>
      </c>
      <c r="S23" s="234">
        <v>6534</v>
      </c>
      <c r="T23" s="234">
        <v>10033.799000000001</v>
      </c>
      <c r="U23" s="234">
        <v>26733.439999999999</v>
      </c>
      <c r="V23" s="234">
        <v>19735.25</v>
      </c>
      <c r="W23" s="234">
        <v>2157</v>
      </c>
      <c r="X23" s="234">
        <v>20068</v>
      </c>
      <c r="Y23" s="234">
        <v>11559.373140881829</v>
      </c>
      <c r="Z23" s="234">
        <v>24184.032525049999</v>
      </c>
      <c r="AA23" s="234">
        <v>116432.236</v>
      </c>
      <c r="AB23" s="234">
        <v>20563.654988699469</v>
      </c>
      <c r="AC23" s="234">
        <v>268445</v>
      </c>
      <c r="AD23" s="234">
        <v>4230.3500000000004</v>
      </c>
      <c r="AE23" s="234">
        <v>22121.290825555679</v>
      </c>
      <c r="AF23" s="234">
        <v>26374.472614513641</v>
      </c>
      <c r="AG23" s="234">
        <v>16868.306585386741</v>
      </c>
      <c r="AH23" s="234">
        <v>71313.659029499991</v>
      </c>
      <c r="AI23" s="234">
        <v>303671</v>
      </c>
      <c r="AJ23" s="234">
        <v>77476.738973138941</v>
      </c>
      <c r="AK23" s="234">
        <v>9010</v>
      </c>
      <c r="AL23" s="234">
        <v>61958</v>
      </c>
      <c r="AM23" s="234">
        <v>2668</v>
      </c>
      <c r="AN23" s="236">
        <v>1317476.875</v>
      </c>
    </row>
    <row r="24" spans="2:40">
      <c r="B24" s="233" t="s">
        <v>242</v>
      </c>
      <c r="C24" s="234">
        <v>2026</v>
      </c>
      <c r="D24" s="235" t="s">
        <v>215</v>
      </c>
      <c r="E24" s="235" t="s">
        <v>216</v>
      </c>
      <c r="F24" s="235" t="s">
        <v>217</v>
      </c>
      <c r="G24" s="235" t="s">
        <v>223</v>
      </c>
      <c r="H24" s="235" t="s">
        <v>223</v>
      </c>
      <c r="I24" s="235" t="s">
        <v>220</v>
      </c>
      <c r="J24" s="235" t="s">
        <v>221</v>
      </c>
      <c r="K24" s="234">
        <v>3100</v>
      </c>
      <c r="L24" s="234">
        <v>13800</v>
      </c>
      <c r="M24" s="234">
        <v>69</v>
      </c>
      <c r="N24" s="234">
        <v>2318</v>
      </c>
      <c r="O24" s="234">
        <v>10000</v>
      </c>
      <c r="P24" s="234">
        <v>2543.4160000000002</v>
      </c>
      <c r="Q24" s="234">
        <v>111.6835</v>
      </c>
      <c r="R24" s="234">
        <v>400</v>
      </c>
      <c r="S24" s="234">
        <v>956</v>
      </c>
      <c r="T24" s="234">
        <v>249.71199999999999</v>
      </c>
      <c r="U24" s="234">
        <v>6000</v>
      </c>
      <c r="V24" s="234">
        <v>200</v>
      </c>
      <c r="W24" s="234">
        <v>50</v>
      </c>
      <c r="X24" s="234">
        <v>1175</v>
      </c>
      <c r="Y24" s="234">
        <v>1366.07835</v>
      </c>
      <c r="Z24" s="234">
        <v>4110.5050250499989</v>
      </c>
      <c r="AA24" s="234">
        <v>16910.791941784981</v>
      </c>
      <c r="AB24" s="234">
        <v>3695.7416522408948</v>
      </c>
      <c r="AC24" s="234">
        <v>66103</v>
      </c>
      <c r="AD24" s="234">
        <v>172</v>
      </c>
      <c r="AE24" s="234">
        <v>1946.8937900000001</v>
      </c>
      <c r="AF24" s="234">
        <v>2957.4254909524489</v>
      </c>
      <c r="AG24" s="234">
        <v>3009.87</v>
      </c>
      <c r="AH24" s="234">
        <v>13435.1765</v>
      </c>
      <c r="AI24" s="234">
        <v>63197</v>
      </c>
      <c r="AJ24" s="234">
        <v>32454.855052082628</v>
      </c>
      <c r="AK24" s="234">
        <v>4218</v>
      </c>
      <c r="AL24" s="234">
        <v>11722</v>
      </c>
      <c r="AM24" s="234">
        <v>230</v>
      </c>
      <c r="AN24" s="236">
        <v>266502.15625</v>
      </c>
    </row>
    <row r="25" spans="2:40">
      <c r="B25" s="233" t="s">
        <v>243</v>
      </c>
      <c r="C25" s="234">
        <v>2026</v>
      </c>
      <c r="D25" s="235" t="s">
        <v>215</v>
      </c>
      <c r="E25" s="235" t="s">
        <v>216</v>
      </c>
      <c r="F25" s="235" t="s">
        <v>217</v>
      </c>
      <c r="G25" s="235" t="s">
        <v>225</v>
      </c>
      <c r="H25" s="235" t="s">
        <v>226</v>
      </c>
      <c r="I25" s="235" t="s">
        <v>220</v>
      </c>
      <c r="J25" s="235" t="s">
        <v>221</v>
      </c>
      <c r="K25" s="234">
        <v>900</v>
      </c>
      <c r="L25" s="234">
        <v>230</v>
      </c>
      <c r="M25" s="234">
        <v>168.30175</v>
      </c>
      <c r="N25" s="234">
        <v>1160</v>
      </c>
      <c r="O25" s="234">
        <v>3550</v>
      </c>
      <c r="P25" s="234">
        <v>1069.283154296875</v>
      </c>
      <c r="Q25" s="234">
        <v>1459.5048999999999</v>
      </c>
      <c r="R25" s="234">
        <v>3845</v>
      </c>
      <c r="S25" s="234">
        <v>740</v>
      </c>
      <c r="T25" s="234">
        <v>1008.402</v>
      </c>
      <c r="U25" s="234">
        <v>3060</v>
      </c>
      <c r="V25" s="234">
        <v>1599.5</v>
      </c>
      <c r="W25" s="234">
        <v>360</v>
      </c>
      <c r="X25" s="234">
        <v>4800</v>
      </c>
      <c r="Y25" s="234">
        <v>1284.804909290332</v>
      </c>
      <c r="Z25" s="234">
        <v>1216</v>
      </c>
      <c r="AA25" s="234">
        <v>25252.571515730899</v>
      </c>
      <c r="AB25" s="234">
        <v>2008.862150760252</v>
      </c>
      <c r="AC25" s="234">
        <v>22465</v>
      </c>
      <c r="AD25" s="234">
        <v>0</v>
      </c>
      <c r="AE25" s="234">
        <v>3974.98299</v>
      </c>
      <c r="AF25" s="234">
        <v>2393.9947963111758</v>
      </c>
      <c r="AG25" s="234">
        <v>5794.5222821592806</v>
      </c>
      <c r="AH25" s="234">
        <v>4645.2499999999991</v>
      </c>
      <c r="AI25" s="234">
        <v>37019</v>
      </c>
      <c r="AJ25" s="234">
        <v>8300.1</v>
      </c>
      <c r="AK25" s="234">
        <v>1140</v>
      </c>
      <c r="AL25" s="234">
        <v>2242</v>
      </c>
      <c r="AM25" s="234">
        <v>1588</v>
      </c>
      <c r="AN25" s="236">
        <v>143275.078125</v>
      </c>
    </row>
    <row r="26" spans="2:40">
      <c r="B26" s="233" t="s">
        <v>244</v>
      </c>
      <c r="C26" s="234">
        <v>2026</v>
      </c>
      <c r="D26" s="235" t="s">
        <v>215</v>
      </c>
      <c r="E26" s="235" t="s">
        <v>216</v>
      </c>
      <c r="F26" s="235" t="s">
        <v>217</v>
      </c>
      <c r="G26" s="235" t="s">
        <v>228</v>
      </c>
      <c r="H26" s="235" t="s">
        <v>228</v>
      </c>
      <c r="I26" s="235" t="s">
        <v>220</v>
      </c>
      <c r="J26" s="235" t="s">
        <v>221</v>
      </c>
      <c r="K26" s="234">
        <v>5370</v>
      </c>
      <c r="L26" s="234">
        <v>7378.4379999999992</v>
      </c>
      <c r="M26" s="234">
        <v>0</v>
      </c>
      <c r="N26" s="234">
        <v>360</v>
      </c>
      <c r="O26" s="234">
        <v>17162.400985259999</v>
      </c>
      <c r="P26" s="234">
        <v>5233.9799999999996</v>
      </c>
      <c r="Q26" s="234">
        <v>4366.1323400000001</v>
      </c>
      <c r="R26" s="234">
        <v>1470</v>
      </c>
      <c r="S26" s="234">
        <v>601</v>
      </c>
      <c r="T26" s="234">
        <v>1682.1369999999999</v>
      </c>
      <c r="U26" s="234">
        <v>5120</v>
      </c>
      <c r="V26" s="234">
        <v>3750</v>
      </c>
      <c r="W26" s="234">
        <v>350</v>
      </c>
      <c r="X26" s="234">
        <v>8590</v>
      </c>
      <c r="Y26" s="234">
        <v>4251.5</v>
      </c>
      <c r="Z26" s="234">
        <v>3625</v>
      </c>
      <c r="AA26" s="234">
        <v>22040.51917214811</v>
      </c>
      <c r="AB26" s="234">
        <v>780.64242169917395</v>
      </c>
      <c r="AC26" s="234">
        <v>74863</v>
      </c>
      <c r="AD26" s="234">
        <v>1672.25</v>
      </c>
      <c r="AE26" s="234">
        <v>4400</v>
      </c>
      <c r="AF26" s="234">
        <v>3452.662119201465</v>
      </c>
      <c r="AG26" s="234">
        <v>1650</v>
      </c>
      <c r="AH26" s="234">
        <v>5057.4999999999991</v>
      </c>
      <c r="AI26" s="234">
        <v>44999</v>
      </c>
      <c r="AJ26" s="234">
        <v>10192.733677056311</v>
      </c>
      <c r="AK26" s="234">
        <v>214</v>
      </c>
      <c r="AL26" s="234">
        <v>18701</v>
      </c>
      <c r="AM26" s="234">
        <v>240</v>
      </c>
      <c r="AN26" s="236">
        <v>257573.890625</v>
      </c>
    </row>
    <row r="27" spans="2:40">
      <c r="B27" s="233" t="s">
        <v>245</v>
      </c>
      <c r="C27" s="234">
        <v>2027</v>
      </c>
      <c r="D27" s="235" t="s">
        <v>215</v>
      </c>
      <c r="E27" s="235" t="s">
        <v>216</v>
      </c>
      <c r="F27" s="235" t="s">
        <v>217</v>
      </c>
      <c r="G27" s="235" t="s">
        <v>218</v>
      </c>
      <c r="H27" s="235" t="s">
        <v>219</v>
      </c>
      <c r="I27" s="235" t="s">
        <v>220</v>
      </c>
      <c r="J27" s="235" t="s">
        <v>221</v>
      </c>
      <c r="K27" s="234">
        <v>21930</v>
      </c>
      <c r="L27" s="234">
        <v>70990.286043185013</v>
      </c>
      <c r="M27" s="234">
        <v>1776.7326244000001</v>
      </c>
      <c r="N27" s="234">
        <v>5948</v>
      </c>
      <c r="O27" s="234">
        <v>36838.528999816233</v>
      </c>
      <c r="P27" s="234">
        <v>11132.015877929691</v>
      </c>
      <c r="Q27" s="234">
        <v>12178.24704</v>
      </c>
      <c r="R27" s="234">
        <v>15798.078</v>
      </c>
      <c r="S27" s="234">
        <v>5610</v>
      </c>
      <c r="T27" s="234">
        <v>10798.901</v>
      </c>
      <c r="U27" s="234">
        <v>26192</v>
      </c>
      <c r="V27" s="234">
        <v>18397.75</v>
      </c>
      <c r="W27" s="234">
        <v>1577</v>
      </c>
      <c r="X27" s="234">
        <v>20767</v>
      </c>
      <c r="Y27" s="234">
        <v>9825.0575570999717</v>
      </c>
      <c r="Z27" s="234">
        <v>20561.8625753005</v>
      </c>
      <c r="AA27" s="234">
        <v>115264.304</v>
      </c>
      <c r="AB27" s="234">
        <v>20850.949237056</v>
      </c>
      <c r="AC27" s="234">
        <v>268703</v>
      </c>
      <c r="AD27" s="234">
        <v>3898.75</v>
      </c>
      <c r="AE27" s="234">
        <v>21518.641697642161</v>
      </c>
      <c r="AF27" s="234">
        <v>28063.157831359949</v>
      </c>
      <c r="AG27" s="234">
        <v>17015.336667501069</v>
      </c>
      <c r="AH27" s="234">
        <v>70436.792000000001</v>
      </c>
      <c r="AI27" s="234">
        <v>331315</v>
      </c>
      <c r="AJ27" s="234">
        <v>80440.832159534795</v>
      </c>
      <c r="AK27" s="234">
        <v>8865</v>
      </c>
      <c r="AL27" s="234">
        <v>56826</v>
      </c>
      <c r="AM27" s="234">
        <v>2705</v>
      </c>
      <c r="AN27" s="236">
        <v>1316224.375</v>
      </c>
    </row>
    <row r="28" spans="2:40">
      <c r="B28" s="233" t="s">
        <v>246</v>
      </c>
      <c r="C28" s="234">
        <v>2027</v>
      </c>
      <c r="D28" s="235" t="s">
        <v>215</v>
      </c>
      <c r="E28" s="235" t="s">
        <v>216</v>
      </c>
      <c r="F28" s="235" t="s">
        <v>217</v>
      </c>
      <c r="G28" s="235" t="s">
        <v>223</v>
      </c>
      <c r="H28" s="235" t="s">
        <v>223</v>
      </c>
      <c r="I28" s="235" t="s">
        <v>220</v>
      </c>
      <c r="J28" s="235" t="s">
        <v>221</v>
      </c>
      <c r="K28" s="234">
        <v>3300</v>
      </c>
      <c r="L28" s="234">
        <v>13900</v>
      </c>
      <c r="M28" s="234">
        <v>64</v>
      </c>
      <c r="N28" s="234">
        <v>2318</v>
      </c>
      <c r="O28" s="234">
        <v>9000</v>
      </c>
      <c r="P28" s="234">
        <v>2577.105</v>
      </c>
      <c r="Q28" s="234">
        <v>111.6835</v>
      </c>
      <c r="R28" s="234">
        <v>400</v>
      </c>
      <c r="S28" s="234">
        <v>692</v>
      </c>
      <c r="T28" s="234">
        <v>249.71199999999999</v>
      </c>
      <c r="U28" s="234">
        <v>6000</v>
      </c>
      <c r="V28" s="234">
        <v>200</v>
      </c>
      <c r="W28" s="234">
        <v>50</v>
      </c>
      <c r="X28" s="234">
        <v>1175</v>
      </c>
      <c r="Y28" s="234">
        <v>1366.07835</v>
      </c>
      <c r="Z28" s="234">
        <v>4115.760075300499</v>
      </c>
      <c r="AA28" s="234">
        <v>15475.615769796021</v>
      </c>
      <c r="AB28" s="234">
        <v>4822.2894294231382</v>
      </c>
      <c r="AC28" s="234">
        <v>68944</v>
      </c>
      <c r="AD28" s="234">
        <v>172</v>
      </c>
      <c r="AE28" s="234">
        <v>1946.8937900000001</v>
      </c>
      <c r="AF28" s="234">
        <v>2957.4254909524489</v>
      </c>
      <c r="AG28" s="234">
        <v>2819.0201496841792</v>
      </c>
      <c r="AH28" s="234">
        <v>13435.1765</v>
      </c>
      <c r="AI28" s="234">
        <v>58065</v>
      </c>
      <c r="AJ28" s="234">
        <v>34520.672325437707</v>
      </c>
      <c r="AK28" s="234">
        <v>4218</v>
      </c>
      <c r="AL28" s="234">
        <v>11762</v>
      </c>
      <c r="AM28" s="234">
        <v>230</v>
      </c>
      <c r="AN28" s="236">
        <v>264887.4375</v>
      </c>
    </row>
    <row r="29" spans="2:40">
      <c r="B29" s="233" t="s">
        <v>247</v>
      </c>
      <c r="C29" s="234">
        <v>2027</v>
      </c>
      <c r="D29" s="235" t="s">
        <v>215</v>
      </c>
      <c r="E29" s="235" t="s">
        <v>216</v>
      </c>
      <c r="F29" s="235" t="s">
        <v>217</v>
      </c>
      <c r="G29" s="235" t="s">
        <v>225</v>
      </c>
      <c r="H29" s="235" t="s">
        <v>226</v>
      </c>
      <c r="I29" s="235" t="s">
        <v>220</v>
      </c>
      <c r="J29" s="235" t="s">
        <v>221</v>
      </c>
      <c r="K29" s="234">
        <v>605</v>
      </c>
      <c r="L29" s="234">
        <v>700</v>
      </c>
      <c r="M29" s="234">
        <v>168.30175</v>
      </c>
      <c r="N29" s="234">
        <v>1155</v>
      </c>
      <c r="O29" s="234">
        <v>980</v>
      </c>
      <c r="P29" s="234">
        <v>393.88387792968751</v>
      </c>
      <c r="Q29" s="234">
        <v>456</v>
      </c>
      <c r="R29" s="234">
        <v>4105</v>
      </c>
      <c r="S29" s="234">
        <v>740</v>
      </c>
      <c r="T29" s="234">
        <v>1142.6369999999999</v>
      </c>
      <c r="U29" s="234">
        <v>2600</v>
      </c>
      <c r="V29" s="234">
        <v>2643.25</v>
      </c>
      <c r="W29" s="234">
        <v>380</v>
      </c>
      <c r="X29" s="234">
        <v>800</v>
      </c>
      <c r="Y29" s="234">
        <v>1228.5281255084749</v>
      </c>
      <c r="Z29" s="234">
        <v>1220</v>
      </c>
      <c r="AA29" s="234">
        <v>28243.104980919248</v>
      </c>
      <c r="AB29" s="234">
        <v>1805.4498473528531</v>
      </c>
      <c r="AC29" s="234">
        <v>24243</v>
      </c>
      <c r="AD29" s="234">
        <v>356</v>
      </c>
      <c r="AE29" s="234">
        <v>2634.85392</v>
      </c>
      <c r="AF29" s="234">
        <v>2540.5846895109262</v>
      </c>
      <c r="AG29" s="234">
        <v>6713.86359841584</v>
      </c>
      <c r="AH29" s="234">
        <v>4228.7499999999991</v>
      </c>
      <c r="AI29" s="234">
        <v>38300</v>
      </c>
      <c r="AJ29" s="234">
        <v>9368.7000000000007</v>
      </c>
      <c r="AK29" s="234">
        <v>1140</v>
      </c>
      <c r="AL29" s="234">
        <v>2288</v>
      </c>
      <c r="AM29" s="234">
        <v>828</v>
      </c>
      <c r="AN29" s="236">
        <v>142007.90625</v>
      </c>
    </row>
    <row r="30" spans="2:40">
      <c r="B30" s="233" t="s">
        <v>248</v>
      </c>
      <c r="C30" s="234">
        <v>2027</v>
      </c>
      <c r="D30" s="235" t="s">
        <v>215</v>
      </c>
      <c r="E30" s="235" t="s">
        <v>216</v>
      </c>
      <c r="F30" s="235" t="s">
        <v>217</v>
      </c>
      <c r="G30" s="235" t="s">
        <v>228</v>
      </c>
      <c r="H30" s="235" t="s">
        <v>228</v>
      </c>
      <c r="I30" s="235" t="s">
        <v>220</v>
      </c>
      <c r="J30" s="235" t="s">
        <v>221</v>
      </c>
      <c r="K30" s="234">
        <v>5170</v>
      </c>
      <c r="L30" s="234">
        <v>4260.8</v>
      </c>
      <c r="M30" s="234">
        <v>0</v>
      </c>
      <c r="N30" s="234">
        <v>0</v>
      </c>
      <c r="O30" s="234">
        <v>8961.1587230865007</v>
      </c>
      <c r="P30" s="234">
        <v>3983.53</v>
      </c>
      <c r="Q30" s="234">
        <v>4241.1323400000001</v>
      </c>
      <c r="R30" s="234">
        <v>1500</v>
      </c>
      <c r="S30" s="234">
        <v>105</v>
      </c>
      <c r="T30" s="234">
        <v>1683.8030000000001</v>
      </c>
      <c r="U30" s="234">
        <v>5520</v>
      </c>
      <c r="V30" s="234">
        <v>4125</v>
      </c>
      <c r="W30" s="234">
        <v>250</v>
      </c>
      <c r="X30" s="234">
        <v>13590</v>
      </c>
      <c r="Y30" s="234">
        <v>750</v>
      </c>
      <c r="Z30" s="234">
        <v>1125</v>
      </c>
      <c r="AA30" s="234">
        <v>12130.28296202375</v>
      </c>
      <c r="AB30" s="234">
        <v>269.24982011432371</v>
      </c>
      <c r="AC30" s="234">
        <v>71584</v>
      </c>
      <c r="AD30" s="234">
        <v>322.25</v>
      </c>
      <c r="AE30" s="234">
        <v>5169.67904</v>
      </c>
      <c r="AF30" s="234">
        <v>3582.0489018487851</v>
      </c>
      <c r="AG30" s="234">
        <v>57</v>
      </c>
      <c r="AH30" s="234">
        <v>9931.4</v>
      </c>
      <c r="AI30" s="234">
        <v>69466</v>
      </c>
      <c r="AJ30" s="234">
        <v>10117.40959009709</v>
      </c>
      <c r="AK30" s="234">
        <v>544</v>
      </c>
      <c r="AL30" s="234">
        <v>14421</v>
      </c>
      <c r="AM30" s="234">
        <v>240</v>
      </c>
      <c r="AN30" s="236">
        <v>253099.734375</v>
      </c>
    </row>
    <row r="31" spans="2:40">
      <c r="B31" s="233" t="s">
        <v>249</v>
      </c>
      <c r="C31" s="234">
        <v>2028</v>
      </c>
      <c r="D31" s="235" t="s">
        <v>215</v>
      </c>
      <c r="E31" s="235" t="s">
        <v>216</v>
      </c>
      <c r="F31" s="235" t="s">
        <v>217</v>
      </c>
      <c r="G31" s="235" t="s">
        <v>218</v>
      </c>
      <c r="H31" s="235" t="s">
        <v>219</v>
      </c>
      <c r="I31" s="235" t="s">
        <v>220</v>
      </c>
      <c r="J31" s="235" t="s">
        <v>221</v>
      </c>
      <c r="K31" s="234">
        <v>17980</v>
      </c>
      <c r="L31" s="234">
        <v>74986.909696677671</v>
      </c>
      <c r="M31" s="234">
        <v>1825.866384955556</v>
      </c>
      <c r="N31" s="234">
        <v>5343.35</v>
      </c>
      <c r="O31" s="234">
        <v>29033.338477652891</v>
      </c>
      <c r="P31" s="234">
        <v>11347.891169799799</v>
      </c>
      <c r="Q31" s="234">
        <v>11626.275100000001</v>
      </c>
      <c r="R31" s="234">
        <v>15515.68</v>
      </c>
      <c r="S31" s="234">
        <v>6517</v>
      </c>
      <c r="T31" s="234">
        <v>10832.779</v>
      </c>
      <c r="U31" s="234">
        <v>25197.85</v>
      </c>
      <c r="V31" s="234">
        <v>17251.25</v>
      </c>
      <c r="W31" s="234">
        <v>1572</v>
      </c>
      <c r="X31" s="234">
        <v>10968</v>
      </c>
      <c r="Y31" s="234">
        <v>8581.3106990089491</v>
      </c>
      <c r="Z31" s="234">
        <v>20088.345176053499</v>
      </c>
      <c r="AA31" s="234">
        <v>107908.32462087429</v>
      </c>
      <c r="AB31" s="234">
        <v>20911.055812280509</v>
      </c>
      <c r="AC31" s="234">
        <v>276067</v>
      </c>
      <c r="AD31" s="234">
        <v>3893</v>
      </c>
      <c r="AE31" s="234">
        <v>18337.638234136852</v>
      </c>
      <c r="AF31" s="234">
        <v>28097.112275692911</v>
      </c>
      <c r="AG31" s="234">
        <v>16954.801154230321</v>
      </c>
      <c r="AH31" s="234">
        <v>71274.891999999978</v>
      </c>
      <c r="AI31" s="234">
        <v>327528</v>
      </c>
      <c r="AJ31" s="234">
        <v>85005.394001989116</v>
      </c>
      <c r="AK31" s="234">
        <v>8535</v>
      </c>
      <c r="AL31" s="234">
        <v>71121</v>
      </c>
      <c r="AM31" s="234">
        <v>2114</v>
      </c>
      <c r="AN31" s="236">
        <v>1306415.125</v>
      </c>
    </row>
    <row r="32" spans="2:40">
      <c r="B32" s="233" t="s">
        <v>250</v>
      </c>
      <c r="C32" s="234">
        <v>2028</v>
      </c>
      <c r="D32" s="235" t="s">
        <v>215</v>
      </c>
      <c r="E32" s="235" t="s">
        <v>216</v>
      </c>
      <c r="F32" s="235" t="s">
        <v>217</v>
      </c>
      <c r="G32" s="235" t="s">
        <v>223</v>
      </c>
      <c r="H32" s="235" t="s">
        <v>223</v>
      </c>
      <c r="I32" s="235" t="s">
        <v>220</v>
      </c>
      <c r="J32" s="235" t="s">
        <v>221</v>
      </c>
      <c r="K32" s="234">
        <v>3300</v>
      </c>
      <c r="L32" s="234">
        <v>14000</v>
      </c>
      <c r="M32" s="234">
        <v>64</v>
      </c>
      <c r="N32" s="234">
        <v>2318</v>
      </c>
      <c r="O32" s="234">
        <v>9000</v>
      </c>
      <c r="P32" s="234">
        <v>2568.395849487305</v>
      </c>
      <c r="Q32" s="234">
        <v>111.68300000000001</v>
      </c>
      <c r="R32" s="234">
        <v>400</v>
      </c>
      <c r="S32" s="234">
        <v>691</v>
      </c>
      <c r="T32" s="234">
        <v>249.71199999999999</v>
      </c>
      <c r="U32" s="234">
        <v>6000</v>
      </c>
      <c r="V32" s="234">
        <v>200</v>
      </c>
      <c r="W32" s="234">
        <v>50</v>
      </c>
      <c r="X32" s="234">
        <v>1175</v>
      </c>
      <c r="Y32" s="234">
        <v>1366.07835</v>
      </c>
      <c r="Z32" s="234">
        <v>4121.0676760535043</v>
      </c>
      <c r="AA32" s="234">
        <v>17391.517432840199</v>
      </c>
      <c r="AB32" s="234">
        <v>4854.0945956863143</v>
      </c>
      <c r="AC32" s="234">
        <v>68799</v>
      </c>
      <c r="AD32" s="234">
        <v>172.25</v>
      </c>
      <c r="AE32" s="234">
        <v>1646.8937900000001</v>
      </c>
      <c r="AF32" s="234">
        <v>2957.4254909524489</v>
      </c>
      <c r="AG32" s="234">
        <v>2769</v>
      </c>
      <c r="AH32" s="234">
        <v>13435.1765</v>
      </c>
      <c r="AI32" s="234">
        <v>61914</v>
      </c>
      <c r="AJ32" s="234">
        <v>37354.067477989127</v>
      </c>
      <c r="AK32" s="234">
        <v>4218</v>
      </c>
      <c r="AL32" s="234">
        <v>11802</v>
      </c>
      <c r="AM32" s="234">
        <v>230</v>
      </c>
      <c r="AN32" s="236">
        <v>273158.34375</v>
      </c>
    </row>
    <row r="33" spans="2:40">
      <c r="B33" s="233" t="s">
        <v>251</v>
      </c>
      <c r="C33" s="234">
        <v>2028</v>
      </c>
      <c r="D33" s="235" t="s">
        <v>215</v>
      </c>
      <c r="E33" s="235" t="s">
        <v>216</v>
      </c>
      <c r="F33" s="235" t="s">
        <v>217</v>
      </c>
      <c r="G33" s="235" t="s">
        <v>225</v>
      </c>
      <c r="H33" s="235" t="s">
        <v>226</v>
      </c>
      <c r="I33" s="235" t="s">
        <v>220</v>
      </c>
      <c r="J33" s="235" t="s">
        <v>221</v>
      </c>
      <c r="K33" s="234">
        <v>580</v>
      </c>
      <c r="L33" s="234">
        <v>700</v>
      </c>
      <c r="M33" s="234">
        <v>168.301975</v>
      </c>
      <c r="N33" s="234">
        <v>380.35</v>
      </c>
      <c r="O33" s="234">
        <v>350</v>
      </c>
      <c r="P33" s="234">
        <v>410.9393203125</v>
      </c>
      <c r="Q33" s="234">
        <v>697.02949999999998</v>
      </c>
      <c r="R33" s="234">
        <v>3510</v>
      </c>
      <c r="S33" s="234">
        <v>708</v>
      </c>
      <c r="T33" s="234">
        <v>905.14499999999998</v>
      </c>
      <c r="U33" s="234">
        <v>2300</v>
      </c>
      <c r="V33" s="234">
        <v>2412.5</v>
      </c>
      <c r="W33" s="234">
        <v>305</v>
      </c>
      <c r="X33" s="234">
        <v>800</v>
      </c>
      <c r="Y33" s="234">
        <v>1190.1141255084749</v>
      </c>
      <c r="Z33" s="234">
        <v>1170</v>
      </c>
      <c r="AA33" s="234">
        <v>14777.241023681259</v>
      </c>
      <c r="AB33" s="234">
        <v>1347.809950207054</v>
      </c>
      <c r="AC33" s="234">
        <v>25435</v>
      </c>
      <c r="AD33" s="234">
        <v>250</v>
      </c>
      <c r="AE33" s="234">
        <v>1713.3976500000001</v>
      </c>
      <c r="AF33" s="234">
        <v>2717.8353247723362</v>
      </c>
      <c r="AG33" s="234">
        <v>6882.8664321592814</v>
      </c>
      <c r="AH33" s="234">
        <v>3378.7499999999991</v>
      </c>
      <c r="AI33" s="234">
        <v>36126</v>
      </c>
      <c r="AJ33" s="234">
        <v>10391.200000000001</v>
      </c>
      <c r="AK33" s="234">
        <v>1140</v>
      </c>
      <c r="AL33" s="234">
        <v>2334</v>
      </c>
      <c r="AM33" s="234">
        <v>698</v>
      </c>
      <c r="AN33" s="236">
        <v>123779.484375</v>
      </c>
    </row>
    <row r="34" spans="2:40">
      <c r="B34" s="233" t="s">
        <v>252</v>
      </c>
      <c r="C34" s="234">
        <v>2028</v>
      </c>
      <c r="D34" s="235" t="s">
        <v>215</v>
      </c>
      <c r="E34" s="235" t="s">
        <v>216</v>
      </c>
      <c r="F34" s="235" t="s">
        <v>217</v>
      </c>
      <c r="G34" s="235" t="s">
        <v>228</v>
      </c>
      <c r="H34" s="235" t="s">
        <v>228</v>
      </c>
      <c r="I34" s="235" t="s">
        <v>220</v>
      </c>
      <c r="J34" s="235" t="s">
        <v>221</v>
      </c>
      <c r="K34" s="234">
        <v>820</v>
      </c>
      <c r="L34" s="234">
        <v>4602.95</v>
      </c>
      <c r="M34" s="234"/>
      <c r="N34" s="234">
        <v>450</v>
      </c>
      <c r="O34" s="234">
        <v>2811.6402259309998</v>
      </c>
      <c r="P34" s="234">
        <v>3657.28</v>
      </c>
      <c r="Q34" s="234">
        <v>4361.1320000000014</v>
      </c>
      <c r="R34" s="234">
        <v>1125</v>
      </c>
      <c r="S34" s="234">
        <v>463</v>
      </c>
      <c r="T34" s="234">
        <v>1923.175</v>
      </c>
      <c r="U34" s="234">
        <v>5000</v>
      </c>
      <c r="V34" s="234">
        <v>1125</v>
      </c>
      <c r="W34" s="234">
        <v>150</v>
      </c>
      <c r="X34" s="234">
        <v>3790</v>
      </c>
      <c r="Y34" s="234">
        <v>750</v>
      </c>
      <c r="Z34" s="234">
        <v>1325</v>
      </c>
      <c r="AA34" s="234">
        <v>17635.410011663771</v>
      </c>
      <c r="AB34" s="234">
        <v>1144.1677801568039</v>
      </c>
      <c r="AC34" s="234">
        <v>73304</v>
      </c>
      <c r="AD34" s="234">
        <v>422.25</v>
      </c>
      <c r="AE34" s="234">
        <v>2049.4876599999998</v>
      </c>
      <c r="AF34" s="234">
        <v>3582.0489018487851</v>
      </c>
      <c r="AG34" s="234">
        <v>57</v>
      </c>
      <c r="AH34" s="234">
        <v>11772.5</v>
      </c>
      <c r="AI34" s="234">
        <v>65180</v>
      </c>
      <c r="AJ34" s="234">
        <v>10336.576279999999</v>
      </c>
      <c r="AK34" s="234">
        <v>214</v>
      </c>
      <c r="AL34" s="234">
        <v>24585</v>
      </c>
      <c r="AM34" s="234">
        <v>240</v>
      </c>
      <c r="AN34" s="236">
        <v>242876.609375</v>
      </c>
    </row>
    <row r="35" spans="2:40">
      <c r="B35" s="233" t="s">
        <v>253</v>
      </c>
      <c r="C35" s="234">
        <v>2029</v>
      </c>
      <c r="D35" s="235" t="s">
        <v>215</v>
      </c>
      <c r="E35" s="235" t="s">
        <v>216</v>
      </c>
      <c r="F35" s="235" t="s">
        <v>217</v>
      </c>
      <c r="G35" s="235" t="s">
        <v>218</v>
      </c>
      <c r="H35" s="235" t="s">
        <v>219</v>
      </c>
      <c r="I35" s="235" t="s">
        <v>220</v>
      </c>
      <c r="J35" s="235" t="s">
        <v>221</v>
      </c>
      <c r="K35" s="234">
        <v>17755</v>
      </c>
      <c r="L35" s="234">
        <v>73279.263436014182</v>
      </c>
      <c r="M35" s="234">
        <v>1789.416624955556</v>
      </c>
      <c r="N35" s="234">
        <v>9258</v>
      </c>
      <c r="O35" s="234">
        <v>32238.029195872481</v>
      </c>
      <c r="P35" s="234">
        <v>10520.27041094971</v>
      </c>
      <c r="Q35" s="234">
        <v>8983.8491000000013</v>
      </c>
      <c r="R35" s="234">
        <v>15758.68</v>
      </c>
      <c r="S35" s="234">
        <v>6692</v>
      </c>
      <c r="T35" s="234">
        <v>11378.074000000001</v>
      </c>
      <c r="U35" s="234">
        <v>27193.05</v>
      </c>
      <c r="V35" s="234">
        <v>16384.75</v>
      </c>
      <c r="W35" s="234">
        <v>1602</v>
      </c>
      <c r="X35" s="234">
        <v>12797</v>
      </c>
      <c r="Y35" s="234">
        <v>8576.3207918948992</v>
      </c>
      <c r="Z35" s="234">
        <v>21905.530852814041</v>
      </c>
      <c r="AA35" s="234">
        <v>104254.8915710099</v>
      </c>
      <c r="AB35" s="234">
        <v>20972.50017502765</v>
      </c>
      <c r="AC35" s="234">
        <v>276175</v>
      </c>
      <c r="AD35" s="234">
        <v>3809.9679999999989</v>
      </c>
      <c r="AE35" s="234">
        <v>17755.37553813864</v>
      </c>
      <c r="AF35" s="234">
        <v>28371.70975978567</v>
      </c>
      <c r="AG35" s="234">
        <v>26765.33219480031</v>
      </c>
      <c r="AH35" s="234">
        <v>69551.941999999981</v>
      </c>
      <c r="AI35" s="234">
        <v>301873</v>
      </c>
      <c r="AJ35" s="234">
        <v>91173.559523310018</v>
      </c>
      <c r="AK35" s="234">
        <v>8865</v>
      </c>
      <c r="AL35" s="234">
        <v>77376</v>
      </c>
      <c r="AM35" s="234">
        <v>1872</v>
      </c>
      <c r="AN35" s="236">
        <v>1304927.375</v>
      </c>
    </row>
    <row r="36" spans="2:40">
      <c r="B36" s="233" t="s">
        <v>254</v>
      </c>
      <c r="C36" s="234">
        <v>2029</v>
      </c>
      <c r="D36" s="235" t="s">
        <v>215</v>
      </c>
      <c r="E36" s="235" t="s">
        <v>216</v>
      </c>
      <c r="F36" s="235" t="s">
        <v>217</v>
      </c>
      <c r="G36" s="235" t="s">
        <v>223</v>
      </c>
      <c r="H36" s="235" t="s">
        <v>223</v>
      </c>
      <c r="I36" s="235" t="s">
        <v>220</v>
      </c>
      <c r="J36" s="235" t="s">
        <v>221</v>
      </c>
      <c r="K36" s="234">
        <v>3400</v>
      </c>
      <c r="L36" s="234">
        <v>14000</v>
      </c>
      <c r="M36" s="234">
        <v>64</v>
      </c>
      <c r="N36" s="234">
        <v>2318</v>
      </c>
      <c r="O36" s="234">
        <v>9000</v>
      </c>
      <c r="P36" s="234">
        <v>2595.991071105957</v>
      </c>
      <c r="Q36" s="234">
        <v>111.68300000000001</v>
      </c>
      <c r="R36" s="234">
        <v>400</v>
      </c>
      <c r="S36" s="234">
        <v>691</v>
      </c>
      <c r="T36" s="234">
        <v>249.71199999999999</v>
      </c>
      <c r="U36" s="234">
        <v>6000</v>
      </c>
      <c r="V36" s="234">
        <v>200</v>
      </c>
      <c r="W36" s="234">
        <v>50</v>
      </c>
      <c r="X36" s="234">
        <v>1175</v>
      </c>
      <c r="Y36" s="234">
        <v>1366.07835</v>
      </c>
      <c r="Z36" s="234">
        <v>4126.4283528140404</v>
      </c>
      <c r="AA36" s="234">
        <v>18426.33166885687</v>
      </c>
      <c r="AB36" s="234">
        <v>5741.5195956863136</v>
      </c>
      <c r="AC36" s="234">
        <v>65980</v>
      </c>
      <c r="AD36" s="234">
        <v>172.25</v>
      </c>
      <c r="AE36" s="234">
        <v>1546.8937900000001</v>
      </c>
      <c r="AF36" s="234">
        <v>2957.4254909524489</v>
      </c>
      <c r="AG36" s="234">
        <v>2719</v>
      </c>
      <c r="AH36" s="234">
        <v>13435.1765</v>
      </c>
      <c r="AI36" s="234">
        <v>56840</v>
      </c>
      <c r="AJ36" s="234">
        <v>40355.990815814883</v>
      </c>
      <c r="AK36" s="234">
        <v>4218</v>
      </c>
      <c r="AL36" s="234">
        <v>11844</v>
      </c>
      <c r="AM36" s="234">
        <v>230</v>
      </c>
      <c r="AN36" s="236">
        <v>270214.46875</v>
      </c>
    </row>
    <row r="37" spans="2:40">
      <c r="B37" s="233" t="s">
        <v>255</v>
      </c>
      <c r="C37" s="234">
        <v>2029</v>
      </c>
      <c r="D37" s="235" t="s">
        <v>215</v>
      </c>
      <c r="E37" s="235" t="s">
        <v>216</v>
      </c>
      <c r="F37" s="235" t="s">
        <v>217</v>
      </c>
      <c r="G37" s="235" t="s">
        <v>225</v>
      </c>
      <c r="H37" s="235" t="s">
        <v>226</v>
      </c>
      <c r="I37" s="235" t="s">
        <v>220</v>
      </c>
      <c r="J37" s="235" t="s">
        <v>221</v>
      </c>
      <c r="K37" s="234">
        <v>930</v>
      </c>
      <c r="L37" s="234">
        <v>700</v>
      </c>
      <c r="M37" s="234">
        <v>168.301975</v>
      </c>
      <c r="N37" s="234">
        <v>1245</v>
      </c>
      <c r="O37" s="234">
        <v>350</v>
      </c>
      <c r="P37" s="234">
        <v>509.68033984375012</v>
      </c>
      <c r="Q37" s="234">
        <v>217.03</v>
      </c>
      <c r="R37" s="234">
        <v>2915</v>
      </c>
      <c r="S37" s="234">
        <v>708</v>
      </c>
      <c r="T37" s="234">
        <v>891.08200000000011</v>
      </c>
      <c r="U37" s="234">
        <v>2500</v>
      </c>
      <c r="V37" s="234">
        <v>1894</v>
      </c>
      <c r="W37" s="234">
        <v>305</v>
      </c>
      <c r="X37" s="234">
        <v>800</v>
      </c>
      <c r="Y37" s="234">
        <v>686.31000312122944</v>
      </c>
      <c r="Z37" s="234">
        <v>1180</v>
      </c>
      <c r="AA37" s="234">
        <v>11510.411709792361</v>
      </c>
      <c r="AB37" s="234">
        <v>1347.809950207054</v>
      </c>
      <c r="AC37" s="234">
        <v>27315</v>
      </c>
      <c r="AD37" s="234">
        <v>349.99999999999989</v>
      </c>
      <c r="AE37" s="234">
        <v>1257.49487</v>
      </c>
      <c r="AF37" s="234">
        <v>2880.362471160764</v>
      </c>
      <c r="AG37" s="234">
        <v>13302.987885429269</v>
      </c>
      <c r="AH37" s="234">
        <v>3375.349999999999</v>
      </c>
      <c r="AI37" s="234">
        <v>36207</v>
      </c>
      <c r="AJ37" s="234">
        <v>12888.4</v>
      </c>
      <c r="AK37" s="234">
        <v>1140</v>
      </c>
      <c r="AL37" s="234">
        <v>2382</v>
      </c>
      <c r="AM37" s="234">
        <v>818</v>
      </c>
      <c r="AN37" s="236">
        <v>130774.21875</v>
      </c>
    </row>
    <row r="38" spans="2:40">
      <c r="B38" s="233" t="s">
        <v>256</v>
      </c>
      <c r="C38" s="234">
        <v>2029</v>
      </c>
      <c r="D38" s="235" t="s">
        <v>215</v>
      </c>
      <c r="E38" s="235" t="s">
        <v>216</v>
      </c>
      <c r="F38" s="235" t="s">
        <v>217</v>
      </c>
      <c r="G38" s="235" t="s">
        <v>228</v>
      </c>
      <c r="H38" s="235" t="s">
        <v>228</v>
      </c>
      <c r="I38" s="235" t="s">
        <v>220</v>
      </c>
      <c r="J38" s="235" t="s">
        <v>221</v>
      </c>
      <c r="K38" s="234">
        <v>1120</v>
      </c>
      <c r="L38" s="234">
        <v>6801.1210000000001</v>
      </c>
      <c r="M38" s="234"/>
      <c r="N38" s="234">
        <v>3500</v>
      </c>
      <c r="O38" s="234">
        <v>1409.612546634</v>
      </c>
      <c r="P38" s="234">
        <v>2619.64</v>
      </c>
      <c r="Q38" s="234">
        <v>993.70550000000003</v>
      </c>
      <c r="R38" s="234">
        <v>1500</v>
      </c>
      <c r="S38" s="234">
        <v>405</v>
      </c>
      <c r="T38" s="234">
        <v>2274.558</v>
      </c>
      <c r="U38" s="234">
        <v>6750</v>
      </c>
      <c r="V38" s="234">
        <v>0</v>
      </c>
      <c r="W38" s="234">
        <v>150</v>
      </c>
      <c r="X38" s="234">
        <v>5820</v>
      </c>
      <c r="Y38" s="234">
        <v>750</v>
      </c>
      <c r="Z38" s="234">
        <v>5025</v>
      </c>
      <c r="AA38" s="234">
        <v>18876.178094989631</v>
      </c>
      <c r="AB38" s="234">
        <v>1144.1677801568039</v>
      </c>
      <c r="AC38" s="234">
        <v>76301</v>
      </c>
      <c r="AD38" s="234">
        <v>322.24999999999989</v>
      </c>
      <c r="AE38" s="234">
        <v>2162.7863499999999</v>
      </c>
      <c r="AF38" s="234">
        <v>3582.0489018487851</v>
      </c>
      <c r="AG38" s="234">
        <v>4219</v>
      </c>
      <c r="AH38" s="234">
        <v>8372.4999999999982</v>
      </c>
      <c r="AI38" s="234">
        <v>49602</v>
      </c>
      <c r="AJ38" s="234">
        <v>10750.618463495141</v>
      </c>
      <c r="AK38" s="234">
        <v>544</v>
      </c>
      <c r="AL38" s="234">
        <v>27145</v>
      </c>
      <c r="AM38" s="234">
        <v>240</v>
      </c>
      <c r="AN38" s="236">
        <v>242380.1875</v>
      </c>
    </row>
    <row r="39" spans="2:40">
      <c r="B39" s="233" t="s">
        <v>257</v>
      </c>
      <c r="C39" s="234">
        <v>2030</v>
      </c>
      <c r="D39" s="235" t="s">
        <v>215</v>
      </c>
      <c r="E39" s="235" t="s">
        <v>216</v>
      </c>
      <c r="F39" s="235" t="s">
        <v>217</v>
      </c>
      <c r="G39" s="235" t="s">
        <v>218</v>
      </c>
      <c r="H39" s="235" t="s">
        <v>219</v>
      </c>
      <c r="I39" s="235" t="s">
        <v>220</v>
      </c>
      <c r="J39" s="235" t="s">
        <v>221</v>
      </c>
      <c r="K39" s="234">
        <v>18200</v>
      </c>
      <c r="L39" s="234">
        <v>76537.914546894419</v>
      </c>
      <c r="M39" s="234">
        <v>1775.6239049555561</v>
      </c>
      <c r="N39" s="234">
        <v>9443</v>
      </c>
      <c r="O39" s="234">
        <v>32401.954940385651</v>
      </c>
      <c r="P39" s="234">
        <v>10804.3444196167</v>
      </c>
      <c r="Q39" s="234">
        <v>8547.8191000000006</v>
      </c>
      <c r="R39" s="234">
        <v>13770.68</v>
      </c>
      <c r="S39" s="234">
        <v>7289</v>
      </c>
      <c r="T39" s="234">
        <v>11354.411063255</v>
      </c>
      <c r="U39" s="234">
        <v>24179.05</v>
      </c>
      <c r="V39" s="234">
        <v>15176.25</v>
      </c>
      <c r="W39" s="234">
        <v>1702</v>
      </c>
      <c r="X39" s="234">
        <v>12767</v>
      </c>
      <c r="Y39" s="234">
        <v>7410.3060715297333</v>
      </c>
      <c r="Z39" s="234">
        <v>24061.970136342181</v>
      </c>
      <c r="AA39" s="234">
        <v>105291.4798650888</v>
      </c>
      <c r="AB39" s="234">
        <v>20909.9995050861</v>
      </c>
      <c r="AC39" s="234">
        <v>266251</v>
      </c>
      <c r="AD39" s="234">
        <v>3820</v>
      </c>
      <c r="AE39" s="234">
        <v>18040.42821275508</v>
      </c>
      <c r="AF39" s="234">
        <v>27722.788153770362</v>
      </c>
      <c r="AG39" s="234">
        <v>27917.941500782821</v>
      </c>
      <c r="AH39" s="234">
        <v>72207.34199999999</v>
      </c>
      <c r="AI39" s="234">
        <v>301590</v>
      </c>
      <c r="AJ39" s="234">
        <v>94098.124393934966</v>
      </c>
      <c r="AK39" s="234">
        <v>8535</v>
      </c>
      <c r="AL39" s="234">
        <v>57503</v>
      </c>
      <c r="AM39" s="234">
        <v>1789</v>
      </c>
      <c r="AN39" s="236">
        <v>1281097.375</v>
      </c>
    </row>
    <row r="40" spans="2:40">
      <c r="B40" s="233" t="s">
        <v>258</v>
      </c>
      <c r="C40" s="234">
        <v>2030</v>
      </c>
      <c r="D40" s="235" t="s">
        <v>215</v>
      </c>
      <c r="E40" s="235" t="s">
        <v>216</v>
      </c>
      <c r="F40" s="235" t="s">
        <v>217</v>
      </c>
      <c r="G40" s="235" t="s">
        <v>223</v>
      </c>
      <c r="H40" s="235" t="s">
        <v>223</v>
      </c>
      <c r="I40" s="235" t="s">
        <v>220</v>
      </c>
      <c r="J40" s="235" t="s">
        <v>221</v>
      </c>
      <c r="K40" s="234">
        <v>3450</v>
      </c>
      <c r="L40" s="234">
        <v>14000</v>
      </c>
      <c r="M40" s="234">
        <v>64</v>
      </c>
      <c r="N40" s="234">
        <v>2318</v>
      </c>
      <c r="O40" s="234">
        <v>9000</v>
      </c>
      <c r="P40" s="234">
        <v>2585.2687985229491</v>
      </c>
      <c r="Q40" s="234">
        <v>111.68300000000001</v>
      </c>
      <c r="R40" s="234">
        <v>400</v>
      </c>
      <c r="S40" s="234">
        <v>691</v>
      </c>
      <c r="T40" s="234">
        <v>554.60906325499991</v>
      </c>
      <c r="U40" s="234">
        <v>6000</v>
      </c>
      <c r="V40" s="234">
        <v>200</v>
      </c>
      <c r="W40" s="234">
        <v>50</v>
      </c>
      <c r="X40" s="234">
        <v>1175</v>
      </c>
      <c r="Y40" s="234">
        <v>1366.07835</v>
      </c>
      <c r="Z40" s="234">
        <v>4131.8426363421804</v>
      </c>
      <c r="AA40" s="234">
        <v>19776.70671244046</v>
      </c>
      <c r="AB40" s="234">
        <v>5741.5195956863136</v>
      </c>
      <c r="AC40" s="234">
        <v>62218</v>
      </c>
      <c r="AD40" s="234">
        <v>172.25</v>
      </c>
      <c r="AE40" s="234">
        <v>1146.8937900000001</v>
      </c>
      <c r="AF40" s="234">
        <v>2957.4254909524489</v>
      </c>
      <c r="AG40" s="234">
        <v>2669</v>
      </c>
      <c r="AH40" s="234">
        <v>13435.1765</v>
      </c>
      <c r="AI40" s="234">
        <v>53835</v>
      </c>
      <c r="AJ40" s="234">
        <v>41838.573866439823</v>
      </c>
      <c r="AK40" s="234">
        <v>4218</v>
      </c>
      <c r="AL40" s="234">
        <v>11865</v>
      </c>
      <c r="AM40" s="234">
        <v>230</v>
      </c>
      <c r="AN40" s="236">
        <v>266201.03125</v>
      </c>
    </row>
    <row r="41" spans="2:40">
      <c r="B41" s="233" t="s">
        <v>259</v>
      </c>
      <c r="C41" s="234">
        <v>2030</v>
      </c>
      <c r="D41" s="235" t="s">
        <v>215</v>
      </c>
      <c r="E41" s="235" t="s">
        <v>216</v>
      </c>
      <c r="F41" s="235" t="s">
        <v>217</v>
      </c>
      <c r="G41" s="235" t="s">
        <v>225</v>
      </c>
      <c r="H41" s="235" t="s">
        <v>226</v>
      </c>
      <c r="I41" s="235" t="s">
        <v>220</v>
      </c>
      <c r="J41" s="235" t="s">
        <v>221</v>
      </c>
      <c r="K41" s="234">
        <v>450</v>
      </c>
      <c r="L41" s="234">
        <v>700</v>
      </c>
      <c r="M41" s="234">
        <v>168.301975</v>
      </c>
      <c r="N41" s="234">
        <v>1930</v>
      </c>
      <c r="O41" s="234">
        <v>350</v>
      </c>
      <c r="P41" s="234">
        <v>487.59062109374997</v>
      </c>
      <c r="Q41" s="234">
        <v>56</v>
      </c>
      <c r="R41" s="234">
        <v>2265</v>
      </c>
      <c r="S41" s="234">
        <v>708</v>
      </c>
      <c r="T41" s="234">
        <v>468.351</v>
      </c>
      <c r="U41" s="234">
        <v>2750</v>
      </c>
      <c r="V41" s="234">
        <v>850</v>
      </c>
      <c r="W41" s="234">
        <v>355</v>
      </c>
      <c r="X41" s="234">
        <v>800</v>
      </c>
      <c r="Y41" s="234">
        <v>331.77392152973277</v>
      </c>
      <c r="Z41" s="234">
        <v>1295</v>
      </c>
      <c r="AA41" s="234">
        <v>14171.773986973931</v>
      </c>
      <c r="AB41" s="234">
        <v>792.75450082574389</v>
      </c>
      <c r="AC41" s="234">
        <v>28294</v>
      </c>
      <c r="AD41" s="234">
        <v>350</v>
      </c>
      <c r="AE41" s="234">
        <v>2071.1547599999999</v>
      </c>
      <c r="AF41" s="234">
        <v>2880.362471160764</v>
      </c>
      <c r="AG41" s="234">
        <v>13821.938783400879</v>
      </c>
      <c r="AH41" s="234">
        <v>3123.75</v>
      </c>
      <c r="AI41" s="234">
        <v>36307</v>
      </c>
      <c r="AJ41" s="234">
        <v>13966.4</v>
      </c>
      <c r="AK41" s="234">
        <v>1140</v>
      </c>
      <c r="AL41" s="234">
        <v>2497</v>
      </c>
      <c r="AM41" s="234">
        <v>768</v>
      </c>
      <c r="AN41" s="236">
        <v>134149.15625</v>
      </c>
    </row>
    <row r="42" spans="2:40">
      <c r="B42" s="233" t="s">
        <v>260</v>
      </c>
      <c r="C42" s="234">
        <v>2030</v>
      </c>
      <c r="D42" s="235" t="s">
        <v>215</v>
      </c>
      <c r="E42" s="235" t="s">
        <v>216</v>
      </c>
      <c r="F42" s="235" t="s">
        <v>217</v>
      </c>
      <c r="G42" s="235" t="s">
        <v>228</v>
      </c>
      <c r="H42" s="235" t="s">
        <v>228</v>
      </c>
      <c r="I42" s="235" t="s">
        <v>220</v>
      </c>
      <c r="J42" s="235" t="s">
        <v>221</v>
      </c>
      <c r="K42" s="234">
        <v>1920</v>
      </c>
      <c r="L42" s="234">
        <v>7437.6750000000002</v>
      </c>
      <c r="M42" s="234"/>
      <c r="N42" s="234">
        <v>3000</v>
      </c>
      <c r="O42" s="234">
        <v>948.48850305899998</v>
      </c>
      <c r="P42" s="234">
        <v>4414.7800000000007</v>
      </c>
      <c r="Q42" s="234">
        <v>993.70550000000003</v>
      </c>
      <c r="R42" s="234">
        <v>1900</v>
      </c>
      <c r="S42" s="234">
        <v>119</v>
      </c>
      <c r="T42" s="234">
        <v>1820.702</v>
      </c>
      <c r="U42" s="234">
        <v>3500</v>
      </c>
      <c r="V42" s="234">
        <v>1250</v>
      </c>
      <c r="W42" s="234">
        <v>150</v>
      </c>
      <c r="X42" s="234">
        <v>5790</v>
      </c>
      <c r="Y42" s="234">
        <v>750</v>
      </c>
      <c r="Z42" s="234">
        <v>7925</v>
      </c>
      <c r="AA42" s="234">
        <v>13860.97656683626</v>
      </c>
      <c r="AB42" s="234">
        <v>1745.8684283301679</v>
      </c>
      <c r="AC42" s="234">
        <v>71293</v>
      </c>
      <c r="AD42" s="234">
        <v>322.25</v>
      </c>
      <c r="AE42" s="234">
        <v>3100</v>
      </c>
      <c r="AF42" s="234">
        <v>3582.0489018487851</v>
      </c>
      <c r="AG42" s="234">
        <v>4500.8931927477588</v>
      </c>
      <c r="AH42" s="234">
        <v>15427.5</v>
      </c>
      <c r="AI42" s="234">
        <v>53119</v>
      </c>
      <c r="AJ42" s="234">
        <v>10729.600283495151</v>
      </c>
      <c r="AK42" s="234">
        <v>214</v>
      </c>
      <c r="AL42" s="234">
        <v>17155</v>
      </c>
      <c r="AM42" s="234">
        <v>240</v>
      </c>
      <c r="AN42" s="236">
        <v>237209.46875</v>
      </c>
    </row>
    <row r="43" spans="2:40">
      <c r="B43" s="233" t="s">
        <v>261</v>
      </c>
      <c r="C43" s="234">
        <v>2031</v>
      </c>
      <c r="D43" s="235" t="s">
        <v>215</v>
      </c>
      <c r="E43" s="235" t="s">
        <v>216</v>
      </c>
      <c r="F43" s="235" t="s">
        <v>217</v>
      </c>
      <c r="G43" s="235" t="s">
        <v>218</v>
      </c>
      <c r="H43" s="235" t="s">
        <v>219</v>
      </c>
      <c r="I43" s="235" t="s">
        <v>220</v>
      </c>
      <c r="J43" s="235" t="s">
        <v>221</v>
      </c>
      <c r="K43" s="234">
        <v>18050</v>
      </c>
      <c r="L43" s="234">
        <v>72169.199724687773</v>
      </c>
      <c r="M43" s="234">
        <v>1685.225911205556</v>
      </c>
      <c r="N43" s="234">
        <v>4628</v>
      </c>
      <c r="O43" s="234">
        <v>31467.301825716138</v>
      </c>
      <c r="P43" s="234">
        <v>16673.162709045409</v>
      </c>
      <c r="Q43" s="234">
        <v>8549.6885999999995</v>
      </c>
      <c r="R43" s="234">
        <v>15005.68</v>
      </c>
      <c r="S43" s="234">
        <v>6758</v>
      </c>
      <c r="T43" s="234">
        <v>11884.565063255</v>
      </c>
      <c r="U43" s="234">
        <v>23801.615000000002</v>
      </c>
      <c r="V43" s="234">
        <v>15100.25</v>
      </c>
      <c r="W43" s="234">
        <v>1602</v>
      </c>
      <c r="X43" s="234">
        <v>15667</v>
      </c>
      <c r="Y43" s="234">
        <v>19656.120721529729</v>
      </c>
      <c r="Z43" s="234">
        <v>20939.888562705601</v>
      </c>
      <c r="AA43" s="234">
        <v>106108.159930411</v>
      </c>
      <c r="AB43" s="234">
        <v>21086.425099127209</v>
      </c>
      <c r="AC43" s="234">
        <v>266190</v>
      </c>
      <c r="AD43" s="234">
        <v>3895</v>
      </c>
      <c r="AE43" s="234">
        <v>14956.296530357131</v>
      </c>
      <c r="AF43" s="234">
        <v>26618.8489994929</v>
      </c>
      <c r="AG43" s="234">
        <v>16276.558920226849</v>
      </c>
      <c r="AH43" s="234">
        <v>70881.34199999999</v>
      </c>
      <c r="AI43" s="234">
        <v>329525</v>
      </c>
      <c r="AJ43" s="234">
        <v>97470.871559015708</v>
      </c>
      <c r="AK43" s="234">
        <v>8179</v>
      </c>
      <c r="AL43" s="234">
        <v>68894</v>
      </c>
      <c r="AM43" s="234">
        <v>2268</v>
      </c>
      <c r="AN43" s="236">
        <v>1315987.125</v>
      </c>
    </row>
    <row r="44" spans="2:40">
      <c r="B44" s="233" t="s">
        <v>262</v>
      </c>
      <c r="C44" s="234">
        <v>2031</v>
      </c>
      <c r="D44" s="235" t="s">
        <v>215</v>
      </c>
      <c r="E44" s="235" t="s">
        <v>216</v>
      </c>
      <c r="F44" s="235" t="s">
        <v>217</v>
      </c>
      <c r="G44" s="235" t="s">
        <v>223</v>
      </c>
      <c r="H44" s="235" t="s">
        <v>223</v>
      </c>
      <c r="I44" s="235" t="s">
        <v>220</v>
      </c>
      <c r="J44" s="235" t="s">
        <v>221</v>
      </c>
      <c r="K44" s="234">
        <v>3490</v>
      </c>
      <c r="L44" s="234">
        <v>14000</v>
      </c>
      <c r="M44" s="234">
        <v>64</v>
      </c>
      <c r="N44" s="234">
        <v>2318</v>
      </c>
      <c r="O44" s="234">
        <v>9000</v>
      </c>
      <c r="P44" s="234">
        <v>2468.7178027954101</v>
      </c>
      <c r="Q44" s="234">
        <v>111.68300000000001</v>
      </c>
      <c r="R44" s="234">
        <v>400</v>
      </c>
      <c r="S44" s="234">
        <v>499</v>
      </c>
      <c r="T44" s="234">
        <v>554.60906325499991</v>
      </c>
      <c r="U44" s="234">
        <v>6000</v>
      </c>
      <c r="V44" s="234">
        <v>200</v>
      </c>
      <c r="W44" s="234">
        <v>50</v>
      </c>
      <c r="X44" s="234">
        <v>1175</v>
      </c>
      <c r="Y44" s="234">
        <v>1366.07835</v>
      </c>
      <c r="Z44" s="234">
        <v>4137.3110627056021</v>
      </c>
      <c r="AA44" s="234">
        <v>20116.11748730468</v>
      </c>
      <c r="AB44" s="234">
        <v>5741.5195956863136</v>
      </c>
      <c r="AC44" s="234">
        <v>58798</v>
      </c>
      <c r="AD44" s="234">
        <v>172.25</v>
      </c>
      <c r="AE44" s="234">
        <v>1146.8937900000001</v>
      </c>
      <c r="AF44" s="234">
        <v>2957.4254909524489</v>
      </c>
      <c r="AG44" s="234">
        <v>2619</v>
      </c>
      <c r="AH44" s="234">
        <v>13435.1765</v>
      </c>
      <c r="AI44" s="234">
        <v>49976</v>
      </c>
      <c r="AJ44" s="234">
        <v>42819.846912590561</v>
      </c>
      <c r="AK44" s="234">
        <v>4218</v>
      </c>
      <c r="AL44" s="234">
        <v>11865</v>
      </c>
      <c r="AM44" s="234">
        <v>230</v>
      </c>
      <c r="AN44" s="236">
        <v>259929.625</v>
      </c>
    </row>
    <row r="45" spans="2:40">
      <c r="B45" s="233" t="s">
        <v>263</v>
      </c>
      <c r="C45" s="234">
        <v>2031</v>
      </c>
      <c r="D45" s="235" t="s">
        <v>215</v>
      </c>
      <c r="E45" s="235" t="s">
        <v>216</v>
      </c>
      <c r="F45" s="235" t="s">
        <v>217</v>
      </c>
      <c r="G45" s="235" t="s">
        <v>225</v>
      </c>
      <c r="H45" s="235" t="s">
        <v>226</v>
      </c>
      <c r="I45" s="235" t="s">
        <v>220</v>
      </c>
      <c r="J45" s="235" t="s">
        <v>221</v>
      </c>
      <c r="K45" s="234">
        <v>450</v>
      </c>
      <c r="L45" s="234">
        <v>700</v>
      </c>
      <c r="M45" s="234">
        <v>121.71098125</v>
      </c>
      <c r="N45" s="234">
        <v>65</v>
      </c>
      <c r="O45" s="234">
        <v>350</v>
      </c>
      <c r="P45" s="234">
        <v>2393.4629062499998</v>
      </c>
      <c r="Q45" s="234">
        <v>49.505000000000003</v>
      </c>
      <c r="R45" s="234">
        <v>2315</v>
      </c>
      <c r="S45" s="234">
        <v>708</v>
      </c>
      <c r="T45" s="234">
        <v>576.16800000000001</v>
      </c>
      <c r="U45" s="234">
        <v>2200</v>
      </c>
      <c r="V45" s="234">
        <v>850</v>
      </c>
      <c r="W45" s="234">
        <v>305</v>
      </c>
      <c r="X45" s="234">
        <v>800</v>
      </c>
      <c r="Y45" s="234">
        <v>331.77392152973277</v>
      </c>
      <c r="Z45" s="234">
        <v>2180</v>
      </c>
      <c r="AA45" s="234">
        <v>12530.2047396292</v>
      </c>
      <c r="AB45" s="234">
        <v>1082.3091572989069</v>
      </c>
      <c r="AC45" s="234">
        <v>28030</v>
      </c>
      <c r="AD45" s="234">
        <v>350</v>
      </c>
      <c r="AE45" s="234">
        <v>788.32134999999994</v>
      </c>
      <c r="AF45" s="234">
        <v>2880.362471160764</v>
      </c>
      <c r="AG45" s="234">
        <v>2055.860212</v>
      </c>
      <c r="AH45" s="234">
        <v>3123.75</v>
      </c>
      <c r="AI45" s="234">
        <v>36620</v>
      </c>
      <c r="AJ45" s="234">
        <v>15510.4</v>
      </c>
      <c r="AK45" s="234">
        <v>862</v>
      </c>
      <c r="AL45" s="234">
        <v>2713</v>
      </c>
      <c r="AM45" s="234">
        <v>908</v>
      </c>
      <c r="AN45" s="236">
        <v>121849.8203125</v>
      </c>
    </row>
    <row r="46" spans="2:40">
      <c r="B46" s="233" t="s">
        <v>264</v>
      </c>
      <c r="C46" s="234">
        <v>2031</v>
      </c>
      <c r="D46" s="235" t="s">
        <v>215</v>
      </c>
      <c r="E46" s="235" t="s">
        <v>216</v>
      </c>
      <c r="F46" s="235" t="s">
        <v>217</v>
      </c>
      <c r="G46" s="235" t="s">
        <v>228</v>
      </c>
      <c r="H46" s="235" t="s">
        <v>228</v>
      </c>
      <c r="I46" s="235" t="s">
        <v>220</v>
      </c>
      <c r="J46" s="235" t="s">
        <v>221</v>
      </c>
      <c r="K46" s="234">
        <v>1720</v>
      </c>
      <c r="L46" s="234">
        <v>4559.8549999999996</v>
      </c>
      <c r="M46" s="234"/>
      <c r="N46" s="234">
        <v>50</v>
      </c>
      <c r="O46" s="234">
        <v>1409.612546634</v>
      </c>
      <c r="P46" s="234">
        <v>8610</v>
      </c>
      <c r="Q46" s="234">
        <v>993.70600000000013</v>
      </c>
      <c r="R46" s="234">
        <v>2350</v>
      </c>
      <c r="S46" s="234">
        <v>317</v>
      </c>
      <c r="T46" s="234">
        <v>2625.607</v>
      </c>
      <c r="U46" s="234">
        <v>3500</v>
      </c>
      <c r="V46" s="234">
        <v>1250</v>
      </c>
      <c r="W46" s="234">
        <v>150</v>
      </c>
      <c r="X46" s="234">
        <v>8690</v>
      </c>
      <c r="Y46" s="234">
        <v>12950</v>
      </c>
      <c r="Z46" s="234">
        <v>4125</v>
      </c>
      <c r="AA46" s="234">
        <v>17134.51115768329</v>
      </c>
      <c r="AB46" s="234">
        <v>1745.8684283301679</v>
      </c>
      <c r="AC46" s="234">
        <v>67314</v>
      </c>
      <c r="AD46" s="234">
        <v>322.24999999999989</v>
      </c>
      <c r="AE46" s="234">
        <v>1500</v>
      </c>
      <c r="AF46" s="234">
        <v>3582.0489018487851</v>
      </c>
      <c r="AG46" s="234">
        <v>3861.9732707847202</v>
      </c>
      <c r="AH46" s="234">
        <v>9732.4999999999982</v>
      </c>
      <c r="AI46" s="234">
        <v>83694</v>
      </c>
      <c r="AJ46" s="234">
        <v>10018.485283495151</v>
      </c>
      <c r="AK46" s="234">
        <v>214</v>
      </c>
      <c r="AL46" s="234">
        <v>15625</v>
      </c>
      <c r="AM46" s="234">
        <v>240</v>
      </c>
      <c r="AN46" s="236">
        <v>268285.40625</v>
      </c>
    </row>
    <row r="47" spans="2:40">
      <c r="B47" s="233" t="s">
        <v>265</v>
      </c>
      <c r="C47" s="234">
        <v>2032</v>
      </c>
      <c r="D47" s="235" t="s">
        <v>215</v>
      </c>
      <c r="E47" s="235" t="s">
        <v>216</v>
      </c>
      <c r="F47" s="235" t="s">
        <v>217</v>
      </c>
      <c r="G47" s="235" t="s">
        <v>218</v>
      </c>
      <c r="H47" s="235" t="s">
        <v>219</v>
      </c>
      <c r="I47" s="235" t="s">
        <v>220</v>
      </c>
      <c r="J47" s="235" t="s">
        <v>221</v>
      </c>
      <c r="K47" s="234">
        <v>18125</v>
      </c>
      <c r="L47" s="234">
        <v>73248.012384687769</v>
      </c>
      <c r="M47" s="234">
        <v>1584.244496622222</v>
      </c>
      <c r="N47" s="234">
        <v>4578</v>
      </c>
      <c r="O47" s="234">
        <v>45876.821513918672</v>
      </c>
      <c r="P47" s="234">
        <v>10238.64297943115</v>
      </c>
      <c r="Q47" s="234">
        <v>7567.9466000000002</v>
      </c>
      <c r="R47" s="234">
        <v>12597.142</v>
      </c>
      <c r="S47" s="234">
        <v>7329</v>
      </c>
      <c r="T47" s="234">
        <v>11814.642</v>
      </c>
      <c r="U47" s="234">
        <v>22261.234</v>
      </c>
      <c r="V47" s="234">
        <v>14636.25</v>
      </c>
      <c r="W47" s="234">
        <v>1572</v>
      </c>
      <c r="X47" s="234">
        <v>26167</v>
      </c>
      <c r="Y47" s="234">
        <v>19610.306071529729</v>
      </c>
      <c r="Z47" s="234">
        <v>22239.061062705601</v>
      </c>
      <c r="AA47" s="234">
        <v>105711.0687500963</v>
      </c>
      <c r="AB47" s="234">
        <v>21092.10737567411</v>
      </c>
      <c r="AC47" s="234">
        <v>235944</v>
      </c>
      <c r="AD47" s="234">
        <v>3905.5</v>
      </c>
      <c r="AE47" s="234">
        <v>16564.407245143979</v>
      </c>
      <c r="AF47" s="234">
        <v>26457.846019742021</v>
      </c>
      <c r="AG47" s="234">
        <v>20928.91907637714</v>
      </c>
      <c r="AH47" s="234">
        <v>72071.34199999999</v>
      </c>
      <c r="AI47" s="234">
        <v>306041</v>
      </c>
      <c r="AJ47" s="234">
        <v>99427.558693765342</v>
      </c>
      <c r="AK47" s="234">
        <v>8141</v>
      </c>
      <c r="AL47" s="234">
        <v>68758</v>
      </c>
      <c r="AM47" s="234">
        <v>1589</v>
      </c>
      <c r="AN47" s="236">
        <v>1286077</v>
      </c>
    </row>
    <row r="48" spans="2:40">
      <c r="B48" s="233" t="s">
        <v>266</v>
      </c>
      <c r="C48" s="234">
        <v>2032</v>
      </c>
      <c r="D48" s="235" t="s">
        <v>215</v>
      </c>
      <c r="E48" s="235" t="s">
        <v>216</v>
      </c>
      <c r="F48" s="235" t="s">
        <v>217</v>
      </c>
      <c r="G48" s="235" t="s">
        <v>223</v>
      </c>
      <c r="H48" s="235" t="s">
        <v>223</v>
      </c>
      <c r="I48" s="235" t="s">
        <v>220</v>
      </c>
      <c r="J48" s="235" t="s">
        <v>221</v>
      </c>
      <c r="K48" s="234">
        <v>3535</v>
      </c>
      <c r="L48" s="234">
        <v>14000</v>
      </c>
      <c r="M48" s="234">
        <v>64</v>
      </c>
      <c r="N48" s="234">
        <v>2318</v>
      </c>
      <c r="O48" s="234">
        <v>9000</v>
      </c>
      <c r="P48" s="234">
        <v>2605.1637333374019</v>
      </c>
      <c r="Q48" s="234">
        <v>111.68300000000001</v>
      </c>
      <c r="R48" s="234">
        <v>400</v>
      </c>
      <c r="S48" s="234">
        <v>685</v>
      </c>
      <c r="T48" s="234">
        <v>249.71199999999999</v>
      </c>
      <c r="U48" s="234">
        <v>6000</v>
      </c>
      <c r="V48" s="234">
        <v>200</v>
      </c>
      <c r="W48" s="234">
        <v>50</v>
      </c>
      <c r="X48" s="234">
        <v>1175</v>
      </c>
      <c r="Y48" s="234">
        <v>1366.07835</v>
      </c>
      <c r="Z48" s="234">
        <v>4137.3110627056021</v>
      </c>
      <c r="AA48" s="234">
        <v>20109.733794062431</v>
      </c>
      <c r="AB48" s="234">
        <v>5741.5195962900461</v>
      </c>
      <c r="AC48" s="234">
        <v>56997</v>
      </c>
      <c r="AD48" s="234">
        <v>172.25</v>
      </c>
      <c r="AE48" s="234">
        <v>1146.8937900000001</v>
      </c>
      <c r="AF48" s="234">
        <v>2957.4254909524489</v>
      </c>
      <c r="AG48" s="234">
        <v>1795</v>
      </c>
      <c r="AH48" s="234">
        <v>13435.1765</v>
      </c>
      <c r="AI48" s="234">
        <v>48780</v>
      </c>
      <c r="AJ48" s="234">
        <v>43154.738674854467</v>
      </c>
      <c r="AK48" s="234">
        <v>4218</v>
      </c>
      <c r="AL48" s="234">
        <v>11865</v>
      </c>
      <c r="AM48" s="234">
        <v>230</v>
      </c>
      <c r="AN48" s="236">
        <v>256499.671875</v>
      </c>
    </row>
    <row r="49" spans="2:40">
      <c r="B49" s="233" t="s">
        <v>267</v>
      </c>
      <c r="C49" s="234">
        <v>2032</v>
      </c>
      <c r="D49" s="235" t="s">
        <v>215</v>
      </c>
      <c r="E49" s="235" t="s">
        <v>216</v>
      </c>
      <c r="F49" s="235" t="s">
        <v>217</v>
      </c>
      <c r="G49" s="235" t="s">
        <v>225</v>
      </c>
      <c r="H49" s="235" t="s">
        <v>226</v>
      </c>
      <c r="I49" s="235" t="s">
        <v>220</v>
      </c>
      <c r="J49" s="235" t="s">
        <v>221</v>
      </c>
      <c r="K49" s="234">
        <v>370</v>
      </c>
      <c r="L49" s="234">
        <v>700</v>
      </c>
      <c r="M49" s="234">
        <v>121.71356666666669</v>
      </c>
      <c r="N49" s="234">
        <v>65</v>
      </c>
      <c r="O49" s="234">
        <v>1531</v>
      </c>
      <c r="P49" s="234">
        <v>2044.1702460937499</v>
      </c>
      <c r="Q49" s="234">
        <v>89.504999999999995</v>
      </c>
      <c r="R49" s="234">
        <v>2315</v>
      </c>
      <c r="S49" s="234">
        <v>708</v>
      </c>
      <c r="T49" s="234">
        <v>1547.2339999999999</v>
      </c>
      <c r="U49" s="234">
        <v>2216.0340000000001</v>
      </c>
      <c r="V49" s="234">
        <v>537.5</v>
      </c>
      <c r="W49" s="234">
        <v>275</v>
      </c>
      <c r="X49" s="234">
        <v>800</v>
      </c>
      <c r="Y49" s="234">
        <v>331.77392152973277</v>
      </c>
      <c r="Z49" s="234">
        <v>3180</v>
      </c>
      <c r="AA49" s="234">
        <v>11419.469559649009</v>
      </c>
      <c r="AB49" s="234">
        <v>943.21410425743989</v>
      </c>
      <c r="AC49" s="234">
        <v>26158</v>
      </c>
      <c r="AD49" s="234">
        <v>250</v>
      </c>
      <c r="AE49" s="234">
        <v>788.32134999999994</v>
      </c>
      <c r="AF49" s="234">
        <v>2880.362471160764</v>
      </c>
      <c r="AG49" s="234">
        <v>3028</v>
      </c>
      <c r="AH49" s="234">
        <v>3123.75</v>
      </c>
      <c r="AI49" s="234">
        <v>36342</v>
      </c>
      <c r="AJ49" s="234">
        <v>15833.254999999999</v>
      </c>
      <c r="AK49" s="234">
        <v>863</v>
      </c>
      <c r="AL49" s="234">
        <v>2854</v>
      </c>
      <c r="AM49" s="234">
        <v>573</v>
      </c>
      <c r="AN49" s="236">
        <v>121888.3046875</v>
      </c>
    </row>
    <row r="50" spans="2:40" ht="15.75" thickBot="1">
      <c r="B50" s="237" t="s">
        <v>268</v>
      </c>
      <c r="C50" s="238">
        <v>2032</v>
      </c>
      <c r="D50" s="239" t="s">
        <v>215</v>
      </c>
      <c r="E50" s="239" t="s">
        <v>216</v>
      </c>
      <c r="F50" s="239" t="s">
        <v>217</v>
      </c>
      <c r="G50" s="239" t="s">
        <v>228</v>
      </c>
      <c r="H50" s="239" t="s">
        <v>228</v>
      </c>
      <c r="I50" s="239" t="s">
        <v>220</v>
      </c>
      <c r="J50" s="239" t="s">
        <v>221</v>
      </c>
      <c r="K50" s="238">
        <v>1720</v>
      </c>
      <c r="L50" s="238">
        <v>5759.8549999999996</v>
      </c>
      <c r="M50" s="238"/>
      <c r="N50" s="238">
        <v>0</v>
      </c>
      <c r="O50" s="238">
        <v>11293.609159031501</v>
      </c>
      <c r="P50" s="238">
        <v>2252.85</v>
      </c>
      <c r="Q50" s="238">
        <v>491.13200000000001</v>
      </c>
      <c r="R50" s="238">
        <v>1500</v>
      </c>
      <c r="S50" s="238">
        <v>0</v>
      </c>
      <c r="T50" s="238">
        <v>1756.3879999999999</v>
      </c>
      <c r="U50" s="238">
        <v>2000</v>
      </c>
      <c r="V50" s="238">
        <v>1250</v>
      </c>
      <c r="W50" s="238">
        <v>150</v>
      </c>
      <c r="X50" s="238">
        <v>19190</v>
      </c>
      <c r="Y50" s="238">
        <v>12950</v>
      </c>
      <c r="Z50" s="238">
        <v>1125</v>
      </c>
      <c r="AA50" s="238">
        <v>16777.32507353356</v>
      </c>
      <c r="AB50" s="238">
        <v>1745.8684283301679</v>
      </c>
      <c r="AC50" s="238">
        <v>50372</v>
      </c>
      <c r="AD50" s="238">
        <v>322.25</v>
      </c>
      <c r="AE50" s="238">
        <v>1500</v>
      </c>
      <c r="AF50" s="238">
        <v>3582.0489018487851</v>
      </c>
      <c r="AG50" s="238">
        <v>3928.382308905776</v>
      </c>
      <c r="AH50" s="238">
        <v>9222.4999999999982</v>
      </c>
      <c r="AI50" s="238">
        <v>71844</v>
      </c>
      <c r="AJ50" s="238">
        <v>10058.158883495151</v>
      </c>
      <c r="AK50" s="238">
        <v>214</v>
      </c>
      <c r="AL50" s="238">
        <v>16505</v>
      </c>
      <c r="AM50" s="238">
        <v>240</v>
      </c>
      <c r="AN50" s="240">
        <v>247750.359375</v>
      </c>
    </row>
    <row r="51" spans="2:40"/>
    <row r="52" spans="2:40"/>
    <row r="53" spans="2:40"/>
  </sheetData>
  <autoFilter ref="E6:AN6" xr:uid="{4DADF224-6643-4134-9A45-C460685D0E3D}"/>
  <hyperlinks>
    <hyperlink ref="C5" location="REF!B7" display="[2]" xr:uid="{19271A2E-CF44-41BA-9677-F6A326017B3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39AB-FBE4-4D44-8B1A-E39BE607BBD3}">
  <sheetPr>
    <tabColor rgb="FF8EA9DB"/>
  </sheetPr>
  <dimension ref="A1:AI42"/>
  <sheetViews>
    <sheetView zoomScale="55" zoomScaleNormal="55" workbookViewId="0">
      <selection activeCell="B9" sqref="B9"/>
    </sheetView>
  </sheetViews>
  <sheetFormatPr defaultColWidth="0" defaultRowHeight="15" zeroHeight="1"/>
  <cols>
    <col min="1" max="1" width="8.7109375" style="29" customWidth="1"/>
    <col min="2" max="2" width="32.7109375" style="50" customWidth="1"/>
    <col min="3" max="4" width="9.7109375" style="50" customWidth="1"/>
    <col min="5" max="5" width="8.7109375" style="50" bestFit="1" customWidth="1"/>
    <col min="6" max="30" width="9.7109375" style="50" customWidth="1"/>
    <col min="31" max="31" width="10.28515625" style="29" bestFit="1" customWidth="1"/>
    <col min="32" max="32" width="9.7109375" style="29" bestFit="1" customWidth="1"/>
    <col min="33" max="35" width="10.28515625" style="29" hidden="1" customWidth="1"/>
    <col min="36" max="16384" width="8.7109375" style="29" hidden="1"/>
  </cols>
  <sheetData>
    <row r="1" spans="2:29" ht="15.75" thickBot="1">
      <c r="Y1" s="241"/>
    </row>
    <row r="2" spans="2:29" ht="30.75" customHeight="1" thickBot="1">
      <c r="C2" s="49" t="s">
        <v>50</v>
      </c>
      <c r="D2" s="327" t="s">
        <v>51</v>
      </c>
      <c r="E2" s="328"/>
      <c r="Y2" s="241"/>
      <c r="AC2" s="124"/>
    </row>
    <row r="3" spans="2:29" ht="76.5" customHeight="1" thickBot="1">
      <c r="C3" s="51">
        <v>7</v>
      </c>
      <c r="D3" s="325" t="str">
        <f>VLOOKUP(C3,'Site Guide'!$D$9:$F$19,3,0)</f>
        <v>Analysis of capability of labour market to support decarbonisation</v>
      </c>
      <c r="E3" s="326"/>
      <c r="Y3" s="241"/>
      <c r="AC3" s="241"/>
    </row>
    <row r="4" spans="2:29" ht="15.6" customHeight="1">
      <c r="C4" s="123"/>
      <c r="D4" s="242"/>
      <c r="Y4" s="241"/>
      <c r="AC4" s="241"/>
    </row>
    <row r="5" spans="2:29" ht="15.75" thickBot="1">
      <c r="B5" s="53" t="s">
        <v>269</v>
      </c>
      <c r="Y5" s="241"/>
      <c r="AC5" s="241"/>
    </row>
    <row r="6" spans="2:29" ht="15.75" thickBot="1">
      <c r="B6" s="161" t="s">
        <v>144</v>
      </c>
      <c r="C6" s="84">
        <v>2013</v>
      </c>
      <c r="D6" s="84">
        <v>2014</v>
      </c>
      <c r="E6" s="84">
        <v>2015</v>
      </c>
      <c r="F6" s="84">
        <v>2016</v>
      </c>
      <c r="G6" s="84">
        <v>2017</v>
      </c>
      <c r="H6" s="84">
        <v>2018</v>
      </c>
      <c r="I6" s="84">
        <v>2019</v>
      </c>
      <c r="J6" s="84">
        <v>2020</v>
      </c>
      <c r="K6" s="84">
        <v>2021</v>
      </c>
      <c r="L6" s="85">
        <v>2022</v>
      </c>
      <c r="Y6" s="241"/>
      <c r="AC6" s="241"/>
    </row>
    <row r="7" spans="2:29">
      <c r="B7" s="182" t="s">
        <v>134</v>
      </c>
      <c r="C7" s="183">
        <f>ROUNDUP((SUMIFS('People Stats'!$J$9:$J$68,'People Stats'!$H$9:$H$68,Variables!$B$16,'People Stats'!$I$9:$I$68,'Personnel Replenishment'!C$6)*Variables!$E$16)+(SUMIFS('People Stats'!$J$9:$J$68,'People Stats'!$H$9:$H$68,Variables!$B$17,'People Stats'!$I$9:$I$68,'Personnel Replenishment'!C$6)*Variables!$E$17)+(SUMIFS('People Stats'!$J$9:$J$68,'People Stats'!$H$9:$H$68,Variables!$B$18,'People Stats'!$I$9:$I$68,'Personnel Replenishment'!C$6)*Variables!$E$18)+VLOOKUP(C6,'People Stats'!$B$25:$E$62,3,0)*0.0002,0)</f>
        <v>1001</v>
      </c>
      <c r="D7" s="183">
        <f>ROUNDUP((SUMIFS('People Stats'!$J$9:$J$68,'People Stats'!$H$9:$H$68,Variables!$B$16,'People Stats'!$I$9:$I$68,'Personnel Replenishment'!D$6)*Variables!$E$16)+(SUMIFS('People Stats'!$J$9:$J$68,'People Stats'!$H$9:$H$68,Variables!$B$17,'People Stats'!$I$9:$I$68,'Personnel Replenishment'!D$6)*Variables!$E$17)+(SUMIFS('People Stats'!$J$9:$J$68,'People Stats'!$H$9:$H$68,Variables!$B$18,'People Stats'!$I$9:$I$68,'Personnel Replenishment'!D$6)*Variables!$E$18)+VLOOKUP(D6,'People Stats'!$B$25:$E$62,3,0)*0.0002,0)</f>
        <v>1097</v>
      </c>
      <c r="E7" s="183">
        <f>ROUNDUP((SUMIFS('People Stats'!$J$9:$J$68,'People Stats'!$H$9:$H$68,Variables!$B$16,'People Stats'!$I$9:$I$68,'Personnel Replenishment'!E$6)*Variables!$E$16)+(SUMIFS('People Stats'!$J$9:$J$68,'People Stats'!$H$9:$H$68,Variables!$B$17,'People Stats'!$I$9:$I$68,'Personnel Replenishment'!E$6)*Variables!$E$17)+(SUMIFS('People Stats'!$J$9:$J$68,'People Stats'!$H$9:$H$68,Variables!$B$18,'People Stats'!$I$9:$I$68,'Personnel Replenishment'!E$6)*Variables!$E$18)+VLOOKUP(E6,'People Stats'!$B$25:$E$62,3,0)*0.0002,0)</f>
        <v>1056</v>
      </c>
      <c r="F7" s="183">
        <f>ROUNDUP((SUMIFS('People Stats'!$J$9:$J$68,'People Stats'!$H$9:$H$68,Variables!$B$16,'People Stats'!$I$9:$I$68,'Personnel Replenishment'!F$6)*Variables!$E$16)+(SUMIFS('People Stats'!$J$9:$J$68,'People Stats'!$H$9:$H$68,Variables!$B$17,'People Stats'!$I$9:$I$68,'Personnel Replenishment'!F$6)*Variables!$E$17)+(SUMIFS('People Stats'!$J$9:$J$68,'People Stats'!$H$9:$H$68,Variables!$B$18,'People Stats'!$I$9:$I$68,'Personnel Replenishment'!F$6)*Variables!$E$18)+VLOOKUP(F6,'People Stats'!$B$25:$E$62,3,0)*0.0002,0)</f>
        <v>1013</v>
      </c>
      <c r="G7" s="183">
        <f>ROUNDUP((SUMIFS('People Stats'!$J$9:$J$68,'People Stats'!$H$9:$H$68,Variables!$B$16,'People Stats'!$I$9:$I$68,'Personnel Replenishment'!G$6)*Variables!$E$16)+(SUMIFS('People Stats'!$J$9:$J$68,'People Stats'!$H$9:$H$68,Variables!$B$17,'People Stats'!$I$9:$I$68,'Personnel Replenishment'!G$6)*Variables!$E$17)+(SUMIFS('People Stats'!$J$9:$J$68,'People Stats'!$H$9:$H$68,Variables!$B$18,'People Stats'!$I$9:$I$68,'Personnel Replenishment'!G$6)*Variables!$E$18)+VLOOKUP(G6,'People Stats'!$B$25:$E$62,3,0)*0.0002,0)</f>
        <v>887</v>
      </c>
      <c r="H7" s="183">
        <f>ROUNDUP((SUMIFS('People Stats'!$J$9:$J$68,'People Stats'!$H$9:$H$68,Variables!$B$16,'People Stats'!$I$9:$I$68,'Personnel Replenishment'!H$6)*Variables!$E$16)+(SUMIFS('People Stats'!$J$9:$J$68,'People Stats'!$H$9:$H$68,Variables!$B$17,'People Stats'!$I$9:$I$68,'Personnel Replenishment'!H$6)*Variables!$E$17)+(SUMIFS('People Stats'!$J$9:$J$68,'People Stats'!$H$9:$H$68,Variables!$B$18,'People Stats'!$I$9:$I$68,'Personnel Replenishment'!H$6)*Variables!$E$18)+VLOOKUP(H6,'People Stats'!$B$25:$E$62,3,0)*0.0002,0)</f>
        <v>905</v>
      </c>
      <c r="I7" s="183">
        <f>ROUNDUP((SUMIFS('People Stats'!$J$9:$J$68,'People Stats'!$H$9:$H$68,Variables!$B$16,'People Stats'!$I$9:$I$68,'Personnel Replenishment'!I$6)*Variables!$E$16)+(SUMIFS('People Stats'!$J$9:$J$68,'People Stats'!$H$9:$H$68,Variables!$B$17,'People Stats'!$I$9:$I$68,'Personnel Replenishment'!I$6)*Variables!$E$17)+(SUMIFS('People Stats'!$J$9:$J$68,'People Stats'!$H$9:$H$68,Variables!$B$18,'People Stats'!$I$9:$I$68,'Personnel Replenishment'!I$6)*Variables!$E$18)+VLOOKUP(I6,'People Stats'!$B$25:$E$62,3,0)*0.0002,0)</f>
        <v>801</v>
      </c>
      <c r="J7" s="183">
        <f>ROUNDUP((SUMIFS('People Stats'!$J$9:$J$68,'People Stats'!$H$9:$H$68,Variables!$B$16,'People Stats'!$I$9:$I$68,'Personnel Replenishment'!J$6)*Variables!$E$16)+(SUMIFS('People Stats'!$J$9:$J$68,'People Stats'!$H$9:$H$68,Variables!$B$17,'People Stats'!$I$9:$I$68,'Personnel Replenishment'!J$6)*Variables!$E$17)+(SUMIFS('People Stats'!$J$9:$J$68,'People Stats'!$H$9:$H$68,Variables!$B$18,'People Stats'!$I$9:$I$68,'Personnel Replenishment'!J$6)*Variables!$E$18)+VLOOKUP(J6,'People Stats'!$B$25:$E$62,3,0)*0.0002,0)</f>
        <v>632</v>
      </c>
      <c r="K7" s="183">
        <f>ROUNDUP((SUMIFS('People Stats'!$J$9:$J$68,'People Stats'!$H$9:$H$68,Variables!$B$16,'People Stats'!$I$9:$I$68,'Personnel Replenishment'!K$6)*Variables!$E$16)+(SUMIFS('People Stats'!$J$9:$J$68,'People Stats'!$H$9:$H$68,Variables!$B$17,'People Stats'!$I$9:$I$68,'Personnel Replenishment'!K$6)*Variables!$E$17)+(SUMIFS('People Stats'!$J$9:$J$68,'People Stats'!$H$9:$H$68,Variables!$B$18,'People Stats'!$I$9:$I$68,'Personnel Replenishment'!K$6)*Variables!$E$18)+VLOOKUP(K6,'People Stats'!$B$25:$E$62,3,0)*0.0002,0)</f>
        <v>1044</v>
      </c>
      <c r="L7" s="245">
        <f>ROUNDUP((SUMIFS('People Stats'!$J$9:$J$68,'People Stats'!$H$9:$H$68,Variables!$B$16,'People Stats'!$I$9:$I$68,'Personnel Replenishment'!L$6)*Variables!$E$16)+(SUMIFS('People Stats'!$J$9:$J$68,'People Stats'!$H$9:$H$68,Variables!$B$17,'People Stats'!$I$9:$I$68,'Personnel Replenishment'!L$6)*Variables!$E$17)+(SUMIFS('People Stats'!$J$9:$J$68,'People Stats'!$H$9:$H$68,Variables!$B$18,'People Stats'!$I$9:$I$68,'Personnel Replenishment'!L$6)*Variables!$E$18)+VLOOKUP(L6,'People Stats'!$B$25:$E$62,3,0)*0.0002,0)</f>
        <v>1127</v>
      </c>
      <c r="Y7" s="241"/>
      <c r="AC7" s="241"/>
    </row>
    <row r="8" spans="2:29">
      <c r="B8" s="3" t="s">
        <v>132</v>
      </c>
      <c r="C8" s="1">
        <f>ROUNDUP((SUMIFS('People Stats'!$O$9:$O$68,'People Stats'!$M$9:$M$68,Variables!$B$16,'People Stats'!$N$9:$N$68,'Personnel Replenishment'!C$6)*Variables!$E$17)+(SUMIFS('People Stats'!$O$9:$O$68,'People Stats'!$M$9:$M$68,Variables!$B$17,'People Stats'!$N$9:$N$68,'Personnel Replenishment'!C$6)*Variables!$E$17)+(SUMIFS('People Stats'!$O$9:$O$68,'People Stats'!$M$9:$M$68,Variables!$B$18,'People Stats'!$N$9:$N$68,'Personnel Replenishment'!C$6)*Variables!$E$18)+VLOOKUP(C6,'People Stats'!$B$25:$E$62,3,0)*0.00021,0)</f>
        <v>1046</v>
      </c>
      <c r="D8" s="1">
        <f>ROUNDUP((SUMIFS('People Stats'!$O$9:$O$68,'People Stats'!$M$9:$M$68,Variables!$B$16,'People Stats'!$N$9:$N$68,'Personnel Replenishment'!D$6)*Variables!$E$17)+(SUMIFS('People Stats'!$O$9:$O$68,'People Stats'!$M$9:$M$68,Variables!$B$17,'People Stats'!$N$9:$N$68,'Personnel Replenishment'!D$6)*Variables!$E$17)+(SUMIFS('People Stats'!$O$9:$O$68,'People Stats'!$M$9:$M$68,Variables!$B$18,'People Stats'!$N$9:$N$68,'Personnel Replenishment'!D$6)*Variables!$E$18)+VLOOKUP(D6,'People Stats'!$B$25:$E$62,3,0)*0.00021,0)</f>
        <v>1078</v>
      </c>
      <c r="E8" s="1">
        <f>ROUNDUP((SUMIFS('People Stats'!$O$9:$O$68,'People Stats'!$M$9:$M$68,Variables!$B$16,'People Stats'!$N$9:$N$68,'Personnel Replenishment'!E$6)*Variables!$E$17)+(SUMIFS('People Stats'!$O$9:$O$68,'People Stats'!$M$9:$M$68,Variables!$B$17,'People Stats'!$N$9:$N$68,'Personnel Replenishment'!E$6)*Variables!$E$17)+(SUMIFS('People Stats'!$O$9:$O$68,'People Stats'!$M$9:$M$68,Variables!$B$18,'People Stats'!$N$9:$N$68,'Personnel Replenishment'!E$6)*Variables!$E$18)+VLOOKUP(E6,'People Stats'!$B$25:$E$62,3,0)*0.00021,0)</f>
        <v>1007</v>
      </c>
      <c r="F8" s="1">
        <f>ROUNDUP((SUMIFS('People Stats'!$O$9:$O$68,'People Stats'!$M$9:$M$68,Variables!$B$16,'People Stats'!$N$9:$N$68,'Personnel Replenishment'!F$6)*Variables!$E$17)+(SUMIFS('People Stats'!$O$9:$O$68,'People Stats'!$M$9:$M$68,Variables!$B$17,'People Stats'!$N$9:$N$68,'Personnel Replenishment'!F$6)*Variables!$E$17)+(SUMIFS('People Stats'!$O$9:$O$68,'People Stats'!$M$9:$M$68,Variables!$B$18,'People Stats'!$N$9:$N$68,'Personnel Replenishment'!F$6)*Variables!$E$18)+VLOOKUP(F6,'People Stats'!$B$25:$E$62,3,0)*0.00021,0)</f>
        <v>1019</v>
      </c>
      <c r="G8" s="1">
        <f>ROUNDUP((SUMIFS('People Stats'!$O$9:$O$68,'People Stats'!$M$9:$M$68,Variables!$B$16,'People Stats'!$N$9:$N$68,'Personnel Replenishment'!G$6)*Variables!$E$17)+(SUMIFS('People Stats'!$O$9:$O$68,'People Stats'!$M$9:$M$68,Variables!$B$17,'People Stats'!$N$9:$N$68,'Personnel Replenishment'!G$6)*Variables!$E$17)+(SUMIFS('People Stats'!$O$9:$O$68,'People Stats'!$M$9:$M$68,Variables!$B$18,'People Stats'!$N$9:$N$68,'Personnel Replenishment'!G$6)*Variables!$E$18)+VLOOKUP(G6,'People Stats'!$B$25:$E$62,3,0)*0.00021,0)</f>
        <v>1018</v>
      </c>
      <c r="H8" s="1">
        <f>ROUNDUP((SUMIFS('People Stats'!$O$9:$O$68,'People Stats'!$M$9:$M$68,Variables!$B$16,'People Stats'!$N$9:$N$68,'Personnel Replenishment'!H$6)*Variables!$E$17)+(SUMIFS('People Stats'!$O$9:$O$68,'People Stats'!$M$9:$M$68,Variables!$B$17,'People Stats'!$N$9:$N$68,'Personnel Replenishment'!H$6)*Variables!$E$17)+(SUMIFS('People Stats'!$O$9:$O$68,'People Stats'!$M$9:$M$68,Variables!$B$18,'People Stats'!$N$9:$N$68,'Personnel Replenishment'!H$6)*Variables!$E$18)+VLOOKUP(H6,'People Stats'!$B$25:$E$62,3,0)*0.00021,0)</f>
        <v>916</v>
      </c>
      <c r="I8" s="1">
        <f>ROUNDUP((SUMIFS('People Stats'!$O$9:$O$68,'People Stats'!$M$9:$M$68,Variables!$B$16,'People Stats'!$N$9:$N$68,'Personnel Replenishment'!I$6)*Variables!$E$17)+(SUMIFS('People Stats'!$O$9:$O$68,'People Stats'!$M$9:$M$68,Variables!$B$17,'People Stats'!$N$9:$N$68,'Personnel Replenishment'!I$6)*Variables!$E$17)+(SUMIFS('People Stats'!$O$9:$O$68,'People Stats'!$M$9:$M$68,Variables!$B$18,'People Stats'!$N$9:$N$68,'Personnel Replenishment'!I$6)*Variables!$E$18)+VLOOKUP(I6,'People Stats'!$B$25:$E$62,3,0)*0.00021,0)</f>
        <v>816</v>
      </c>
      <c r="J8" s="1">
        <f>ROUNDUP((SUMIFS('People Stats'!$O$9:$O$68,'People Stats'!$M$9:$M$68,Variables!$B$16,'People Stats'!$N$9:$N$68,'Personnel Replenishment'!J$6)*Variables!$E$17)+(SUMIFS('People Stats'!$O$9:$O$68,'People Stats'!$M$9:$M$68,Variables!$B$17,'People Stats'!$N$9:$N$68,'Personnel Replenishment'!J$6)*Variables!$E$17)+(SUMIFS('People Stats'!$O$9:$O$68,'People Stats'!$M$9:$M$68,Variables!$B$18,'People Stats'!$N$9:$N$68,'Personnel Replenishment'!J$6)*Variables!$E$18)+VLOOKUP(J6,'People Stats'!$B$25:$E$62,3,0)*0.00021,0)</f>
        <v>833</v>
      </c>
      <c r="K8" s="1">
        <f>ROUNDUP((SUMIFS('People Stats'!$O$9:$O$68,'People Stats'!$M$9:$M$68,Variables!$B$16,'People Stats'!$N$9:$N$68,'Personnel Replenishment'!K$6)*Variables!$E$17)+(SUMIFS('People Stats'!$O$9:$O$68,'People Stats'!$M$9:$M$68,Variables!$B$17,'People Stats'!$N$9:$N$68,'Personnel Replenishment'!K$6)*Variables!$E$17)+(SUMIFS('People Stats'!$O$9:$O$68,'People Stats'!$M$9:$M$68,Variables!$B$18,'People Stats'!$N$9:$N$68,'Personnel Replenishment'!K$6)*Variables!$E$18)+VLOOKUP(K6,'People Stats'!$B$25:$E$62,3,0)*0.00021,0)</f>
        <v>1284</v>
      </c>
      <c r="L8" s="184">
        <f>ROUNDUP((SUMIFS('People Stats'!$O$9:$O$68,'People Stats'!$M$9:$M$68,Variables!$B$16,'People Stats'!$N$9:$N$68,'Personnel Replenishment'!L$6)*Variables!$E$17)+(SUMIFS('People Stats'!$O$9:$O$68,'People Stats'!$M$9:$M$68,Variables!$B$17,'People Stats'!$N$9:$N$68,'Personnel Replenishment'!L$6)*Variables!$E$17)+(SUMIFS('People Stats'!$O$9:$O$68,'People Stats'!$M$9:$M$68,Variables!$B$18,'People Stats'!$N$9:$N$68,'Personnel Replenishment'!L$6)*Variables!$E$18)+VLOOKUP(L6,'People Stats'!$B$25:$E$62,3,0)*0.00021,0)</f>
        <v>1257</v>
      </c>
      <c r="Y8" s="241"/>
      <c r="AC8" s="241"/>
    </row>
    <row r="9" spans="2:29">
      <c r="B9" s="3" t="s">
        <v>129</v>
      </c>
      <c r="C9" s="1">
        <f>ROUNDUP((SUMIFS('People Stats'!$J$9:$J$68,'People Stats'!$H$9:$H$68,Variables!$B$19,'People Stats'!$I$9:$I$68,'Personnel Replenishment'!C$6)*Variables!$E$19)+(SUMIFS('People Stats'!$J$9:$J$68,'People Stats'!$H$9:$H$68,Variables!$B$20,'People Stats'!$I$9:$I$68,'Personnel Replenishment'!C$6)*Variables!$E$20)+(SUMIFS('People Stats'!$J$9:$J$68,'People Stats'!$H$9:$H$68,Variables!$B$21,'People Stats'!$I$9:$I$68,'Personnel Replenishment'!C$6)*Variables!$E$21)+VLOOKUP(C6,'People Stats'!$B$25:$E$62,3,0)*0.00012,0)</f>
        <v>411</v>
      </c>
      <c r="D9" s="1">
        <f>ROUNDUP((SUMIFS('People Stats'!$J$9:$J$68,'People Stats'!$H$9:$H$68,Variables!$B$19,'People Stats'!$I$9:$I$68,'Personnel Replenishment'!D$6)*Variables!$E$19)+(SUMIFS('People Stats'!$J$9:$J$68,'People Stats'!$H$9:$H$68,Variables!$B$20,'People Stats'!$I$9:$I$68,'Personnel Replenishment'!D$6)*Variables!$E$20)+(SUMIFS('People Stats'!$J$9:$J$68,'People Stats'!$H$9:$H$68,Variables!$B$21,'People Stats'!$I$9:$I$68,'Personnel Replenishment'!D$6)*Variables!$E$21)+VLOOKUP(D6,'People Stats'!$B$25:$E$62,3,0)*0.00012,0)</f>
        <v>425</v>
      </c>
      <c r="E9" s="1">
        <f>ROUNDUP((SUMIFS('People Stats'!$J$9:$J$68,'People Stats'!$H$9:$H$68,Variables!$B$19,'People Stats'!$I$9:$I$68,'Personnel Replenishment'!E$6)*Variables!$E$19)+(SUMIFS('People Stats'!$J$9:$J$68,'People Stats'!$H$9:$H$68,Variables!$B$20,'People Stats'!$I$9:$I$68,'Personnel Replenishment'!E$6)*Variables!$E$20)+(SUMIFS('People Stats'!$J$9:$J$68,'People Stats'!$H$9:$H$68,Variables!$B$21,'People Stats'!$I$9:$I$68,'Personnel Replenishment'!E$6)*Variables!$E$21)+VLOOKUP(E6,'People Stats'!$B$25:$E$62,3,0)*0.00012,0)</f>
        <v>457</v>
      </c>
      <c r="F9" s="1">
        <f>ROUNDUP((SUMIFS('People Stats'!$J$9:$J$68,'People Stats'!$H$9:$H$68,Variables!$B$19,'People Stats'!$I$9:$I$68,'Personnel Replenishment'!F$6)*Variables!$E$19)+(SUMIFS('People Stats'!$J$9:$J$68,'People Stats'!$H$9:$H$68,Variables!$B$20,'People Stats'!$I$9:$I$68,'Personnel Replenishment'!F$6)*Variables!$E$20)+(SUMIFS('People Stats'!$J$9:$J$68,'People Stats'!$H$9:$H$68,Variables!$B$21,'People Stats'!$I$9:$I$68,'Personnel Replenishment'!F$6)*Variables!$E$21)+VLOOKUP(F6,'People Stats'!$B$25:$E$62,3,0)*0.00012,0)</f>
        <v>503</v>
      </c>
      <c r="G9" s="1">
        <f>ROUNDUP((SUMIFS('People Stats'!$J$9:$J$68,'People Stats'!$H$9:$H$68,Variables!$B$19,'People Stats'!$I$9:$I$68,'Personnel Replenishment'!G$6)*Variables!$E$19)+(SUMIFS('People Stats'!$J$9:$J$68,'People Stats'!$H$9:$H$68,Variables!$B$20,'People Stats'!$I$9:$I$68,'Personnel Replenishment'!G$6)*Variables!$E$20)+(SUMIFS('People Stats'!$J$9:$J$68,'People Stats'!$H$9:$H$68,Variables!$B$21,'People Stats'!$I$9:$I$68,'Personnel Replenishment'!G$6)*Variables!$E$21)+VLOOKUP(G6,'People Stats'!$B$25:$E$62,3,0)*0.00012,0)</f>
        <v>628</v>
      </c>
      <c r="H9" s="1">
        <f>ROUNDUP((SUMIFS('People Stats'!$J$9:$J$68,'People Stats'!$H$9:$H$68,Variables!$B$19,'People Stats'!$I$9:$I$68,'Personnel Replenishment'!H$6)*Variables!$E$19)+(SUMIFS('People Stats'!$J$9:$J$68,'People Stats'!$H$9:$H$68,Variables!$B$20,'People Stats'!$I$9:$I$68,'Personnel Replenishment'!H$6)*Variables!$E$20)+(SUMIFS('People Stats'!$J$9:$J$68,'People Stats'!$H$9:$H$68,Variables!$B$21,'People Stats'!$I$9:$I$68,'Personnel Replenishment'!H$6)*Variables!$E$21)+VLOOKUP(H6,'People Stats'!$B$25:$E$62,3,0)*0.00012,0)</f>
        <v>741</v>
      </c>
      <c r="I9" s="1">
        <f>ROUNDUP((SUMIFS('People Stats'!$J$9:$J$68,'People Stats'!$H$9:$H$68,Variables!$B$19,'People Stats'!$I$9:$I$68,'Personnel Replenishment'!I$6)*Variables!$E$19)+(SUMIFS('People Stats'!$J$9:$J$68,'People Stats'!$H$9:$H$68,Variables!$B$20,'People Stats'!$I$9:$I$68,'Personnel Replenishment'!I$6)*Variables!$E$20)+(SUMIFS('People Stats'!$J$9:$J$68,'People Stats'!$H$9:$H$68,Variables!$B$21,'People Stats'!$I$9:$I$68,'Personnel Replenishment'!I$6)*Variables!$E$21)+VLOOKUP(I6,'People Stats'!$B$25:$E$62,3,0)*0.00012,0)</f>
        <v>702</v>
      </c>
      <c r="J9" s="1">
        <f>ROUNDUP((SUMIFS('People Stats'!$J$9:$J$68,'People Stats'!$H$9:$H$68,Variables!$B$19,'People Stats'!$I$9:$I$68,'Personnel Replenishment'!J$6)*Variables!$E$19)+(SUMIFS('People Stats'!$J$9:$J$68,'People Stats'!$H$9:$H$68,Variables!$B$20,'People Stats'!$I$9:$I$68,'Personnel Replenishment'!J$6)*Variables!$E$20)+(SUMIFS('People Stats'!$J$9:$J$68,'People Stats'!$H$9:$H$68,Variables!$B$21,'People Stats'!$I$9:$I$68,'Personnel Replenishment'!J$6)*Variables!$E$21)+VLOOKUP(J6,'People Stats'!$B$25:$E$62,3,0)*0.00012,0)</f>
        <v>756</v>
      </c>
      <c r="K9" s="1">
        <f>ROUNDUP((SUMIFS('People Stats'!$J$9:$J$68,'People Stats'!$H$9:$H$68,Variables!$B$19,'People Stats'!$I$9:$I$68,'Personnel Replenishment'!K$6)*Variables!$E$19)+(SUMIFS('People Stats'!$J$9:$J$68,'People Stats'!$H$9:$H$68,Variables!$B$20,'People Stats'!$I$9:$I$68,'Personnel Replenishment'!K$6)*Variables!$E$20)+(SUMIFS('People Stats'!$J$9:$J$68,'People Stats'!$H$9:$H$68,Variables!$B$21,'People Stats'!$I$9:$I$68,'Personnel Replenishment'!K$6)*Variables!$E$21)+VLOOKUP(K6,'People Stats'!$B$25:$E$62,3,0)*0.00012,0)</f>
        <v>665</v>
      </c>
      <c r="L9" s="184">
        <f>ROUNDUP((SUMIFS('People Stats'!$J$9:$J$68,'People Stats'!$H$9:$H$68,Variables!$B$19,'People Stats'!$I$9:$I$68,'Personnel Replenishment'!L$6)*Variables!$E$19)+(SUMIFS('People Stats'!$J$9:$J$68,'People Stats'!$H$9:$H$68,Variables!$B$20,'People Stats'!$I$9:$I$68,'Personnel Replenishment'!L$6)*Variables!$E$20)+(SUMIFS('People Stats'!$J$9:$J$68,'People Stats'!$H$9:$H$68,Variables!$B$21,'People Stats'!$I$9:$I$68,'Personnel Replenishment'!L$6)*Variables!$E$21)+VLOOKUP(L6,'People Stats'!$B$25:$E$62,3,0)*0.00012,0)</f>
        <v>598</v>
      </c>
      <c r="Y9" s="241"/>
      <c r="AC9" s="241"/>
    </row>
    <row r="10" spans="2:29">
      <c r="B10" s="3" t="s">
        <v>131</v>
      </c>
      <c r="C10" s="1">
        <f>ROUNDUP((SUMIFS('People Stats'!$O$9:$O$68,'People Stats'!$M$9:$M$68,Variables!$B$19,'People Stats'!$N$9:$N$68,'Personnel Replenishment'!C$6)*Variables!$E$19)+(SUMIFS('People Stats'!$O$9:$O$68,'People Stats'!$M$9:$M$68,Variables!$B$20,'People Stats'!$N$9:$N$68,'Personnel Replenishment'!C$6)*Variables!$E$20)+(SUMIFS('People Stats'!$O$9:$O$68,'People Stats'!$M$9:$M$68,Variables!$B$21,'People Stats'!$N$9:$N$68,'Personnel Replenishment'!C$6)*Variables!$E$21)+VLOOKUP(C6,'People Stats'!$B$25:$E$62,3,0)*0.00016,0)</f>
        <v>581</v>
      </c>
      <c r="D10" s="1">
        <f>ROUNDUP((SUMIFS('People Stats'!$O$9:$O$68,'People Stats'!$M$9:$M$68,Variables!$B$19,'People Stats'!$N$9:$N$68,'Personnel Replenishment'!D$6)*Variables!$E$19)+(SUMIFS('People Stats'!$O$9:$O$68,'People Stats'!$M$9:$M$68,Variables!$B$20,'People Stats'!$N$9:$N$68,'Personnel Replenishment'!D$6)*Variables!$E$20)+(SUMIFS('People Stats'!$O$9:$O$68,'People Stats'!$M$9:$M$68,Variables!$B$21,'People Stats'!$N$9:$N$68,'Personnel Replenishment'!D$6)*Variables!$E$21)+VLOOKUP(D6,'People Stats'!$B$25:$E$62,3,0)*0.00016,0)</f>
        <v>726</v>
      </c>
      <c r="E10" s="1">
        <f>ROUNDUP((SUMIFS('People Stats'!$O$9:$O$68,'People Stats'!$M$9:$M$68,Variables!$B$19,'People Stats'!$N$9:$N$68,'Personnel Replenishment'!E$6)*Variables!$E$19)+(SUMIFS('People Stats'!$O$9:$O$68,'People Stats'!$M$9:$M$68,Variables!$B$20,'People Stats'!$N$9:$N$68,'Personnel Replenishment'!E$6)*Variables!$E$20)+(SUMIFS('People Stats'!$O$9:$O$68,'People Stats'!$M$9:$M$68,Variables!$B$21,'People Stats'!$N$9:$N$68,'Personnel Replenishment'!E$6)*Variables!$E$21)+VLOOKUP(E6,'People Stats'!$B$25:$E$62,3,0)*0.00016,0)</f>
        <v>554</v>
      </c>
      <c r="F10" s="1">
        <f>ROUNDUP((SUMIFS('People Stats'!$O$9:$O$68,'People Stats'!$M$9:$M$68,Variables!$B$19,'People Stats'!$N$9:$N$68,'Personnel Replenishment'!F$6)*Variables!$E$19)+(SUMIFS('People Stats'!$O$9:$O$68,'People Stats'!$M$9:$M$68,Variables!$B$20,'People Stats'!$N$9:$N$68,'Personnel Replenishment'!F$6)*Variables!$E$20)+(SUMIFS('People Stats'!$O$9:$O$68,'People Stats'!$M$9:$M$68,Variables!$B$21,'People Stats'!$N$9:$N$68,'Personnel Replenishment'!F$6)*Variables!$E$21)+VLOOKUP(F6,'People Stats'!$B$25:$E$62,3,0)*0.00016,0)</f>
        <v>691</v>
      </c>
      <c r="G10" s="1">
        <f>ROUNDUP((SUMIFS('People Stats'!$O$9:$O$68,'People Stats'!$M$9:$M$68,Variables!$B$19,'People Stats'!$N$9:$N$68,'Personnel Replenishment'!G$6)*Variables!$E$19)+(SUMIFS('People Stats'!$O$9:$O$68,'People Stats'!$M$9:$M$68,Variables!$B$20,'People Stats'!$N$9:$N$68,'Personnel Replenishment'!G$6)*Variables!$E$20)+(SUMIFS('People Stats'!$O$9:$O$68,'People Stats'!$M$9:$M$68,Variables!$B$21,'People Stats'!$N$9:$N$68,'Personnel Replenishment'!G$6)*Variables!$E$21)+VLOOKUP(G6,'People Stats'!$B$25:$E$62,3,0)*0.00016,0)</f>
        <v>790</v>
      </c>
      <c r="H10" s="1">
        <f>ROUNDUP((SUMIFS('People Stats'!$O$9:$O$68,'People Stats'!$M$9:$M$68,Variables!$B$19,'People Stats'!$N$9:$N$68,'Personnel Replenishment'!H$6)*Variables!$E$19)+(SUMIFS('People Stats'!$O$9:$O$68,'People Stats'!$M$9:$M$68,Variables!$B$20,'People Stats'!$N$9:$N$68,'Personnel Replenishment'!H$6)*Variables!$E$20)+(SUMIFS('People Stats'!$O$9:$O$68,'People Stats'!$M$9:$M$68,Variables!$B$21,'People Stats'!$N$9:$N$68,'Personnel Replenishment'!H$6)*Variables!$E$21)+VLOOKUP(H6,'People Stats'!$B$25:$E$62,3,0)*0.00016,0)</f>
        <v>988</v>
      </c>
      <c r="I10" s="1">
        <f>ROUNDUP((SUMIFS('People Stats'!$O$9:$O$68,'People Stats'!$M$9:$M$68,Variables!$B$19,'People Stats'!$N$9:$N$68,'Personnel Replenishment'!I$6)*Variables!$E$19)+(SUMIFS('People Stats'!$O$9:$O$68,'People Stats'!$M$9:$M$68,Variables!$B$20,'People Stats'!$N$9:$N$68,'Personnel Replenishment'!I$6)*Variables!$E$20)+(SUMIFS('People Stats'!$O$9:$O$68,'People Stats'!$M$9:$M$68,Variables!$B$21,'People Stats'!$N$9:$N$68,'Personnel Replenishment'!I$6)*Variables!$E$21)+VLOOKUP(I6,'People Stats'!$B$25:$E$62,3,0)*0.00016,0)</f>
        <v>954</v>
      </c>
      <c r="J10" s="1">
        <f>ROUNDUP((SUMIFS('People Stats'!$O$9:$O$68,'People Stats'!$M$9:$M$68,Variables!$B$19,'People Stats'!$N$9:$N$68,'Personnel Replenishment'!J$6)*Variables!$E$19)+(SUMIFS('People Stats'!$O$9:$O$68,'People Stats'!$M$9:$M$68,Variables!$B$20,'People Stats'!$N$9:$N$68,'Personnel Replenishment'!J$6)*Variables!$E$20)+(SUMIFS('People Stats'!$O$9:$O$68,'People Stats'!$M$9:$M$68,Variables!$B$21,'People Stats'!$N$9:$N$68,'Personnel Replenishment'!J$6)*Variables!$E$21)+VLOOKUP(J6,'People Stats'!$B$25:$E$62,3,0)*0.00016,0)</f>
        <v>1019</v>
      </c>
      <c r="K10" s="1">
        <f>ROUNDUP((SUMIFS('People Stats'!$O$9:$O$68,'People Stats'!$M$9:$M$68,Variables!$B$19,'People Stats'!$N$9:$N$68,'Personnel Replenishment'!K$6)*Variables!$E$19)+(SUMIFS('People Stats'!$O$9:$O$68,'People Stats'!$M$9:$M$68,Variables!$B$20,'People Stats'!$N$9:$N$68,'Personnel Replenishment'!K$6)*Variables!$E$20)+(SUMIFS('People Stats'!$O$9:$O$68,'People Stats'!$M$9:$M$68,Variables!$B$21,'People Stats'!$N$9:$N$68,'Personnel Replenishment'!K$6)*Variables!$E$21)+VLOOKUP(K6,'People Stats'!$B$25:$E$62,3,0)*0.00016,0)</f>
        <v>774</v>
      </c>
      <c r="L10" s="184">
        <f>ROUNDUP((SUMIFS('People Stats'!$O$9:$O$68,'People Stats'!$M$9:$M$68,Variables!$B$19,'People Stats'!$N$9:$N$68,'Personnel Replenishment'!L$6)*Variables!$E$19)+(SUMIFS('People Stats'!$O$9:$O$68,'People Stats'!$M$9:$M$68,Variables!$B$20,'People Stats'!$N$9:$N$68,'Personnel Replenishment'!L$6)*Variables!$E$20)+(SUMIFS('People Stats'!$O$9:$O$68,'People Stats'!$M$9:$M$68,Variables!$B$21,'People Stats'!$N$9:$N$68,'Personnel Replenishment'!L$6)*Variables!$E$21)+VLOOKUP(L6,'People Stats'!$B$25:$E$62,3,0)*0.00016,0)</f>
        <v>643</v>
      </c>
      <c r="N10" s="243"/>
      <c r="Y10" s="241"/>
      <c r="AC10" s="241"/>
    </row>
    <row r="11" spans="2:29">
      <c r="B11" s="3" t="s">
        <v>270</v>
      </c>
      <c r="C11" s="9">
        <f>C7/VLOOKUP(C$6,'People Stats'!$B$25:$C$49,2,0)</f>
        <v>2.2565374211000903E-4</v>
      </c>
      <c r="D11" s="9">
        <f>D7/VLOOKUP(D$6,'People Stats'!$B$25:$C$49,2,0)</f>
        <v>2.4371820221723579E-4</v>
      </c>
      <c r="E11" s="9">
        <f>E7/VLOOKUP(E$6,'People Stats'!$B$25:$C$49,2,0)</f>
        <v>2.2997016485550644E-4</v>
      </c>
      <c r="F11" s="9">
        <f>F7/VLOOKUP(F$6,'People Stats'!$B$25:$C$49,2,0)</f>
        <v>2.1576144834930776E-4</v>
      </c>
      <c r="G11" s="9">
        <f>G7/VLOOKUP(G$6,'People Stats'!$B$25:$C$49,2,0)</f>
        <v>1.8491879834052577E-4</v>
      </c>
      <c r="H11" s="9">
        <f>H7/VLOOKUP(H$6,'People Stats'!$B$25:$C$49,2,0)</f>
        <v>1.8521929555269029E-4</v>
      </c>
      <c r="I11" s="9">
        <f>I7/VLOOKUP(I$6,'People Stats'!$B$25:$C$49,2,0)</f>
        <v>1.6131955773065072E-4</v>
      </c>
      <c r="J11" s="9">
        <f>J7/VLOOKUP(J$6,'People Stats'!$B$25:$C$49,2,0)</f>
        <v>1.2434091445659873E-4</v>
      </c>
      <c r="K11" s="9">
        <f>K7/VLOOKUP(K$6,'People Stats'!$B$25:$C$49,2,0)</f>
        <v>2.0438927935159264E-4</v>
      </c>
      <c r="L11" s="44">
        <f>L7/VLOOKUP(L$6,'People Stats'!$B$25:$C$49,2,0)</f>
        <v>2.2032804832750093E-4</v>
      </c>
      <c r="Y11" s="241"/>
      <c r="AC11" s="241"/>
    </row>
    <row r="12" spans="2:29">
      <c r="B12" s="3" t="s">
        <v>271</v>
      </c>
      <c r="C12" s="9">
        <f>C8/VLOOKUP(C$6,'People Stats'!$B$25:$C$49,2,0)</f>
        <v>2.3579801623083859E-4</v>
      </c>
      <c r="D12" s="9">
        <f>D8/VLOOKUP(D$6,'People Stats'!$B$25:$C$49,2,0)</f>
        <v>2.3949701184154985E-4</v>
      </c>
      <c r="E12" s="9">
        <f>E8/VLOOKUP(E$6,'People Stats'!$B$25:$C$49,2,0)</f>
        <v>2.1929920076656722E-4</v>
      </c>
      <c r="F12" s="9">
        <f>F8/VLOOKUP(F$6,'People Stats'!$B$25:$C$49,2,0)</f>
        <v>2.1703940362087328E-4</v>
      </c>
      <c r="G12" s="9">
        <f>G8/VLOOKUP(G$6,'People Stats'!$B$25:$C$49,2,0)</f>
        <v>2.1222924093647715E-4</v>
      </c>
      <c r="H12" s="9">
        <f>H8/VLOOKUP(H$6,'People Stats'!$B$25:$C$49,2,0)</f>
        <v>1.8747057980802686E-4</v>
      </c>
      <c r="I12" s="9">
        <f>I8/VLOOKUP(I$6,'People Stats'!$B$25:$C$49,2,0)</f>
        <v>1.6434052323122469E-4</v>
      </c>
      <c r="J12" s="9">
        <f>J8/VLOOKUP(J$6,'People Stats'!$B$25:$C$49,2,0)</f>
        <v>1.6388604706067523E-4</v>
      </c>
      <c r="K12" s="9">
        <f>K8/VLOOKUP(K$6,'People Stats'!$B$25:$C$49,2,0)</f>
        <v>2.5137532058184381E-4</v>
      </c>
      <c r="L12" s="44">
        <f>L8/VLOOKUP(L$6,'People Stats'!$B$25:$C$49,2,0)</f>
        <v>2.4574299622685776E-4</v>
      </c>
      <c r="Y12" s="241"/>
      <c r="AC12" s="241"/>
    </row>
    <row r="13" spans="2:29">
      <c r="B13" s="3" t="s">
        <v>272</v>
      </c>
      <c r="C13" s="9">
        <f>C9/VLOOKUP(C$6,'People Stats'!$B$25:$C$49,2,0)</f>
        <v>9.2651036970243467E-5</v>
      </c>
      <c r="D13" s="9">
        <f>D9/VLOOKUP(D$6,'People Stats'!$B$25:$C$49,2,0)</f>
        <v>9.4421363666659255E-5</v>
      </c>
      <c r="E13" s="9">
        <f>E9/VLOOKUP(E$6,'People Stats'!$B$25:$C$49,2,0)</f>
        <v>9.9523073237657613E-5</v>
      </c>
      <c r="F13" s="9">
        <f>F9/VLOOKUP(F$6,'People Stats'!$B$25:$C$49,2,0)</f>
        <v>1.0713525026624068E-4</v>
      </c>
      <c r="G13" s="9">
        <f>G9/VLOOKUP(G$6,'People Stats'!$B$25:$C$49,2,0)</f>
        <v>1.309233431317364E-4</v>
      </c>
      <c r="H13" s="9">
        <f>H9/VLOOKUP(H$6,'People Stats'!$B$25:$C$49,2,0)</f>
        <v>1.5165469392767239E-4</v>
      </c>
      <c r="I13" s="9">
        <f>I9/VLOOKUP(I$6,'People Stats'!$B$25:$C$49,2,0)</f>
        <v>1.4138118542686242E-4</v>
      </c>
      <c r="J13" s="9">
        <f>J9/VLOOKUP(J$6,'People Stats'!$B$25:$C$49,2,0)</f>
        <v>1.4873691666010861E-4</v>
      </c>
      <c r="K13" s="9">
        <f>K9/VLOOKUP(K$6,'People Stats'!$B$25:$C$49,2,0)</f>
        <v>1.301904892421543E-4</v>
      </c>
      <c r="L13" s="44">
        <f>L9/VLOOKUP(L$6,'People Stats'!$B$25:$C$49,2,0)</f>
        <v>1.1690876033704131E-4</v>
      </c>
      <c r="Y13" s="241"/>
      <c r="AC13" s="241"/>
    </row>
    <row r="14" spans="2:29" ht="15.75" thickBot="1">
      <c r="B14" s="4" t="s">
        <v>273</v>
      </c>
      <c r="C14" s="244">
        <f>C10/VLOOKUP(C$6,'People Stats'!$B$25:$C$49,2,0)</f>
        <v>1.3097385031559964E-4</v>
      </c>
      <c r="D14" s="244">
        <f>D10/VLOOKUP(D$6,'People Stats'!$B$25:$C$49,2,0)</f>
        <v>1.6129390593410498E-4</v>
      </c>
      <c r="E14" s="244">
        <f>E10/VLOOKUP(E$6,'People Stats'!$B$25:$C$49,2,0)</f>
        <v>1.2064722663821076E-4</v>
      </c>
      <c r="F14" s="244">
        <f>F10/VLOOKUP(F$6,'People Stats'!$B$25:$C$49,2,0)</f>
        <v>1.4717784877529285E-4</v>
      </c>
      <c r="G14" s="244">
        <f>G10/VLOOKUP(G$6,'People Stats'!$B$25:$C$49,2,0)</f>
        <v>1.6469656221985949E-4</v>
      </c>
      <c r="H14" s="244">
        <f>H10/VLOOKUP(H$6,'People Stats'!$B$25:$C$49,2,0)</f>
        <v>2.0220625857022984E-4</v>
      </c>
      <c r="I14" s="244">
        <f>I10/VLOOKUP(I$6,'People Stats'!$B$25:$C$49,2,0)</f>
        <v>1.9213340583650534E-4</v>
      </c>
      <c r="J14" s="244">
        <f>J10/VLOOKUP(J$6,'People Stats'!$B$25:$C$49,2,0)</f>
        <v>2.0048005036594002E-4</v>
      </c>
      <c r="K14" s="244">
        <f>K10/VLOOKUP(K$6,'People Stats'!$B$25:$C$49,2,0)</f>
        <v>1.5152998296756004E-4</v>
      </c>
      <c r="L14" s="45">
        <f>L10/VLOOKUP(L$6,'People Stats'!$B$25:$C$49,2,0)</f>
        <v>1.2570624230220329E-4</v>
      </c>
      <c r="Y14" s="241"/>
      <c r="AC14" s="241"/>
    </row>
    <row r="15" spans="2:29">
      <c r="Y15" s="241"/>
    </row>
    <row r="16" spans="2:29">
      <c r="Y16" s="241"/>
    </row>
    <row r="17"/>
    <row r="18"/>
    <row r="19"/>
    <row r="20"/>
    <row r="21"/>
    <row r="22"/>
    <row r="23"/>
    <row r="24"/>
    <row r="25"/>
    <row r="26"/>
    <row r="27"/>
    <row r="28"/>
    <row r="29"/>
    <row r="30"/>
    <row r="31"/>
    <row r="32"/>
    <row r="33" spans="2:30"/>
    <row r="34" spans="2:30" ht="15.75" thickBot="1">
      <c r="B34" s="53" t="s">
        <v>274</v>
      </c>
    </row>
    <row r="35" spans="2:30" ht="15.75" thickBot="1">
      <c r="B35" s="161" t="s">
        <v>144</v>
      </c>
      <c r="C35" s="84">
        <v>2023</v>
      </c>
      <c r="D35" s="84">
        <v>2024</v>
      </c>
      <c r="E35" s="84">
        <v>2025</v>
      </c>
      <c r="F35" s="84">
        <v>2026</v>
      </c>
      <c r="G35" s="84">
        <v>2027</v>
      </c>
      <c r="H35" s="84">
        <v>2028</v>
      </c>
      <c r="I35" s="84">
        <v>2029</v>
      </c>
      <c r="J35" s="84">
        <v>2030</v>
      </c>
      <c r="K35" s="84">
        <v>2031</v>
      </c>
      <c r="L35" s="84">
        <v>2032</v>
      </c>
      <c r="M35" s="84">
        <v>2033</v>
      </c>
      <c r="N35" s="84">
        <v>2034</v>
      </c>
      <c r="O35" s="84">
        <v>2035</v>
      </c>
      <c r="P35" s="84">
        <v>2036</v>
      </c>
      <c r="Q35" s="84">
        <v>2037</v>
      </c>
      <c r="R35" s="84">
        <f t="shared" ref="R35:AD35" si="0">Q35+1</f>
        <v>2038</v>
      </c>
      <c r="S35" s="84">
        <f t="shared" si="0"/>
        <v>2039</v>
      </c>
      <c r="T35" s="84">
        <f t="shared" si="0"/>
        <v>2040</v>
      </c>
      <c r="U35" s="84">
        <f t="shared" si="0"/>
        <v>2041</v>
      </c>
      <c r="V35" s="84">
        <f t="shared" si="0"/>
        <v>2042</v>
      </c>
      <c r="W35" s="84">
        <f t="shared" si="0"/>
        <v>2043</v>
      </c>
      <c r="X35" s="84">
        <f t="shared" si="0"/>
        <v>2044</v>
      </c>
      <c r="Y35" s="84">
        <f t="shared" si="0"/>
        <v>2045</v>
      </c>
      <c r="Z35" s="84">
        <f t="shared" si="0"/>
        <v>2046</v>
      </c>
      <c r="AA35" s="84">
        <f t="shared" si="0"/>
        <v>2047</v>
      </c>
      <c r="AB35" s="84">
        <f t="shared" si="0"/>
        <v>2048</v>
      </c>
      <c r="AC35" s="84">
        <f t="shared" si="0"/>
        <v>2049</v>
      </c>
      <c r="AD35" s="85">
        <f t="shared" si="0"/>
        <v>2050</v>
      </c>
    </row>
    <row r="36" spans="2:30">
      <c r="B36" s="182" t="s">
        <v>134</v>
      </c>
      <c r="C36" s="183">
        <f>ROUNDUP(AVERAGE($H$11:$L$11)*VLOOKUP(C$35,'People Stats'!$B$25:$C$62,2,0)+(AVERAGE($H$11:$L$11)*VLOOKUP(C$35,'People Stats'!$B$25:$C$62,2,0)*Variables!$C$27),0)</f>
        <v>941</v>
      </c>
      <c r="D36" s="183">
        <f>ROUNDUP(AVERAGE($H$11:$L$11)*VLOOKUP(D$35,'People Stats'!$B$25:$C$62,2,0)+(AVERAGE($H$11:$L$11)*VLOOKUP(D$35,'People Stats'!$B$25:$C$62,2,0)*Variables!$C$27),0)</f>
        <v>954</v>
      </c>
      <c r="E36" s="183">
        <f>ROUNDUP(AVERAGE($H$11:$L$11)*VLOOKUP(E$35,'People Stats'!$B$25:$C$62,2,0)+(AVERAGE($H$11:$L$11)*VLOOKUP(E$35,'People Stats'!$B$25:$C$62,2,0)*Variables!$C$27),0)</f>
        <v>967</v>
      </c>
      <c r="F36" s="183">
        <f>ROUNDUP(AVERAGE($H$11:$L$11)*VLOOKUP(F$35,'People Stats'!$B$25:$C$62,2,0)+(AVERAGE($H$11:$L$11)*VLOOKUP(F$35,'People Stats'!$B$25:$C$62,2,0)*Variables!$C$27),0)</f>
        <v>980</v>
      </c>
      <c r="G36" s="183">
        <f>ROUNDUP(AVERAGE($H$11:$L$11)*VLOOKUP(G$35,'People Stats'!$B$25:$C$62,2,0)+(AVERAGE($H$11:$L$11)*VLOOKUP(G$35,'People Stats'!$B$25:$C$62,2,0)*Variables!$C$27),0)</f>
        <v>992</v>
      </c>
      <c r="H36" s="183">
        <f>ROUNDUP(AVERAGE($H$11:$L$11)*VLOOKUP(H$35,'People Stats'!$B$25:$C$62,2,0)+(AVERAGE($H$11:$L$11)*VLOOKUP(H$35,'People Stats'!$B$25:$C$62,2,0)*Variables!$C$27),0)</f>
        <v>1005</v>
      </c>
      <c r="I36" s="183">
        <f>ROUNDUP(AVERAGE($H$11:$L$11)*VLOOKUP(I$35,'People Stats'!$B$25:$C$62,2,0)+(AVERAGE($H$11:$L$11)*VLOOKUP(I$35,'People Stats'!$B$25:$C$62,2,0)*Variables!$C$27),0)</f>
        <v>1015</v>
      </c>
      <c r="J36" s="183">
        <f>ROUNDUP(AVERAGE($H$11:$L$11)*VLOOKUP(J$35,'People Stats'!$B$25:$C$62,2,0)+(AVERAGE($H$11:$L$11)*VLOOKUP(J$35,'People Stats'!$B$25:$C$62,2,0)*Variables!$C$27),0)</f>
        <v>1026</v>
      </c>
      <c r="K36" s="183">
        <f>ROUNDUP(AVERAGE($H$11:$L$11)*VLOOKUP(K$35,'People Stats'!$B$25:$C$62,2,0)+(AVERAGE($H$11:$L$11)*VLOOKUP(K$35,'People Stats'!$B$25:$C$62,2,0)*Variables!$C$27),0)</f>
        <v>1037</v>
      </c>
      <c r="L36" s="183">
        <f>ROUNDUP(AVERAGE($H$11:$L$11)*VLOOKUP(L$35,'People Stats'!$B$25:$C$62,2,0)+(AVERAGE($H$11:$L$11)*VLOOKUP(L$35,'People Stats'!$B$25:$C$62,2,0)*Variables!$C$27),0)</f>
        <v>1048</v>
      </c>
      <c r="M36" s="183">
        <f>ROUNDUP(AVERAGE($H$11:$L$11)*VLOOKUP(M$35,'People Stats'!$B$25:$C$62,2,0)+(AVERAGE($H$11:$L$11)*VLOOKUP(M$35,'People Stats'!$B$25:$C$62,2,0)*Variables!$C$27),0)</f>
        <v>1059</v>
      </c>
      <c r="N36" s="183">
        <f>ROUNDUP(AVERAGE($H$11:$L$11)*VLOOKUP(N$35,'People Stats'!$B$25:$C$62,2,0)+(AVERAGE($H$11:$L$11)*VLOOKUP(N$35,'People Stats'!$B$25:$C$62,2,0)*Variables!$C$27),0)</f>
        <v>1070</v>
      </c>
      <c r="O36" s="183">
        <f>ROUNDUP(AVERAGE($H$11:$L$11)*VLOOKUP(O$35,'People Stats'!$B$25:$C$62,2,0)+(AVERAGE($H$11:$L$11)*VLOOKUP(O$35,'People Stats'!$B$25:$C$62,2,0)*Variables!$C$27),0)</f>
        <v>1081</v>
      </c>
      <c r="P36" s="183">
        <f>ROUNDUP(AVERAGE($H$11:$L$11)*VLOOKUP(P$35,'People Stats'!$B$25:$C$62,2,0)+(AVERAGE($H$11:$L$11)*VLOOKUP(P$35,'People Stats'!$B$25:$C$62,2,0)*Variables!$C$27),0)</f>
        <v>1091</v>
      </c>
      <c r="Q36" s="183">
        <f>ROUNDUP(AVERAGE($H$11:$L$11)*VLOOKUP(Q$35,'People Stats'!$B$25:$C$62,2,0)+(AVERAGE($H$11:$L$11)*VLOOKUP(Q$35,'People Stats'!$B$25:$C$62,2,0)*Variables!$C$27),0)</f>
        <v>1102</v>
      </c>
      <c r="R36" s="183">
        <f>ROUNDUP(AVERAGE($H$11:$L$11)*VLOOKUP(R$35,'People Stats'!$B$25:$C$62,2,0)+(AVERAGE($H$11:$L$11)*VLOOKUP(R$35,'People Stats'!$B$25:$C$62,2,0)*Variables!$C$27),0)</f>
        <v>1122</v>
      </c>
      <c r="S36" s="183">
        <f>ROUNDUP(AVERAGE($H$11:$L$11)*VLOOKUP(S$35,'People Stats'!$B$25:$C$62,2,0)+(AVERAGE($H$11:$L$11)*VLOOKUP(S$35,'People Stats'!$B$25:$C$62,2,0)*Variables!$C$27),0)</f>
        <v>1134</v>
      </c>
      <c r="T36" s="183">
        <f>ROUNDUP(AVERAGE($H$11:$L$11)*VLOOKUP(T$35,'People Stats'!$B$25:$C$62,2,0)+(AVERAGE($H$11:$L$11)*VLOOKUP(T$35,'People Stats'!$B$25:$C$62,2,0)*Variables!$C$27),0)</f>
        <v>1147</v>
      </c>
      <c r="U36" s="183">
        <f>ROUNDUP(AVERAGE($H$11:$L$11)*VLOOKUP(U$35,'People Stats'!$B$25:$C$62,2,0)+(AVERAGE($H$11:$L$11)*VLOOKUP(U$35,'People Stats'!$B$25:$C$62,2,0)*Variables!$C$27),0)</f>
        <v>1159</v>
      </c>
      <c r="V36" s="183">
        <f>ROUNDUP(AVERAGE($H$11:$L$11)*VLOOKUP(V$35,'People Stats'!$B$25:$C$62,2,0)+(AVERAGE($H$11:$L$11)*VLOOKUP(V$35,'People Stats'!$B$25:$C$62,2,0)*Variables!$C$27),0)</f>
        <v>1171</v>
      </c>
      <c r="W36" s="183">
        <f>ROUNDUP(AVERAGE($H$11:$L$11)*VLOOKUP(W$35,'People Stats'!$B$25:$C$62,2,0)+(AVERAGE($H$11:$L$11)*VLOOKUP(W$35,'People Stats'!$B$25:$C$62,2,0)*Variables!$C$27),0)</f>
        <v>1183</v>
      </c>
      <c r="X36" s="183">
        <f>ROUNDUP(AVERAGE($H$11:$L$11)*VLOOKUP(X$35,'People Stats'!$B$25:$C$62,2,0)+(AVERAGE($H$11:$L$11)*VLOOKUP(X$35,'People Stats'!$B$25:$C$62,2,0)*Variables!$C$27),0)</f>
        <v>1195</v>
      </c>
      <c r="Y36" s="183">
        <f>ROUNDUP(AVERAGE($H$11:$L$11)*VLOOKUP(Y$35,'People Stats'!$B$25:$C$62,2,0)+(AVERAGE($H$11:$L$11)*VLOOKUP(Y$35,'People Stats'!$B$25:$C$62,2,0)*Variables!$C$27),0)</f>
        <v>1208</v>
      </c>
      <c r="Z36" s="183">
        <f>ROUNDUP(AVERAGE($H$11:$L$11)*VLOOKUP(Z$35,'People Stats'!$B$25:$C$62,2,0)+(AVERAGE($H$11:$L$11)*VLOOKUP(Z$35,'People Stats'!$B$25:$C$62,2,0)*Variables!$C$27),0)</f>
        <v>1220</v>
      </c>
      <c r="AA36" s="183">
        <f>ROUNDUP(AVERAGE($H$11:$L$11)*VLOOKUP(AA$35,'People Stats'!$B$25:$C$62,2,0)+(AVERAGE($H$11:$L$11)*VLOOKUP(AA$35,'People Stats'!$B$25:$C$62,2,0)*Variables!$C$27),0)</f>
        <v>1232</v>
      </c>
      <c r="AB36" s="183">
        <f>ROUNDUP(AVERAGE($H$11:$L$11)*VLOOKUP(AB$35,'People Stats'!$B$25:$C$62,2,0)+(AVERAGE($H$11:$L$11)*VLOOKUP(AB$35,'People Stats'!$B$25:$C$62,2,0)*Variables!$C$27),0)</f>
        <v>1244</v>
      </c>
      <c r="AC36" s="183">
        <f>ROUNDUP(AVERAGE($H$11:$L$11)*VLOOKUP(AC$35,'People Stats'!$B$25:$C$62,2,0)+(AVERAGE($H$11:$L$11)*VLOOKUP(AC$35,'People Stats'!$B$25:$C$62,2,0)*Variables!$C$27),0)</f>
        <v>1256</v>
      </c>
      <c r="AD36" s="245">
        <f>ROUNDUP(AVERAGE($H$11:$L$11)*VLOOKUP(AD$35,'People Stats'!$B$25:$C$62,2,0)+(AVERAGE($H$11:$L$11)*VLOOKUP(AD$35,'People Stats'!$B$25:$C$62,2,0)*Variables!$C$27),0)</f>
        <v>1269</v>
      </c>
    </row>
    <row r="37" spans="2:30" ht="16.5" customHeight="1">
      <c r="B37" s="3" t="s">
        <v>132</v>
      </c>
      <c r="C37" s="1">
        <f>ROUNDUP(AVERAGE($H$12:$L$12)*VLOOKUP(C$35,'People Stats'!$B$25:$C$62,2,0)+(AVERAGE($H$12:$L$12)*VLOOKUP(C$35,'People Stats'!$B$25:$C$62,2,0)*Variables!$C$27),0)</f>
        <v>1064</v>
      </c>
      <c r="D37" s="1">
        <f>ROUNDUP(AVERAGE($H$12:$L$12)*VLOOKUP(D$35,'People Stats'!$B$25:$C$62,2,0)+(AVERAGE($H$12:$L$12)*VLOOKUP(D$35,'People Stats'!$B$25:$C$62,2,0)*Variables!$C$27),0)</f>
        <v>1079</v>
      </c>
      <c r="E37" s="1">
        <f>ROUNDUP(AVERAGE($H$12:$L$12)*VLOOKUP(E$35,'People Stats'!$B$25:$C$62,2,0)+(AVERAGE($H$12:$L$12)*VLOOKUP(E$35,'People Stats'!$B$25:$C$62,2,0)*Variables!$C$27),0)</f>
        <v>1093</v>
      </c>
      <c r="F37" s="1">
        <f>ROUNDUP(AVERAGE($H$12:$L$12)*VLOOKUP(F$35,'People Stats'!$B$25:$C$62,2,0)+(AVERAGE($H$12:$L$12)*VLOOKUP(F$35,'People Stats'!$B$25:$C$62,2,0)*Variables!$C$27),0)</f>
        <v>1108</v>
      </c>
      <c r="G37" s="1">
        <f>ROUNDUP(AVERAGE($H$12:$L$12)*VLOOKUP(G$35,'People Stats'!$B$25:$C$62,2,0)+(AVERAGE($H$12:$L$12)*VLOOKUP(G$35,'People Stats'!$B$25:$C$62,2,0)*Variables!$C$27),0)</f>
        <v>1122</v>
      </c>
      <c r="H37" s="1">
        <f>ROUNDUP(AVERAGE($H$12:$L$12)*VLOOKUP(H$35,'People Stats'!$B$25:$C$62,2,0)+(AVERAGE($H$12:$L$12)*VLOOKUP(H$35,'People Stats'!$B$25:$C$62,2,0)*Variables!$C$27),0)</f>
        <v>1136</v>
      </c>
      <c r="I37" s="1">
        <f>ROUNDUP(AVERAGE($H$12:$L$12)*VLOOKUP(I$35,'People Stats'!$B$25:$C$62,2,0)+(AVERAGE($H$12:$L$12)*VLOOKUP(I$35,'People Stats'!$B$25:$C$62,2,0)*Variables!$C$27),0)</f>
        <v>1148</v>
      </c>
      <c r="J37" s="1">
        <f>ROUNDUP(AVERAGE($H$12:$L$12)*VLOOKUP(J$35,'People Stats'!$B$25:$C$62,2,0)+(AVERAGE($H$12:$L$12)*VLOOKUP(J$35,'People Stats'!$B$25:$C$62,2,0)*Variables!$C$27),0)</f>
        <v>1161</v>
      </c>
      <c r="K37" s="1">
        <f>ROUNDUP(AVERAGE($H$12:$L$12)*VLOOKUP(K$35,'People Stats'!$B$25:$C$62,2,0)+(AVERAGE($H$12:$L$12)*VLOOKUP(K$35,'People Stats'!$B$25:$C$62,2,0)*Variables!$C$27),0)</f>
        <v>1173</v>
      </c>
      <c r="L37" s="1">
        <f>ROUNDUP(AVERAGE($H$12:$L$12)*VLOOKUP(L$35,'People Stats'!$B$25:$C$62,2,0)+(AVERAGE($H$12:$L$12)*VLOOKUP(L$35,'People Stats'!$B$25:$C$62,2,0)*Variables!$C$27),0)</f>
        <v>1185</v>
      </c>
      <c r="M37" s="1">
        <f>ROUNDUP(AVERAGE($H$12:$L$12)*VLOOKUP(M$35,'People Stats'!$B$25:$C$62,2,0)+(AVERAGE($H$12:$L$12)*VLOOKUP(M$35,'People Stats'!$B$25:$C$62,2,0)*Variables!$C$27),0)</f>
        <v>1197</v>
      </c>
      <c r="N37" s="1">
        <f>ROUNDUP(AVERAGE($H$12:$L$12)*VLOOKUP(N$35,'People Stats'!$B$25:$C$62,2,0)+(AVERAGE($H$12:$L$12)*VLOOKUP(N$35,'People Stats'!$B$25:$C$62,2,0)*Variables!$C$27),0)</f>
        <v>1210</v>
      </c>
      <c r="O37" s="1">
        <f>ROUNDUP(AVERAGE($H$12:$L$12)*VLOOKUP(O$35,'People Stats'!$B$25:$C$62,2,0)+(AVERAGE($H$12:$L$12)*VLOOKUP(O$35,'People Stats'!$B$25:$C$62,2,0)*Variables!$C$27),0)</f>
        <v>1222</v>
      </c>
      <c r="P37" s="1">
        <f>ROUNDUP(AVERAGE($H$12:$L$12)*VLOOKUP(P$35,'People Stats'!$B$25:$C$62,2,0)+(AVERAGE($H$12:$L$12)*VLOOKUP(P$35,'People Stats'!$B$25:$C$62,2,0)*Variables!$C$27),0)</f>
        <v>1234</v>
      </c>
      <c r="Q37" s="1">
        <f>ROUNDUP(AVERAGE($H$12:$L$12)*VLOOKUP(Q$35,'People Stats'!$B$25:$C$62,2,0)+(AVERAGE($H$12:$L$12)*VLOOKUP(Q$35,'People Stats'!$B$25:$C$62,2,0)*Variables!$C$27),0)</f>
        <v>1246</v>
      </c>
      <c r="R37" s="1">
        <f>ROUNDUP(AVERAGE($H$12:$L$12)*VLOOKUP(R$35,'People Stats'!$B$25:$C$62,2,0)+(AVERAGE($H$12:$L$12)*VLOOKUP(R$35,'People Stats'!$B$25:$C$62,2,0)*Variables!$C$27),0)</f>
        <v>1269</v>
      </c>
      <c r="S37" s="1">
        <f>ROUNDUP(AVERAGE($H$12:$L$12)*VLOOKUP(S$35,'People Stats'!$B$25:$C$62,2,0)+(AVERAGE($H$12:$L$12)*VLOOKUP(S$35,'People Stats'!$B$25:$C$62,2,0)*Variables!$C$27),0)</f>
        <v>1283</v>
      </c>
      <c r="T37" s="1">
        <f>ROUNDUP(AVERAGE($H$12:$L$12)*VLOOKUP(T$35,'People Stats'!$B$25:$C$62,2,0)+(AVERAGE($H$12:$L$12)*VLOOKUP(T$35,'People Stats'!$B$25:$C$62,2,0)*Variables!$C$27),0)</f>
        <v>1297</v>
      </c>
      <c r="U37" s="1">
        <f>ROUNDUP(AVERAGE($H$12:$L$12)*VLOOKUP(U$35,'People Stats'!$B$25:$C$62,2,0)+(AVERAGE($H$12:$L$12)*VLOOKUP(U$35,'People Stats'!$B$25:$C$62,2,0)*Variables!$C$27),0)</f>
        <v>1310</v>
      </c>
      <c r="V37" s="1">
        <f>ROUNDUP(AVERAGE($H$12:$L$12)*VLOOKUP(V$35,'People Stats'!$B$25:$C$62,2,0)+(AVERAGE($H$12:$L$12)*VLOOKUP(V$35,'People Stats'!$B$25:$C$62,2,0)*Variables!$C$27),0)</f>
        <v>1324</v>
      </c>
      <c r="W37" s="1">
        <f>ROUNDUP(AVERAGE($H$12:$L$12)*VLOOKUP(W$35,'People Stats'!$B$25:$C$62,2,0)+(AVERAGE($H$12:$L$12)*VLOOKUP(W$35,'People Stats'!$B$25:$C$62,2,0)*Variables!$C$27),0)</f>
        <v>1338</v>
      </c>
      <c r="X37" s="1">
        <f>ROUNDUP(AVERAGE($H$12:$L$12)*VLOOKUP(X$35,'People Stats'!$B$25:$C$62,2,0)+(AVERAGE($H$12:$L$12)*VLOOKUP(X$35,'People Stats'!$B$25:$C$62,2,0)*Variables!$C$27),0)</f>
        <v>1352</v>
      </c>
      <c r="Y37" s="1">
        <f>ROUNDUP(AVERAGE($H$12:$L$12)*VLOOKUP(Y$35,'People Stats'!$B$25:$C$62,2,0)+(AVERAGE($H$12:$L$12)*VLOOKUP(Y$35,'People Stats'!$B$25:$C$62,2,0)*Variables!$C$27),0)</f>
        <v>1366</v>
      </c>
      <c r="Z37" s="1">
        <f>ROUNDUP(AVERAGE($H$12:$L$12)*VLOOKUP(Z$35,'People Stats'!$B$25:$C$62,2,0)+(AVERAGE($H$12:$L$12)*VLOOKUP(Z$35,'People Stats'!$B$25:$C$62,2,0)*Variables!$C$27),0)</f>
        <v>1379</v>
      </c>
      <c r="AA37" s="1">
        <f>ROUNDUP(AVERAGE($H$12:$L$12)*VLOOKUP(AA$35,'People Stats'!$B$25:$C$62,2,0)+(AVERAGE($H$12:$L$12)*VLOOKUP(AA$35,'People Stats'!$B$25:$C$62,2,0)*Variables!$C$27),0)</f>
        <v>1393</v>
      </c>
      <c r="AB37" s="1">
        <f>ROUNDUP(AVERAGE($H$12:$L$12)*VLOOKUP(AB$35,'People Stats'!$B$25:$C$62,2,0)+(AVERAGE($H$12:$L$12)*VLOOKUP(AB$35,'People Stats'!$B$25:$C$62,2,0)*Variables!$C$27),0)</f>
        <v>1407</v>
      </c>
      <c r="AC37" s="1">
        <f>ROUNDUP(AVERAGE($H$12:$L$12)*VLOOKUP(AC$35,'People Stats'!$B$25:$C$62,2,0)+(AVERAGE($H$12:$L$12)*VLOOKUP(AC$35,'People Stats'!$B$25:$C$62,2,0)*Variables!$C$27),0)</f>
        <v>1421</v>
      </c>
      <c r="AD37" s="184">
        <f>ROUNDUP(AVERAGE($H$12:$L$12)*VLOOKUP(AD$35,'People Stats'!$B$25:$C$62,2,0)+(AVERAGE($H$12:$L$12)*VLOOKUP(AD$35,'People Stats'!$B$25:$C$62,2,0)*Variables!$C$27),0)</f>
        <v>1435</v>
      </c>
    </row>
    <row r="38" spans="2:30">
      <c r="B38" s="3" t="s">
        <v>129</v>
      </c>
      <c r="C38" s="1">
        <f>ROUNDUP(AVERAGE($H$13:$L$13)*VLOOKUP(C$35,'People Stats'!$B$25:$C$62,2,0)*AVERAGE(Variables!$E$19,Variables!$E$20)+(AVERAGE($H$13:$L$13)*VLOOKUP(C$35,'People Stats'!$B$25:$C$62,2,0)*Variables!$C$27),0)</f>
        <v>724</v>
      </c>
      <c r="D38" s="1">
        <f>ROUNDUP(AVERAGE($H$13:$L$13)*VLOOKUP(D$35,'People Stats'!$B$25:$C$62,2,0)*AVERAGE(Variables!$E$19,Variables!$E$20)+(AVERAGE($H$13:$L$13)*VLOOKUP(D$35,'People Stats'!$B$25:$C$62,2,0)*Variables!$C$27),0)</f>
        <v>734</v>
      </c>
      <c r="E38" s="1">
        <f>ROUNDUP(AVERAGE($H$13:$L$13)*VLOOKUP(E$35,'People Stats'!$B$25:$C$62,2,0)*AVERAGE(Variables!$E$19,Variables!$E$20)+(AVERAGE($H$13:$L$13)*VLOOKUP(E$35,'People Stats'!$B$25:$C$62,2,0)*Variables!$C$27),0)</f>
        <v>744</v>
      </c>
      <c r="F38" s="1">
        <f>ROUNDUP(AVERAGE($H$13:$L$13)*VLOOKUP(F$35,'People Stats'!$B$25:$C$62,2,0)*AVERAGE(Variables!$E$19,Variables!$E$20)+(AVERAGE($H$13:$L$13)*VLOOKUP(F$35,'People Stats'!$B$25:$C$62,2,0)*Variables!$C$27),0)</f>
        <v>754</v>
      </c>
      <c r="G38" s="1">
        <f>ROUNDUP(AVERAGE($H$13:$L$13)*VLOOKUP(G$35,'People Stats'!$B$25:$C$62,2,0)*AVERAGE(Variables!$E$19,Variables!$E$20)+(AVERAGE($H$13:$L$13)*VLOOKUP(G$35,'People Stats'!$B$25:$C$62,2,0)*Variables!$C$27),0)</f>
        <v>763</v>
      </c>
      <c r="H38" s="1">
        <f>ROUNDUP(AVERAGE($H$13:$L$13)*VLOOKUP(H$35,'People Stats'!$B$25:$C$62,2,0)*AVERAGE(Variables!$E$19,Variables!$E$20)+(AVERAGE($H$13:$L$13)*VLOOKUP(H$35,'People Stats'!$B$25:$C$62,2,0)*Variables!$C$27),0)</f>
        <v>773</v>
      </c>
      <c r="I38" s="1">
        <f>ROUNDUP(AVERAGE($H$13:$L$13)*VLOOKUP(I$35,'People Stats'!$B$25:$C$62,2,0)*AVERAGE(Variables!$E$19,Variables!$E$20)+(AVERAGE($H$13:$L$13)*VLOOKUP(I$35,'People Stats'!$B$25:$C$62,2,0)*Variables!$C$27),0)</f>
        <v>781</v>
      </c>
      <c r="J38" s="1">
        <f>ROUNDUP(AVERAGE($H$13:$L$13)*VLOOKUP(J$35,'People Stats'!$B$25:$C$62,2,0)*AVERAGE(Variables!$E$19,Variables!$E$20)+(AVERAGE($H$13:$L$13)*VLOOKUP(J$35,'People Stats'!$B$25:$C$62,2,0)*Variables!$C$27),0)</f>
        <v>789</v>
      </c>
      <c r="K38" s="1">
        <f>ROUNDUP(AVERAGE($H$13:$L$13)*VLOOKUP(K$35,'People Stats'!$B$25:$C$62,2,0)*AVERAGE(Variables!$E$19,Variables!$E$20)+(AVERAGE($H$13:$L$13)*VLOOKUP(K$35,'People Stats'!$B$25:$C$62,2,0)*Variables!$C$27),0)</f>
        <v>798</v>
      </c>
      <c r="L38" s="1">
        <f>ROUNDUP(AVERAGE($H$13:$L$13)*VLOOKUP(L$35,'People Stats'!$B$25:$C$62,2,0)*AVERAGE(Variables!$E$19,Variables!$E$20)+(AVERAGE($H$13:$L$13)*VLOOKUP(L$35,'People Stats'!$B$25:$C$62,2,0)*Variables!$C$27),0)</f>
        <v>806</v>
      </c>
      <c r="M38" s="1">
        <f>ROUNDUP(AVERAGE($H$13:$L$13)*VLOOKUP(M$35,'People Stats'!$B$25:$C$62,2,0)*AVERAGE(Variables!$E$19,Variables!$E$20)+(AVERAGE($H$13:$L$13)*VLOOKUP(M$35,'People Stats'!$B$25:$C$62,2,0)*Variables!$C$27),0)</f>
        <v>815</v>
      </c>
      <c r="N38" s="1">
        <f>ROUNDUP(AVERAGE($H$13:$L$13)*VLOOKUP(N$35,'People Stats'!$B$25:$C$62,2,0)*AVERAGE(Variables!$E$19,Variables!$E$20)+(AVERAGE($H$13:$L$13)*VLOOKUP(N$35,'People Stats'!$B$25:$C$62,2,0)*Variables!$C$27),0)</f>
        <v>823</v>
      </c>
      <c r="O38" s="1">
        <f>ROUNDUP(AVERAGE($H$13:$L$13)*VLOOKUP(O$35,'People Stats'!$B$25:$C$62,2,0)*AVERAGE(Variables!$E$19,Variables!$E$20)+(AVERAGE($H$13:$L$13)*VLOOKUP(O$35,'People Stats'!$B$25:$C$62,2,0)*Variables!$C$27),0)</f>
        <v>831</v>
      </c>
      <c r="P38" s="1">
        <f>ROUNDUP(AVERAGE($H$13:$L$13)*VLOOKUP(P$35,'People Stats'!$B$25:$C$62,2,0)*AVERAGE(Variables!$E$19,Variables!$E$20)+(AVERAGE($H$13:$L$13)*VLOOKUP(P$35,'People Stats'!$B$25:$C$62,2,0)*Variables!$C$27),0)</f>
        <v>840</v>
      </c>
      <c r="Q38" s="1">
        <f>ROUNDUP(AVERAGE($H$13:$L$13)*VLOOKUP(Q$35,'People Stats'!$B$25:$C$62,2,0)*AVERAGE(Variables!$E$19,Variables!$E$20)+(AVERAGE($H$13:$L$13)*VLOOKUP(Q$35,'People Stats'!$B$25:$C$62,2,0)*Variables!$C$27),0)</f>
        <v>848</v>
      </c>
      <c r="R38" s="1">
        <f>ROUNDUP(AVERAGE($H$13:$L$13)*VLOOKUP(R$35,'People Stats'!$B$25:$C$62,2,0)*AVERAGE(Variables!$E$19,Variables!$E$20)+(AVERAGE($H$13:$L$13)*VLOOKUP(R$35,'People Stats'!$B$25:$C$62,2,0)*Variables!$C$27),0)</f>
        <v>863</v>
      </c>
      <c r="S38" s="1">
        <f>ROUNDUP(AVERAGE($H$13:$L$13)*VLOOKUP(S$35,'People Stats'!$B$25:$C$62,2,0)*AVERAGE(Variables!$E$19,Variables!$E$20)+(AVERAGE($H$13:$L$13)*VLOOKUP(S$35,'People Stats'!$B$25:$C$62,2,0)*Variables!$C$27),0)</f>
        <v>873</v>
      </c>
      <c r="T38" s="1">
        <f>ROUNDUP(AVERAGE($H$13:$L$13)*VLOOKUP(T$35,'People Stats'!$B$25:$C$62,2,0)*AVERAGE(Variables!$E$19,Variables!$E$20)+(AVERAGE($H$13:$L$13)*VLOOKUP(T$35,'People Stats'!$B$25:$C$62,2,0)*Variables!$C$27),0)</f>
        <v>882</v>
      </c>
      <c r="U38" s="1">
        <f>ROUNDUP(AVERAGE($H$13:$L$13)*VLOOKUP(U$35,'People Stats'!$B$25:$C$62,2,0)*AVERAGE(Variables!$E$19,Variables!$E$20)+(AVERAGE($H$13:$L$13)*VLOOKUP(U$35,'People Stats'!$B$25:$C$62,2,0)*Variables!$C$27),0)</f>
        <v>891</v>
      </c>
      <c r="V38" s="1">
        <f>ROUNDUP(AVERAGE($H$13:$L$13)*VLOOKUP(V$35,'People Stats'!$B$25:$C$62,2,0)*AVERAGE(Variables!$E$19,Variables!$E$20)+(AVERAGE($H$13:$L$13)*VLOOKUP(V$35,'People Stats'!$B$25:$C$62,2,0)*Variables!$C$27),0)</f>
        <v>901</v>
      </c>
      <c r="W38" s="1">
        <f>ROUNDUP(AVERAGE($H$13:$L$13)*VLOOKUP(W$35,'People Stats'!$B$25:$C$62,2,0)*AVERAGE(Variables!$E$19,Variables!$E$20)+(AVERAGE($H$13:$L$13)*VLOOKUP(W$35,'People Stats'!$B$25:$C$62,2,0)*Variables!$C$27),0)</f>
        <v>910</v>
      </c>
      <c r="X38" s="1">
        <f>ROUNDUP(AVERAGE($H$13:$L$13)*VLOOKUP(X$35,'People Stats'!$B$25:$C$62,2,0)*AVERAGE(Variables!$E$19,Variables!$E$20)+(AVERAGE($H$13:$L$13)*VLOOKUP(X$35,'People Stats'!$B$25:$C$62,2,0)*Variables!$C$27),0)</f>
        <v>920</v>
      </c>
      <c r="Y38" s="1">
        <f>ROUNDUP(AVERAGE($H$13:$L$13)*VLOOKUP(Y$35,'People Stats'!$B$25:$C$62,2,0)*AVERAGE(Variables!$E$19,Variables!$E$20)+(AVERAGE($H$13:$L$13)*VLOOKUP(Y$35,'People Stats'!$B$25:$C$62,2,0)*Variables!$C$27),0)</f>
        <v>929</v>
      </c>
      <c r="Z38" s="1">
        <f>ROUNDUP(AVERAGE($H$13:$L$13)*VLOOKUP(Z$35,'People Stats'!$B$25:$C$62,2,0)*AVERAGE(Variables!$E$19,Variables!$E$20)+(AVERAGE($H$13:$L$13)*VLOOKUP(Z$35,'People Stats'!$B$25:$C$62,2,0)*Variables!$C$27),0)</f>
        <v>938</v>
      </c>
      <c r="AA38" s="1">
        <f>ROUNDUP(AVERAGE($H$13:$L$13)*VLOOKUP(AA$35,'People Stats'!$B$25:$C$62,2,0)*AVERAGE(Variables!$E$19,Variables!$E$20)+(AVERAGE($H$13:$L$13)*VLOOKUP(AA$35,'People Stats'!$B$25:$C$62,2,0)*Variables!$C$27),0)</f>
        <v>948</v>
      </c>
      <c r="AB38" s="1">
        <f>ROUNDUP(AVERAGE($H$13:$L$13)*VLOOKUP(AB$35,'People Stats'!$B$25:$C$62,2,0)*AVERAGE(Variables!$E$19,Variables!$E$20)+(AVERAGE($H$13:$L$13)*VLOOKUP(AB$35,'People Stats'!$B$25:$C$62,2,0)*Variables!$C$27),0)</f>
        <v>957</v>
      </c>
      <c r="AC38" s="1">
        <f>ROUNDUP(AVERAGE($H$13:$L$13)*VLOOKUP(AC$35,'People Stats'!$B$25:$C$62,2,0)*AVERAGE(Variables!$E$19,Variables!$E$20)+(AVERAGE($H$13:$L$13)*VLOOKUP(AC$35,'People Stats'!$B$25:$C$62,2,0)*Variables!$C$27),0)</f>
        <v>967</v>
      </c>
      <c r="AD38" s="184">
        <f>ROUNDUP(AVERAGE($H$13:$L$13)*VLOOKUP(AD$35,'People Stats'!$B$25:$C$62,2,0)*AVERAGE(Variables!$E$19,Variables!$E$20)+(AVERAGE($H$13:$L$13)*VLOOKUP(AD$35,'People Stats'!$B$25:$C$62,2,0)*Variables!$C$27),0)</f>
        <v>976</v>
      </c>
    </row>
    <row r="39" spans="2:30" ht="15.75" thickBot="1">
      <c r="B39" s="4" t="s">
        <v>131</v>
      </c>
      <c r="C39" s="185">
        <f>ROUNDUP(AVERAGE($H$14:$L$14)*VLOOKUP(C$35,'People Stats'!$B$25:$C$62,2,0)*AVERAGE(Variables!$E$19,Variables!$E$20)+(AVERAGE($H$14:$L$14)*VLOOKUP(C$35,'People Stats'!$B$25:$C$62,2,0)*Variables!$C$27),0)</f>
        <v>916</v>
      </c>
      <c r="D39" s="185">
        <f>ROUNDUP(AVERAGE($H$14:$L$14)*VLOOKUP(D$35,'People Stats'!$B$25:$C$62,2,0)*AVERAGE(Variables!$E$19,Variables!$E$20)+(AVERAGE($H$14:$L$14)*VLOOKUP(D$35,'People Stats'!$B$25:$C$62,2,0)*Variables!$C$27),0)</f>
        <v>929</v>
      </c>
      <c r="E39" s="185">
        <f>ROUNDUP(AVERAGE($H$14:$L$14)*VLOOKUP(E$35,'People Stats'!$B$25:$C$62,2,0)*AVERAGE(Variables!$E$19,Variables!$E$20)+(AVERAGE($H$14:$L$14)*VLOOKUP(E$35,'People Stats'!$B$25:$C$62,2,0)*Variables!$C$27),0)</f>
        <v>941</v>
      </c>
      <c r="F39" s="185">
        <f>ROUNDUP(AVERAGE($H$14:$L$14)*VLOOKUP(F$35,'People Stats'!$B$25:$C$62,2,0)*AVERAGE(Variables!$E$19,Variables!$E$20)+(AVERAGE($H$14:$L$14)*VLOOKUP(F$35,'People Stats'!$B$25:$C$62,2,0)*Variables!$C$27),0)</f>
        <v>954</v>
      </c>
      <c r="G39" s="185">
        <f>ROUNDUP(AVERAGE($H$14:$L$14)*VLOOKUP(G$35,'People Stats'!$B$25:$C$62,2,0)*AVERAGE(Variables!$E$19,Variables!$E$20)+(AVERAGE($H$14:$L$14)*VLOOKUP(G$35,'People Stats'!$B$25:$C$62,2,0)*Variables!$C$27),0)</f>
        <v>966</v>
      </c>
      <c r="H39" s="185">
        <f>ROUNDUP(AVERAGE($H$14:$L$14)*VLOOKUP(H$35,'People Stats'!$B$25:$C$62,2,0)*AVERAGE(Variables!$E$19,Variables!$E$20)+(AVERAGE($H$14:$L$14)*VLOOKUP(H$35,'People Stats'!$B$25:$C$62,2,0)*Variables!$C$27),0)</f>
        <v>978</v>
      </c>
      <c r="I39" s="185">
        <f>ROUNDUP(AVERAGE($H$14:$L$14)*VLOOKUP(I$35,'People Stats'!$B$25:$C$62,2,0)*AVERAGE(Variables!$E$19,Variables!$E$20)+(AVERAGE($H$14:$L$14)*VLOOKUP(I$35,'People Stats'!$B$25:$C$62,2,0)*Variables!$C$27),0)</f>
        <v>989</v>
      </c>
      <c r="J39" s="185">
        <f>ROUNDUP(AVERAGE($H$14:$L$14)*VLOOKUP(J$35,'People Stats'!$B$25:$C$62,2,0)*AVERAGE(Variables!$E$19,Variables!$E$20)+(AVERAGE($H$14:$L$14)*VLOOKUP(J$35,'People Stats'!$B$25:$C$62,2,0)*Variables!$C$27),0)</f>
        <v>999</v>
      </c>
      <c r="K39" s="185">
        <f>ROUNDUP(AVERAGE($H$14:$L$14)*VLOOKUP(K$35,'People Stats'!$B$25:$C$62,2,0)*AVERAGE(Variables!$E$19,Variables!$E$20)+(AVERAGE($H$14:$L$14)*VLOOKUP(K$35,'People Stats'!$B$25:$C$62,2,0)*Variables!$C$27),0)</f>
        <v>1010</v>
      </c>
      <c r="L39" s="185">
        <f>ROUNDUP(AVERAGE($H$14:$L$14)*VLOOKUP(L$35,'People Stats'!$B$25:$C$62,2,0)*AVERAGE(Variables!$E$19,Variables!$E$20)+(AVERAGE($H$14:$L$14)*VLOOKUP(L$35,'People Stats'!$B$25:$C$62,2,0)*Variables!$C$27),0)</f>
        <v>1020</v>
      </c>
      <c r="M39" s="185">
        <f>ROUNDUP(AVERAGE($H$14:$L$14)*VLOOKUP(M$35,'People Stats'!$B$25:$C$62,2,0)*AVERAGE(Variables!$E$19,Variables!$E$20)+(AVERAGE($H$14:$L$14)*VLOOKUP(M$35,'People Stats'!$B$25:$C$62,2,0)*Variables!$C$27),0)</f>
        <v>1031</v>
      </c>
      <c r="N39" s="185">
        <f>ROUNDUP(AVERAGE($H$14:$L$14)*VLOOKUP(N$35,'People Stats'!$B$25:$C$62,2,0)*AVERAGE(Variables!$E$19,Variables!$E$20)+(AVERAGE($H$14:$L$14)*VLOOKUP(N$35,'People Stats'!$B$25:$C$62,2,0)*Variables!$C$27),0)</f>
        <v>1042</v>
      </c>
      <c r="O39" s="185">
        <f>ROUNDUP(AVERAGE($H$14:$L$14)*VLOOKUP(O$35,'People Stats'!$B$25:$C$62,2,0)*AVERAGE(Variables!$E$19,Variables!$E$20)+(AVERAGE($H$14:$L$14)*VLOOKUP(O$35,'People Stats'!$B$25:$C$62,2,0)*Variables!$C$27),0)</f>
        <v>1052</v>
      </c>
      <c r="P39" s="185">
        <f>ROUNDUP(AVERAGE($H$14:$L$14)*VLOOKUP(P$35,'People Stats'!$B$25:$C$62,2,0)*AVERAGE(Variables!$E$19,Variables!$E$20)+(AVERAGE($H$14:$L$14)*VLOOKUP(P$35,'People Stats'!$B$25:$C$62,2,0)*Variables!$C$27),0)</f>
        <v>1063</v>
      </c>
      <c r="Q39" s="185">
        <f>ROUNDUP(AVERAGE($H$14:$L$14)*VLOOKUP(Q$35,'People Stats'!$B$25:$C$62,2,0)*AVERAGE(Variables!$E$19,Variables!$E$20)+(AVERAGE($H$14:$L$14)*VLOOKUP(Q$35,'People Stats'!$B$25:$C$62,2,0)*Variables!$C$27),0)</f>
        <v>1073</v>
      </c>
      <c r="R39" s="185">
        <f>ROUNDUP(AVERAGE($H$14:$L$14)*VLOOKUP(R$35,'People Stats'!$B$25:$C$62,2,0)*AVERAGE(Variables!$E$19,Variables!$E$20)+(AVERAGE($H$14:$L$14)*VLOOKUP(R$35,'People Stats'!$B$25:$C$62,2,0)*Variables!$C$27),0)</f>
        <v>1093</v>
      </c>
      <c r="S39" s="185">
        <f>ROUNDUP(AVERAGE($H$14:$L$14)*VLOOKUP(S$35,'People Stats'!$B$25:$C$62,2,0)*AVERAGE(Variables!$E$19,Variables!$E$20)+(AVERAGE($H$14:$L$14)*VLOOKUP(S$35,'People Stats'!$B$25:$C$62,2,0)*Variables!$C$27),0)</f>
        <v>1105</v>
      </c>
      <c r="T39" s="185">
        <f>ROUNDUP(AVERAGE($H$14:$L$14)*VLOOKUP(T$35,'People Stats'!$B$25:$C$62,2,0)*AVERAGE(Variables!$E$19,Variables!$E$20)+(AVERAGE($H$14:$L$14)*VLOOKUP(T$35,'People Stats'!$B$25:$C$62,2,0)*Variables!$C$27),0)</f>
        <v>1116</v>
      </c>
      <c r="U39" s="185">
        <f>ROUNDUP(AVERAGE($H$14:$L$14)*VLOOKUP(U$35,'People Stats'!$B$25:$C$62,2,0)*AVERAGE(Variables!$E$19,Variables!$E$20)+(AVERAGE($H$14:$L$14)*VLOOKUP(U$35,'People Stats'!$B$25:$C$62,2,0)*Variables!$C$27),0)</f>
        <v>1128</v>
      </c>
      <c r="V39" s="185">
        <f>ROUNDUP(AVERAGE($H$14:$L$14)*VLOOKUP(V$35,'People Stats'!$B$25:$C$62,2,0)*AVERAGE(Variables!$E$19,Variables!$E$20)+(AVERAGE($H$14:$L$14)*VLOOKUP(V$35,'People Stats'!$B$25:$C$62,2,0)*Variables!$C$27),0)</f>
        <v>1140</v>
      </c>
      <c r="W39" s="185">
        <f>ROUNDUP(AVERAGE($H$14:$L$14)*VLOOKUP(W$35,'People Stats'!$B$25:$C$62,2,0)*AVERAGE(Variables!$E$19,Variables!$E$20)+(AVERAGE($H$14:$L$14)*VLOOKUP(W$35,'People Stats'!$B$25:$C$62,2,0)*Variables!$C$27),0)</f>
        <v>1152</v>
      </c>
      <c r="X39" s="185">
        <f>ROUNDUP(AVERAGE($H$14:$L$14)*VLOOKUP(X$35,'People Stats'!$B$25:$C$62,2,0)*AVERAGE(Variables!$E$19,Variables!$E$20)+(AVERAGE($H$14:$L$14)*VLOOKUP(X$35,'People Stats'!$B$25:$C$62,2,0)*Variables!$C$27),0)</f>
        <v>1164</v>
      </c>
      <c r="Y39" s="185">
        <f>ROUNDUP(AVERAGE($H$14:$L$14)*VLOOKUP(Y$35,'People Stats'!$B$25:$C$62,2,0)*AVERAGE(Variables!$E$19,Variables!$E$20)+(AVERAGE($H$14:$L$14)*VLOOKUP(Y$35,'People Stats'!$B$25:$C$62,2,0)*Variables!$C$27),0)</f>
        <v>1176</v>
      </c>
      <c r="Z39" s="185">
        <f>ROUNDUP(AVERAGE($H$14:$L$14)*VLOOKUP(Z$35,'People Stats'!$B$25:$C$62,2,0)*AVERAGE(Variables!$E$19,Variables!$E$20)+(AVERAGE($H$14:$L$14)*VLOOKUP(Z$35,'People Stats'!$B$25:$C$62,2,0)*Variables!$C$27),0)</f>
        <v>1188</v>
      </c>
      <c r="AA39" s="185">
        <f>ROUNDUP(AVERAGE($H$14:$L$14)*VLOOKUP(AA$35,'People Stats'!$B$25:$C$62,2,0)*AVERAGE(Variables!$E$19,Variables!$E$20)+(AVERAGE($H$14:$L$14)*VLOOKUP(AA$35,'People Stats'!$B$25:$C$62,2,0)*Variables!$C$27),0)</f>
        <v>1200</v>
      </c>
      <c r="AB39" s="185">
        <f>ROUNDUP(AVERAGE($H$14:$L$14)*VLOOKUP(AB$35,'People Stats'!$B$25:$C$62,2,0)*AVERAGE(Variables!$E$19,Variables!$E$20)+(AVERAGE($H$14:$L$14)*VLOOKUP(AB$35,'People Stats'!$B$25:$C$62,2,0)*Variables!$C$27),0)</f>
        <v>1212</v>
      </c>
      <c r="AC39" s="185">
        <f>ROUNDUP(AVERAGE($H$14:$L$14)*VLOOKUP(AC$35,'People Stats'!$B$25:$C$62,2,0)*AVERAGE(Variables!$E$19,Variables!$E$20)+(AVERAGE($H$14:$L$14)*VLOOKUP(AC$35,'People Stats'!$B$25:$C$62,2,0)*Variables!$C$27),0)</f>
        <v>1223</v>
      </c>
      <c r="AD39" s="186">
        <f>ROUNDUP(AVERAGE($H$14:$L$14)*VLOOKUP(AD$35,'People Stats'!$B$25:$C$62,2,0)*AVERAGE(Variables!$E$19,Variables!$E$20)+(AVERAGE($H$14:$L$14)*VLOOKUP(AD$35,'People Stats'!$B$25:$C$62,2,0)*Variables!$C$27),0)</f>
        <v>1235</v>
      </c>
    </row>
    <row r="40" spans="2:30"/>
    <row r="41" spans="2:30"/>
    <row r="42" spans="2:30"/>
  </sheetData>
  <mergeCells count="2">
    <mergeCell ref="D3:E3"/>
    <mergeCell ref="D2:E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B743-EF6F-4A19-95C5-83CED3DD5B69}">
  <sheetPr>
    <tabColor rgb="FF8EA9DB"/>
  </sheetPr>
  <dimension ref="A1:CB85"/>
  <sheetViews>
    <sheetView topLeftCell="A10" zoomScale="40" zoomScaleNormal="40" workbookViewId="0">
      <selection activeCell="D21" sqref="D21"/>
    </sheetView>
  </sheetViews>
  <sheetFormatPr defaultColWidth="0" defaultRowHeight="15" zeroHeight="1" outlineLevelCol="1"/>
  <cols>
    <col min="1" max="1" width="8.7109375" style="29" customWidth="1"/>
    <col min="2" max="2" width="84.85546875" style="50" bestFit="1" customWidth="1"/>
    <col min="3" max="3" width="29.28515625" style="50" bestFit="1" customWidth="1"/>
    <col min="4" max="35" width="10.7109375" style="50" customWidth="1"/>
    <col min="36" max="49" width="8.7109375" style="29" customWidth="1"/>
    <col min="50" max="50" width="8.7109375" style="29" hidden="1" customWidth="1"/>
    <col min="51" max="51" width="20.7109375" style="29" hidden="1" customWidth="1" outlineLevel="1"/>
    <col min="52" max="52" width="28.85546875" style="29" hidden="1" customWidth="1" outlineLevel="1"/>
    <col min="53" max="79" width="8" style="29" hidden="1" customWidth="1" outlineLevel="1"/>
    <col min="80" max="80" width="0" style="29" hidden="1" customWidth="1"/>
    <col min="81" max="16384" width="8.7109375" style="29" hidden="1"/>
  </cols>
  <sheetData>
    <row r="1" spans="2:35" ht="15.75" thickBot="1"/>
    <row r="2" spans="2:35" ht="15.75" thickBot="1">
      <c r="B2" s="49" t="s">
        <v>50</v>
      </c>
      <c r="C2" s="327" t="s">
        <v>51</v>
      </c>
      <c r="D2" s="328"/>
    </row>
    <row r="3" spans="2:35" ht="58.5" customHeight="1" thickBot="1">
      <c r="B3" s="51">
        <v>7</v>
      </c>
      <c r="C3" s="325" t="str">
        <f>VLOOKUP(B3,'Site Guide'!$D$9:$F$19,3,0)</f>
        <v>Analysis of capability of labour market to support decarbonisation</v>
      </c>
      <c r="D3" s="326"/>
      <c r="F3" s="331" t="s">
        <v>275</v>
      </c>
      <c r="G3" s="332"/>
      <c r="H3" s="329" t="s">
        <v>276</v>
      </c>
      <c r="I3" s="329"/>
      <c r="J3" s="330"/>
      <c r="L3" s="333" t="s">
        <v>277</v>
      </c>
      <c r="M3" s="334"/>
      <c r="N3" s="334"/>
      <c r="O3" s="334"/>
      <c r="P3" s="334"/>
      <c r="Q3" s="334"/>
      <c r="R3" s="334"/>
      <c r="S3" s="334"/>
      <c r="T3" s="334"/>
      <c r="U3" s="334"/>
      <c r="V3" s="334"/>
      <c r="W3" s="334"/>
      <c r="X3" s="334"/>
      <c r="Y3" s="334"/>
      <c r="Z3" s="334"/>
      <c r="AA3" s="334"/>
      <c r="AB3" s="335"/>
    </row>
    <row r="4" spans="2:35"/>
    <row r="5" spans="2:35"/>
    <row r="6" spans="2:35" ht="14.25" customHeight="1" thickBot="1">
      <c r="B6" s="287" t="str">
        <f>CONCATENATE(C6," available personnel assessment")</f>
        <v>Electrician available personnel assessment</v>
      </c>
      <c r="C6" s="288" t="s">
        <v>132</v>
      </c>
    </row>
    <row r="7" spans="2:35" ht="14.25" customHeight="1" thickBot="1">
      <c r="B7" s="161" t="s">
        <v>278</v>
      </c>
      <c r="C7" s="84">
        <v>2018</v>
      </c>
      <c r="D7" s="84">
        <f t="shared" ref="D7:AI7" si="0">C7+1</f>
        <v>2019</v>
      </c>
      <c r="E7" s="84">
        <f t="shared" si="0"/>
        <v>2020</v>
      </c>
      <c r="F7" s="84">
        <f t="shared" si="0"/>
        <v>2021</v>
      </c>
      <c r="G7" s="84">
        <f t="shared" si="0"/>
        <v>2022</v>
      </c>
      <c r="H7" s="84">
        <f t="shared" si="0"/>
        <v>2023</v>
      </c>
      <c r="I7" s="84">
        <f t="shared" si="0"/>
        <v>2024</v>
      </c>
      <c r="J7" s="84">
        <f t="shared" si="0"/>
        <v>2025</v>
      </c>
      <c r="K7" s="84">
        <f t="shared" si="0"/>
        <v>2026</v>
      </c>
      <c r="L7" s="84">
        <f t="shared" si="0"/>
        <v>2027</v>
      </c>
      <c r="M7" s="84">
        <f t="shared" si="0"/>
        <v>2028</v>
      </c>
      <c r="N7" s="84">
        <f t="shared" si="0"/>
        <v>2029</v>
      </c>
      <c r="O7" s="84">
        <f t="shared" si="0"/>
        <v>2030</v>
      </c>
      <c r="P7" s="84">
        <f t="shared" si="0"/>
        <v>2031</v>
      </c>
      <c r="Q7" s="84">
        <f t="shared" si="0"/>
        <v>2032</v>
      </c>
      <c r="R7" s="84">
        <f t="shared" si="0"/>
        <v>2033</v>
      </c>
      <c r="S7" s="84">
        <f t="shared" si="0"/>
        <v>2034</v>
      </c>
      <c r="T7" s="84">
        <f t="shared" si="0"/>
        <v>2035</v>
      </c>
      <c r="U7" s="84">
        <f t="shared" si="0"/>
        <v>2036</v>
      </c>
      <c r="V7" s="84">
        <f t="shared" si="0"/>
        <v>2037</v>
      </c>
      <c r="W7" s="84">
        <f t="shared" si="0"/>
        <v>2038</v>
      </c>
      <c r="X7" s="84">
        <f t="shared" si="0"/>
        <v>2039</v>
      </c>
      <c r="Y7" s="84">
        <f t="shared" si="0"/>
        <v>2040</v>
      </c>
      <c r="Z7" s="84">
        <f t="shared" si="0"/>
        <v>2041</v>
      </c>
      <c r="AA7" s="84">
        <f t="shared" si="0"/>
        <v>2042</v>
      </c>
      <c r="AB7" s="84">
        <f t="shared" si="0"/>
        <v>2043</v>
      </c>
      <c r="AC7" s="84">
        <f t="shared" si="0"/>
        <v>2044</v>
      </c>
      <c r="AD7" s="84">
        <f t="shared" si="0"/>
        <v>2045</v>
      </c>
      <c r="AE7" s="84">
        <f t="shared" si="0"/>
        <v>2046</v>
      </c>
      <c r="AF7" s="84">
        <f t="shared" si="0"/>
        <v>2047</v>
      </c>
      <c r="AG7" s="84">
        <f t="shared" si="0"/>
        <v>2048</v>
      </c>
      <c r="AH7" s="84">
        <f t="shared" si="0"/>
        <v>2049</v>
      </c>
      <c r="AI7" s="85">
        <f t="shared" si="0"/>
        <v>2050</v>
      </c>
    </row>
    <row r="8" spans="2:35" ht="14.25" customHeight="1">
      <c r="B8" s="182" t="s">
        <v>279</v>
      </c>
      <c r="C8" s="264">
        <f>SUMIF('People Stats'!$E$9:$E$17,$C$6,'People Stats'!$D$9:$D$17)</f>
        <v>22494</v>
      </c>
      <c r="D8" s="264">
        <f>C8-C12+C9</f>
        <v>22681</v>
      </c>
      <c r="E8" s="264">
        <f t="shared" ref="E8:AI8" si="1">D8+D9-D18</f>
        <v>23021.384615384617</v>
      </c>
      <c r="F8" s="264">
        <f t="shared" si="1"/>
        <v>23430.825293350717</v>
      </c>
      <c r="G8" s="264">
        <f t="shared" si="1"/>
        <v>24282.38409641265</v>
      </c>
      <c r="H8" s="264">
        <f t="shared" si="1"/>
        <v>24872.371109399664</v>
      </c>
      <c r="I8" s="264">
        <f t="shared" si="1"/>
        <v>25283.825594887792</v>
      </c>
      <c r="J8" s="264">
        <f t="shared" si="1"/>
        <v>25810.614390766736</v>
      </c>
      <c r="K8" s="264">
        <f t="shared" si="1"/>
        <v>26391.292445196381</v>
      </c>
      <c r="L8" s="264">
        <f t="shared" si="1"/>
        <v>26979.496422469107</v>
      </c>
      <c r="M8" s="264">
        <f t="shared" si="1"/>
        <v>27573.40733560942</v>
      </c>
      <c r="N8" s="264">
        <f t="shared" si="1"/>
        <v>28173.809954267359</v>
      </c>
      <c r="O8" s="264">
        <f t="shared" si="1"/>
        <v>28778.716906139016</v>
      </c>
      <c r="P8" s="264">
        <f t="shared" si="1"/>
        <v>29390.097608813372</v>
      </c>
      <c r="Q8" s="264">
        <f t="shared" si="1"/>
        <v>30006.175757913628</v>
      </c>
      <c r="R8" s="264">
        <f t="shared" si="1"/>
        <v>30627.449585447666</v>
      </c>
      <c r="S8" s="264">
        <f t="shared" si="1"/>
        <v>31254.219615121256</v>
      </c>
      <c r="T8" s="264">
        <f t="shared" si="1"/>
        <v>31887.219129684363</v>
      </c>
      <c r="U8" s="264">
        <f t="shared" si="1"/>
        <v>32525.260101575743</v>
      </c>
      <c r="V8" s="264">
        <f t="shared" si="1"/>
        <v>33168.541073992754</v>
      </c>
      <c r="W8" s="264">
        <f t="shared" si="1"/>
        <v>33817.37119336833</v>
      </c>
      <c r="X8" s="264">
        <f t="shared" si="1"/>
        <v>34482.74343311596</v>
      </c>
      <c r="Y8" s="264">
        <f t="shared" si="1"/>
        <v>35150.062158215558</v>
      </c>
      <c r="Z8" s="264">
        <f t="shared" si="1"/>
        <v>35823.683627142113</v>
      </c>
      <c r="AA8" s="264">
        <f t="shared" si="1"/>
        <v>36502.905232607525</v>
      </c>
      <c r="AB8" s="264">
        <f t="shared" si="1"/>
        <v>37188.93962858068</v>
      </c>
      <c r="AC8" s="264">
        <f t="shared" si="1"/>
        <v>37881.578277117966</v>
      </c>
      <c r="AD8" s="264">
        <f t="shared" si="1"/>
        <v>38580.564911382848</v>
      </c>
      <c r="AE8" s="264">
        <f t="shared" si="1"/>
        <v>39285.897979429006</v>
      </c>
      <c r="AF8" s="264">
        <f t="shared" si="1"/>
        <v>39996.589023621418</v>
      </c>
      <c r="AG8" s="264">
        <f t="shared" si="1"/>
        <v>40714.409408236803</v>
      </c>
      <c r="AH8" s="264">
        <f t="shared" si="1"/>
        <v>41438.607592805638</v>
      </c>
      <c r="AI8" s="265">
        <f t="shared" si="1"/>
        <v>42169.183800984079</v>
      </c>
    </row>
    <row r="9" spans="2:35" ht="14.25" customHeight="1">
      <c r="B9" s="10" t="s">
        <v>280</v>
      </c>
      <c r="C9" s="12">
        <f>INDEX('Personnel Replenishment'!$C$7:$L$14,MATCH($C$6,'Personnel Replenishment'!$B$7:$B$14,0),MATCH(C$7,'Personnel Replenishment'!$C$6:$L$6,0))</f>
        <v>916</v>
      </c>
      <c r="D9" s="12">
        <f>INDEX('Personnel Replenishment'!$C$7:$L$14,MATCH($C$6,'Personnel Replenishment'!$B$7:$B$14,0),MATCH(D$7,'Personnel Replenishment'!$C$6:$L$6,0))</f>
        <v>816</v>
      </c>
      <c r="E9" s="12">
        <f>INDEX('Personnel Replenishment'!$C$7:$L$14,MATCH($C$6,'Personnel Replenishment'!$B$7:$B$14,0),MATCH(E$7,'Personnel Replenishment'!$C$6:$L$6,0))</f>
        <v>833</v>
      </c>
      <c r="F9" s="12">
        <f>INDEX('Personnel Replenishment'!$C$7:$L$14,MATCH($C$6,'Personnel Replenishment'!$B$7:$B$14,0),MATCH(F$7,'Personnel Replenishment'!$C$6:$L$6,0))</f>
        <v>1284</v>
      </c>
      <c r="G9" s="12">
        <f>INDEX('Personnel Replenishment'!$C$7:$L$14,MATCH($C$6,'Personnel Replenishment'!$B$7:$B$14,0),MATCH(G$7,'Personnel Replenishment'!$C$6:$L$6,0))</f>
        <v>1257</v>
      </c>
      <c r="H9" s="12">
        <f>INDEX('Personnel Replenishment'!$C$36:$AD$39,MATCH($C$6,'Personnel Replenishment'!$B$36:$B$39,0),MATCH(H$7,'Personnel Replenishment'!$C$35:$AD$35,0))*(1+Variables!$C$28)</f>
        <v>1064</v>
      </c>
      <c r="I9" s="12">
        <f>INDEX('Personnel Replenishment'!$C$36:$AD$39,MATCH($C$6,'Personnel Replenishment'!$B$36:$B$39,0),MATCH(I$7,'Personnel Replenishment'!$C$35:$AD$35,0))*(1+Variables!$C$28)</f>
        <v>1079</v>
      </c>
      <c r="J9" s="12">
        <f>INDEX('Personnel Replenishment'!$C$36:$AD$39,MATCH($C$6,'Personnel Replenishment'!$B$36:$B$39,0),MATCH(J$7,'Personnel Replenishment'!$C$35:$AD$35,0))*(1+Variables!$C$28)</f>
        <v>1093</v>
      </c>
      <c r="K9" s="12">
        <f>INDEX('Personnel Replenishment'!$C$36:$AD$39,MATCH($C$6,'Personnel Replenishment'!$B$36:$B$39,0),MATCH(K$7,'Personnel Replenishment'!$C$35:$AD$35,0))*(1+Variables!$C$28)</f>
        <v>1108</v>
      </c>
      <c r="L9" s="12">
        <f>INDEX('Personnel Replenishment'!$C$36:$AD$39,MATCH($C$6,'Personnel Replenishment'!$B$36:$B$39,0),MATCH(L$7,'Personnel Replenishment'!$C$35:$AD$35,0))*(1+Variables!$C$28)</f>
        <v>1122</v>
      </c>
      <c r="M9" s="12">
        <f>INDEX('Personnel Replenishment'!$C$36:$AD$39,MATCH($C$6,'Personnel Replenishment'!$B$36:$B$39,0),MATCH(M$7,'Personnel Replenishment'!$C$35:$AD$35,0))*(1+Variables!$C$28)</f>
        <v>1136</v>
      </c>
      <c r="N9" s="12">
        <f>INDEX('Personnel Replenishment'!$C$36:$AD$39,MATCH($C$6,'Personnel Replenishment'!$B$36:$B$39,0),MATCH(N$7,'Personnel Replenishment'!$C$35:$AD$35,0))*(1+Variables!$C$28)</f>
        <v>1148</v>
      </c>
      <c r="O9" s="12">
        <f>INDEX('Personnel Replenishment'!$C$36:$AD$39,MATCH($C$6,'Personnel Replenishment'!$B$36:$B$39,0),MATCH(O$7,'Personnel Replenishment'!$C$35:$AD$35,0))*(1+Variables!$C$28)</f>
        <v>1161</v>
      </c>
      <c r="P9" s="12">
        <f>INDEX('Personnel Replenishment'!$C$36:$AD$39,MATCH($C$6,'Personnel Replenishment'!$B$36:$B$39,0),MATCH(P$7,'Personnel Replenishment'!$C$35:$AD$35,0))*(1+Variables!$C$28)</f>
        <v>1173</v>
      </c>
      <c r="Q9" s="12">
        <f>INDEX('Personnel Replenishment'!$C$36:$AD$39,MATCH($C$6,'Personnel Replenishment'!$B$36:$B$39,0),MATCH(Q$7,'Personnel Replenishment'!$C$35:$AD$35,0))*(1+Variables!$C$28)</f>
        <v>1185</v>
      </c>
      <c r="R9" s="12">
        <f>INDEX('Personnel Replenishment'!$C$36:$AD$39,MATCH($C$6,'Personnel Replenishment'!$B$36:$B$39,0),MATCH(R$7,'Personnel Replenishment'!$C$35:$AD$35,0))*(1+Variables!$C$28)</f>
        <v>1197</v>
      </c>
      <c r="S9" s="12">
        <f>INDEX('Personnel Replenishment'!$C$36:$AD$39,MATCH($C$6,'Personnel Replenishment'!$B$36:$B$39,0),MATCH(S$7,'Personnel Replenishment'!$C$35:$AD$35,0))*(1+Variables!$C$28)</f>
        <v>1210</v>
      </c>
      <c r="T9" s="12">
        <f>INDEX('Personnel Replenishment'!$C$36:$AD$39,MATCH($C$6,'Personnel Replenishment'!$B$36:$B$39,0),MATCH(T$7,'Personnel Replenishment'!$C$35:$AD$35,0))*(1+Variables!$C$28)</f>
        <v>1222</v>
      </c>
      <c r="U9" s="12">
        <f>INDEX('Personnel Replenishment'!$C$36:$AD$39,MATCH($C$6,'Personnel Replenishment'!$B$36:$B$39,0),MATCH(U$7,'Personnel Replenishment'!$C$35:$AD$35,0))*(1+Variables!$C$28)</f>
        <v>1234</v>
      </c>
      <c r="V9" s="12">
        <f>INDEX('Personnel Replenishment'!$C$36:$AD$39,MATCH($C$6,'Personnel Replenishment'!$B$36:$B$39,0),MATCH(V$7,'Personnel Replenishment'!$C$35:$AD$35,0))*(1+Variables!$C$28)</f>
        <v>1246</v>
      </c>
      <c r="W9" s="12">
        <f>INDEX('Personnel Replenishment'!$C$36:$AD$39,MATCH($C$6,'Personnel Replenishment'!$B$36:$B$39,0),MATCH(W$7,'Personnel Replenishment'!$C$35:$AD$35,0))*(1+Variables!$C$28)</f>
        <v>1269</v>
      </c>
      <c r="X9" s="12">
        <f>INDEX('Personnel Replenishment'!$C$36:$AD$39,MATCH($C$6,'Personnel Replenishment'!$B$36:$B$39,0),MATCH(X$7,'Personnel Replenishment'!$C$35:$AD$35,0))*(1+Variables!$C$28)</f>
        <v>1283</v>
      </c>
      <c r="Y9" s="12">
        <f>INDEX('Personnel Replenishment'!$C$36:$AD$39,MATCH($C$6,'Personnel Replenishment'!$B$36:$B$39,0),MATCH(Y$7,'Personnel Replenishment'!$C$35:$AD$35,0))*(1+Variables!$C$28)</f>
        <v>1297</v>
      </c>
      <c r="Z9" s="12">
        <f>INDEX('Personnel Replenishment'!$C$36:$AD$39,MATCH($C$6,'Personnel Replenishment'!$B$36:$B$39,0),MATCH(Z$7,'Personnel Replenishment'!$C$35:$AD$35,0))*(1+Variables!$C$28)</f>
        <v>1310</v>
      </c>
      <c r="AA9" s="12">
        <f>INDEX('Personnel Replenishment'!$C$36:$AD$39,MATCH($C$6,'Personnel Replenishment'!$B$36:$B$39,0),MATCH(AA$7,'Personnel Replenishment'!$C$35:$AD$35,0))*(1+Variables!$C$28)</f>
        <v>1324</v>
      </c>
      <c r="AB9" s="12">
        <f>INDEX('Personnel Replenishment'!$C$36:$AD$39,MATCH($C$6,'Personnel Replenishment'!$B$36:$B$39,0),MATCH(AB$7,'Personnel Replenishment'!$C$35:$AD$35,0))*(1+Variables!$C$28)</f>
        <v>1338</v>
      </c>
      <c r="AC9" s="12">
        <f>INDEX('Personnel Replenishment'!$C$36:$AD$39,MATCH($C$6,'Personnel Replenishment'!$B$36:$B$39,0),MATCH(AC$7,'Personnel Replenishment'!$C$35:$AD$35,0))*(1+Variables!$C$28)</f>
        <v>1352</v>
      </c>
      <c r="AD9" s="12">
        <f>INDEX('Personnel Replenishment'!$C$36:$AD$39,MATCH($C$6,'Personnel Replenishment'!$B$36:$B$39,0),MATCH(AD$7,'Personnel Replenishment'!$C$35:$AD$35,0))*(1+Variables!$C$28)</f>
        <v>1366</v>
      </c>
      <c r="AE9" s="12">
        <f>INDEX('Personnel Replenishment'!$C$36:$AD$39,MATCH($C$6,'Personnel Replenishment'!$B$36:$B$39,0),MATCH(AE$7,'Personnel Replenishment'!$C$35:$AD$35,0))*(1+Variables!$C$28)</f>
        <v>1379</v>
      </c>
      <c r="AF9" s="12">
        <f>INDEX('Personnel Replenishment'!$C$36:$AD$39,MATCH($C$6,'Personnel Replenishment'!$B$36:$B$39,0),MATCH(AF$7,'Personnel Replenishment'!$C$35:$AD$35,0))*(1+Variables!$C$28)</f>
        <v>1393</v>
      </c>
      <c r="AG9" s="12">
        <f>INDEX('Personnel Replenishment'!$C$36:$AD$39,MATCH($C$6,'Personnel Replenishment'!$B$36:$B$39,0),MATCH(AG$7,'Personnel Replenishment'!$C$35:$AD$35,0))*(1+Variables!$C$28)</f>
        <v>1407</v>
      </c>
      <c r="AH9" s="12">
        <f>INDEX('Personnel Replenishment'!$C$36:$AD$39,MATCH($C$6,'Personnel Replenishment'!$B$36:$B$39,0),MATCH(AH$7,'Personnel Replenishment'!$C$35:$AD$35,0))*(1+Variables!$C$28)</f>
        <v>1421</v>
      </c>
      <c r="AI9" s="266">
        <f>INDEX('Personnel Replenishment'!$C$36:$AD$39,MATCH($C$6,'Personnel Replenishment'!$B$36:$B$39,0),MATCH(AI$7,'Personnel Replenishment'!$C$35:$AD$35,0))*(1+Variables!$C$28)</f>
        <v>1435</v>
      </c>
    </row>
    <row r="10" spans="2:35" ht="14.25" customHeight="1">
      <c r="B10" s="267"/>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9"/>
    </row>
    <row r="11" spans="2:35" ht="14.25" customHeight="1">
      <c r="B11" s="182" t="s">
        <v>281</v>
      </c>
      <c r="C11" s="264">
        <f>ROUNDUP(C8*Variables!$C$25,0)</f>
        <v>675</v>
      </c>
      <c r="D11" s="264">
        <f>ROUNDUP(D8*Variables!$C$25,0)</f>
        <v>681</v>
      </c>
      <c r="E11" s="264">
        <f>ROUNDUP(E8*Variables!$C$25,0)</f>
        <v>691</v>
      </c>
      <c r="F11" s="264">
        <f>ROUNDUP(F8*Variables!$C$25,0)</f>
        <v>703</v>
      </c>
      <c r="G11" s="264">
        <f>ROUNDUP(G8*Variables!$C$25,0)</f>
        <v>729</v>
      </c>
      <c r="H11" s="264">
        <f>ROUNDUP(H8*Variables!$C$25,0)</f>
        <v>747</v>
      </c>
      <c r="I11" s="264">
        <f>ROUNDUP(I8*Variables!$C$25,0)</f>
        <v>759</v>
      </c>
      <c r="J11" s="264">
        <f>ROUNDUP(J8*Variables!$C$25,0)</f>
        <v>775</v>
      </c>
      <c r="K11" s="264">
        <f>ROUNDUP(K8*Variables!$C$25,0)</f>
        <v>792</v>
      </c>
      <c r="L11" s="264">
        <f>ROUNDUP(L8*Variables!$C$25,0)</f>
        <v>810</v>
      </c>
      <c r="M11" s="264">
        <f>ROUNDUP(M8*Variables!$C$25,0)</f>
        <v>828</v>
      </c>
      <c r="N11" s="264">
        <f>ROUNDUP(N8*Variables!$C$25,0)</f>
        <v>846</v>
      </c>
      <c r="O11" s="264">
        <f>ROUNDUP(O8*Variables!$C$25,0)</f>
        <v>864</v>
      </c>
      <c r="P11" s="264">
        <f>ROUNDUP(P8*Variables!$C$25,0)</f>
        <v>882</v>
      </c>
      <c r="Q11" s="264">
        <f>ROUNDUP(Q8*Variables!$C$25,0)</f>
        <v>901</v>
      </c>
      <c r="R11" s="264">
        <f>ROUNDUP(R8*Variables!$C$25,0)</f>
        <v>919</v>
      </c>
      <c r="S11" s="264">
        <f>ROUNDUP(S8*Variables!$C$25,0)</f>
        <v>938</v>
      </c>
      <c r="T11" s="264">
        <f>ROUNDUP(T8*Variables!$C$25,0)</f>
        <v>957</v>
      </c>
      <c r="U11" s="264">
        <f>ROUNDUP(U8*Variables!$C$25,0)</f>
        <v>976</v>
      </c>
      <c r="V11" s="264">
        <f>ROUNDUP(V8*Variables!$C$25,0)</f>
        <v>996</v>
      </c>
      <c r="W11" s="264">
        <f>ROUNDUP(W8*Variables!$C$25,0)</f>
        <v>1015</v>
      </c>
      <c r="X11" s="264">
        <f>ROUNDUP(X8*Variables!$C$25,0)</f>
        <v>1035</v>
      </c>
      <c r="Y11" s="264">
        <f>ROUNDUP(Y8*Variables!$C$25,0)</f>
        <v>1055</v>
      </c>
      <c r="Z11" s="264">
        <f>ROUNDUP(Z8*Variables!$C$25,0)</f>
        <v>1075</v>
      </c>
      <c r="AA11" s="264">
        <f>ROUNDUP(AA8*Variables!$C$25,0)</f>
        <v>1096</v>
      </c>
      <c r="AB11" s="264">
        <f>ROUNDUP(AB8*Variables!$C$25,0)</f>
        <v>1116</v>
      </c>
      <c r="AC11" s="264">
        <f>ROUNDUP(AC8*Variables!$C$25,0)</f>
        <v>1137</v>
      </c>
      <c r="AD11" s="264">
        <f>ROUNDUP(AD8*Variables!$C$25,0)</f>
        <v>1158</v>
      </c>
      <c r="AE11" s="264">
        <f>ROUNDUP(AE8*Variables!$C$25,0)</f>
        <v>1179</v>
      </c>
      <c r="AF11" s="264">
        <f>ROUNDUP(AF8*Variables!$C$25,0)</f>
        <v>1200</v>
      </c>
      <c r="AG11" s="264">
        <f>ROUNDUP(AG8*Variables!$C$25,0)</f>
        <v>1222</v>
      </c>
      <c r="AH11" s="264">
        <f>ROUNDUP(AH8*Variables!$C$25,0)</f>
        <v>1244</v>
      </c>
      <c r="AI11" s="265">
        <f>ROUNDUP(AI8*Variables!$C$25,0)</f>
        <v>1266</v>
      </c>
    </row>
    <row r="12" spans="2:35" ht="14.25" customHeight="1">
      <c r="B12" s="3" t="s">
        <v>282</v>
      </c>
      <c r="C12" s="5">
        <f>ROUNDUP(C8*Variables!$C$26,0)</f>
        <v>729</v>
      </c>
      <c r="D12" s="5">
        <f>ROUNDUP(D8*Variables!$C$26,0)</f>
        <v>735</v>
      </c>
      <c r="E12" s="5">
        <f>ROUNDUP(E8*Variables!$C$26,0)</f>
        <v>746</v>
      </c>
      <c r="F12" s="5">
        <f>ROUNDUP(F8*Variables!$C$26,0)</f>
        <v>760</v>
      </c>
      <c r="G12" s="5">
        <f>ROUNDUP(G8*Variables!$C$26,0)</f>
        <v>787</v>
      </c>
      <c r="H12" s="5">
        <f>ROUNDUP(H8*Variables!$C$26,0)</f>
        <v>806</v>
      </c>
      <c r="I12" s="5">
        <f>ROUNDUP(I8*Variables!$C$26,0)</f>
        <v>820</v>
      </c>
      <c r="J12" s="5">
        <f>ROUNDUP(J8*Variables!$C$26,0)</f>
        <v>837</v>
      </c>
      <c r="K12" s="5">
        <f>ROUNDUP(K8*Variables!$C$26,0)</f>
        <v>856</v>
      </c>
      <c r="L12" s="5">
        <f>ROUNDUP(L8*Variables!$C$26,0)</f>
        <v>875</v>
      </c>
      <c r="M12" s="5">
        <f>ROUNDUP(M8*Variables!$C$26,0)</f>
        <v>894</v>
      </c>
      <c r="N12" s="5">
        <f>ROUNDUP(N8*Variables!$C$26,0)</f>
        <v>913</v>
      </c>
      <c r="O12" s="5">
        <f>ROUNDUP(O8*Variables!$C$26,0)</f>
        <v>933</v>
      </c>
      <c r="P12" s="5">
        <f>ROUNDUP(P8*Variables!$C$26,0)</f>
        <v>953</v>
      </c>
      <c r="Q12" s="5">
        <f>ROUNDUP(Q8*Variables!$C$26,0)</f>
        <v>973</v>
      </c>
      <c r="R12" s="5">
        <f>ROUNDUP(R8*Variables!$C$26,0)</f>
        <v>993</v>
      </c>
      <c r="S12" s="5">
        <f>ROUNDUP(S8*Variables!$C$26,0)</f>
        <v>1013</v>
      </c>
      <c r="T12" s="5">
        <f>ROUNDUP(T8*Variables!$C$26,0)</f>
        <v>1034</v>
      </c>
      <c r="U12" s="5">
        <f>ROUNDUP(U8*Variables!$C$26,0)</f>
        <v>1054</v>
      </c>
      <c r="V12" s="5">
        <f>ROUNDUP(V8*Variables!$C$26,0)</f>
        <v>1075</v>
      </c>
      <c r="W12" s="5">
        <f>ROUNDUP(W8*Variables!$C$26,0)</f>
        <v>1096</v>
      </c>
      <c r="X12" s="5">
        <f>ROUNDUP(X8*Variables!$C$26,0)</f>
        <v>1118</v>
      </c>
      <c r="Y12" s="5">
        <f>ROUNDUP(Y8*Variables!$C$26,0)</f>
        <v>1139</v>
      </c>
      <c r="Z12" s="5">
        <f>ROUNDUP(Z8*Variables!$C$26,0)</f>
        <v>1161</v>
      </c>
      <c r="AA12" s="5">
        <f>ROUNDUP(AA8*Variables!$C$26,0)</f>
        <v>1183</v>
      </c>
      <c r="AB12" s="5">
        <f>ROUNDUP(AB8*Variables!$C$26,0)</f>
        <v>1205</v>
      </c>
      <c r="AC12" s="5">
        <f>ROUNDUP(AC8*Variables!$C$26,0)</f>
        <v>1228</v>
      </c>
      <c r="AD12" s="5">
        <f>ROUNDUP(AD8*Variables!$C$26,0)</f>
        <v>1251</v>
      </c>
      <c r="AE12" s="5">
        <f>ROUNDUP(AE8*Variables!$C$26,0)</f>
        <v>1273</v>
      </c>
      <c r="AF12" s="5">
        <f>ROUNDUP(AF8*Variables!$C$26,0)</f>
        <v>1296</v>
      </c>
      <c r="AG12" s="5">
        <f>ROUNDUP(AG8*Variables!$C$26,0)</f>
        <v>1320</v>
      </c>
      <c r="AH12" s="5">
        <f>ROUNDUP(AH8*Variables!$C$26,0)</f>
        <v>1343</v>
      </c>
      <c r="AI12" s="270">
        <f>ROUNDUP(AI8*Variables!$C$26,0)</f>
        <v>1367</v>
      </c>
    </row>
    <row r="13" spans="2:35" ht="14.25" customHeight="1">
      <c r="B13" s="3" t="s">
        <v>283</v>
      </c>
      <c r="C13" s="5">
        <v>0</v>
      </c>
      <c r="D13" s="5">
        <v>0</v>
      </c>
      <c r="E13" s="5">
        <v>0</v>
      </c>
      <c r="F13" s="5">
        <v>0</v>
      </c>
      <c r="G13" s="5">
        <v>0</v>
      </c>
      <c r="H13" s="5">
        <v>0</v>
      </c>
      <c r="I13" s="5">
        <f>(VLOOKUP($C$6,'Personnel Requirement'!$B$10:$H$17,7,0))</f>
        <v>148</v>
      </c>
      <c r="J13" s="5">
        <f>(VLOOKUP($C$6,'Personnel Requirement'!$B$10:$H$17,7,0))</f>
        <v>148</v>
      </c>
      <c r="K13" s="5">
        <f>(VLOOKUP($C$6,'Personnel Requirement'!$B$10:$H$17,7,0))</f>
        <v>148</v>
      </c>
      <c r="L13" s="5">
        <f>(VLOOKUP($C$6,'Personnel Requirement'!$B$10:$H$17,7,0))</f>
        <v>148</v>
      </c>
      <c r="M13" s="5">
        <f>(VLOOKUP($C$6,'Personnel Requirement'!$B$10:$H$17,7,0))</f>
        <v>148</v>
      </c>
      <c r="N13" s="5">
        <f>(VLOOKUP($C$6,'Personnel Requirement'!$B$10:$H$17,7,0))</f>
        <v>148</v>
      </c>
      <c r="O13" s="5">
        <f>(VLOOKUP($C$6,'Personnel Requirement'!$B$10:$H$17,7,0))</f>
        <v>148</v>
      </c>
      <c r="P13" s="5">
        <f>(VLOOKUP($C$6,'Personnel Requirement'!$B$10:$H$17,7,0))</f>
        <v>148</v>
      </c>
      <c r="Q13" s="5">
        <f>(VLOOKUP($C$6,'Personnel Requirement'!$B$10:$H$17,7,0))</f>
        <v>148</v>
      </c>
      <c r="R13" s="5">
        <f>(VLOOKUP($C$6,'Personnel Requirement'!$B$10:$H$17,7,0))</f>
        <v>148</v>
      </c>
      <c r="S13" s="5">
        <f>(VLOOKUP($C$6,'Personnel Requirement'!$B$10:$H$17,7,0))</f>
        <v>148</v>
      </c>
      <c r="T13" s="5">
        <f>(VLOOKUP($C$6,'Personnel Requirement'!$B$10:$H$17,7,0))</f>
        <v>148</v>
      </c>
      <c r="U13" s="5">
        <f>(VLOOKUP($C$6,'Personnel Requirement'!$B$10:$H$17,7,0))</f>
        <v>148</v>
      </c>
      <c r="V13" s="5">
        <f>(VLOOKUP($C$6,'Personnel Requirement'!$B$10:$H$17,7,0))</f>
        <v>148</v>
      </c>
      <c r="W13" s="5">
        <f>(VLOOKUP($C$6,'Personnel Requirement'!$B$10:$H$17,7,0))</f>
        <v>148</v>
      </c>
      <c r="X13" s="5">
        <f>(VLOOKUP($C$6,'Personnel Requirement'!$B$10:$H$17,7,0))</f>
        <v>148</v>
      </c>
      <c r="Y13" s="5">
        <f>(VLOOKUP($C$6,'Personnel Requirement'!$B$10:$H$17,7,0))</f>
        <v>148</v>
      </c>
      <c r="Z13" s="5">
        <f>(VLOOKUP($C$6,'Personnel Requirement'!$B$10:$H$17,7,0))</f>
        <v>148</v>
      </c>
      <c r="AA13" s="5">
        <f>(VLOOKUP($C$6,'Personnel Requirement'!$B$10:$H$17,7,0))</f>
        <v>148</v>
      </c>
      <c r="AB13" s="5">
        <f>(VLOOKUP($C$6,'Personnel Requirement'!$B$10:$H$17,7,0))</f>
        <v>148</v>
      </c>
      <c r="AC13" s="5">
        <f>(VLOOKUP($C$6,'Personnel Requirement'!$B$10:$H$17,7,0))</f>
        <v>148</v>
      </c>
      <c r="AD13" s="5">
        <f>(VLOOKUP($C$6,'Personnel Requirement'!$B$10:$H$17,7,0))</f>
        <v>148</v>
      </c>
      <c r="AE13" s="5">
        <f>(VLOOKUP($C$6,'Personnel Requirement'!$B$10:$H$17,7,0))</f>
        <v>148</v>
      </c>
      <c r="AF13" s="5">
        <f>(VLOOKUP($C$6,'Personnel Requirement'!$B$10:$H$17,7,0))</f>
        <v>148</v>
      </c>
      <c r="AG13" s="5">
        <f>(VLOOKUP($C$6,'Personnel Requirement'!$B$10:$H$17,7,0))</f>
        <v>148</v>
      </c>
      <c r="AH13" s="5">
        <f>(VLOOKUP($C$6,'Personnel Requirement'!$B$10:$H$17,7,0))</f>
        <v>148</v>
      </c>
      <c r="AI13" s="270">
        <f>(VLOOKUP($C$6,'Personnel Requirement'!$B$10:$H$17,7,0))</f>
        <v>148</v>
      </c>
    </row>
    <row r="14" spans="2:35" ht="14.25" customHeight="1">
      <c r="B14" s="182" t="s">
        <v>284</v>
      </c>
      <c r="C14" s="264">
        <f t="shared" ref="C14:AI14" si="2">SUM(C11:C13)</f>
        <v>1404</v>
      </c>
      <c r="D14" s="264">
        <f t="shared" si="2"/>
        <v>1416</v>
      </c>
      <c r="E14" s="264">
        <f t="shared" si="2"/>
        <v>1437</v>
      </c>
      <c r="F14" s="264">
        <f t="shared" si="2"/>
        <v>1463</v>
      </c>
      <c r="G14" s="264">
        <f t="shared" si="2"/>
        <v>1516</v>
      </c>
      <c r="H14" s="264">
        <f t="shared" si="2"/>
        <v>1553</v>
      </c>
      <c r="I14" s="264">
        <f t="shared" si="2"/>
        <v>1727</v>
      </c>
      <c r="J14" s="264">
        <f t="shared" si="2"/>
        <v>1760</v>
      </c>
      <c r="K14" s="264">
        <f t="shared" si="2"/>
        <v>1796</v>
      </c>
      <c r="L14" s="264">
        <f t="shared" si="2"/>
        <v>1833</v>
      </c>
      <c r="M14" s="264">
        <f t="shared" si="2"/>
        <v>1870</v>
      </c>
      <c r="N14" s="264">
        <f t="shared" si="2"/>
        <v>1907</v>
      </c>
      <c r="O14" s="264">
        <f t="shared" si="2"/>
        <v>1945</v>
      </c>
      <c r="P14" s="264">
        <f t="shared" si="2"/>
        <v>1983</v>
      </c>
      <c r="Q14" s="264">
        <f t="shared" si="2"/>
        <v>2022</v>
      </c>
      <c r="R14" s="264">
        <f t="shared" si="2"/>
        <v>2060</v>
      </c>
      <c r="S14" s="264">
        <f t="shared" si="2"/>
        <v>2099</v>
      </c>
      <c r="T14" s="264">
        <f t="shared" si="2"/>
        <v>2139</v>
      </c>
      <c r="U14" s="264">
        <f t="shared" si="2"/>
        <v>2178</v>
      </c>
      <c r="V14" s="264">
        <f t="shared" si="2"/>
        <v>2219</v>
      </c>
      <c r="W14" s="264">
        <f t="shared" si="2"/>
        <v>2259</v>
      </c>
      <c r="X14" s="264">
        <f t="shared" si="2"/>
        <v>2301</v>
      </c>
      <c r="Y14" s="264">
        <f t="shared" si="2"/>
        <v>2342</v>
      </c>
      <c r="Z14" s="264">
        <f t="shared" si="2"/>
        <v>2384</v>
      </c>
      <c r="AA14" s="264">
        <f t="shared" si="2"/>
        <v>2427</v>
      </c>
      <c r="AB14" s="264">
        <f t="shared" si="2"/>
        <v>2469</v>
      </c>
      <c r="AC14" s="264">
        <f t="shared" si="2"/>
        <v>2513</v>
      </c>
      <c r="AD14" s="264">
        <f t="shared" si="2"/>
        <v>2557</v>
      </c>
      <c r="AE14" s="264">
        <f t="shared" si="2"/>
        <v>2600</v>
      </c>
      <c r="AF14" s="264">
        <f t="shared" si="2"/>
        <v>2644</v>
      </c>
      <c r="AG14" s="264">
        <f t="shared" si="2"/>
        <v>2690</v>
      </c>
      <c r="AH14" s="264">
        <f t="shared" si="2"/>
        <v>2735</v>
      </c>
      <c r="AI14" s="265">
        <f t="shared" si="2"/>
        <v>2781</v>
      </c>
    </row>
    <row r="15" spans="2:35" ht="14.25" customHeight="1">
      <c r="B15" s="267"/>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9"/>
    </row>
    <row r="16" spans="2:35" ht="14.25" customHeight="1">
      <c r="B16" s="3" t="s">
        <v>285</v>
      </c>
      <c r="C16" s="5">
        <v>0</v>
      </c>
      <c r="D16" s="5">
        <f t="shared" ref="D16:AI16" si="3">(C13/C14)*C9</f>
        <v>0</v>
      </c>
      <c r="E16" s="5">
        <f t="shared" si="3"/>
        <v>0</v>
      </c>
      <c r="F16" s="5">
        <f t="shared" si="3"/>
        <v>0</v>
      </c>
      <c r="G16" s="5">
        <f t="shared" si="3"/>
        <v>0</v>
      </c>
      <c r="H16" s="5">
        <f t="shared" si="3"/>
        <v>0</v>
      </c>
      <c r="I16" s="5">
        <f t="shared" si="3"/>
        <v>0</v>
      </c>
      <c r="J16" s="5">
        <f t="shared" si="3"/>
        <v>92.46786334684424</v>
      </c>
      <c r="K16" s="5">
        <f t="shared" si="3"/>
        <v>91.911363636363632</v>
      </c>
      <c r="L16" s="5">
        <f t="shared" si="3"/>
        <v>91.305122494432069</v>
      </c>
      <c r="M16" s="5">
        <f t="shared" si="3"/>
        <v>90.592471358428796</v>
      </c>
      <c r="N16" s="5">
        <f t="shared" si="3"/>
        <v>89.90802139037433</v>
      </c>
      <c r="O16" s="5">
        <f t="shared" si="3"/>
        <v>89.094913476664914</v>
      </c>
      <c r="P16" s="5">
        <f t="shared" si="3"/>
        <v>88.343444730077124</v>
      </c>
      <c r="Q16" s="5">
        <f t="shared" si="3"/>
        <v>87.546142208774583</v>
      </c>
      <c r="R16" s="5">
        <f t="shared" si="3"/>
        <v>86.735905044510389</v>
      </c>
      <c r="S16" s="5">
        <f t="shared" si="3"/>
        <v>85.998058252427171</v>
      </c>
      <c r="T16" s="5">
        <f t="shared" si="3"/>
        <v>85.316817532158169</v>
      </c>
      <c r="U16" s="5">
        <f t="shared" si="3"/>
        <v>84.551659654043931</v>
      </c>
      <c r="V16" s="5">
        <f t="shared" si="3"/>
        <v>83.85307621671258</v>
      </c>
      <c r="W16" s="5">
        <f t="shared" si="3"/>
        <v>83.104100946372242</v>
      </c>
      <c r="X16" s="5">
        <f t="shared" si="3"/>
        <v>83.139442231075705</v>
      </c>
      <c r="Y16" s="5">
        <f t="shared" si="3"/>
        <v>82.522381573229026</v>
      </c>
      <c r="Z16" s="5">
        <f t="shared" si="3"/>
        <v>81.962425277540561</v>
      </c>
      <c r="AA16" s="5">
        <f t="shared" si="3"/>
        <v>81.325503355704697</v>
      </c>
      <c r="AB16" s="5">
        <f t="shared" si="3"/>
        <v>80.738360115368764</v>
      </c>
      <c r="AC16" s="5">
        <f t="shared" si="3"/>
        <v>80.204131227217502</v>
      </c>
      <c r="AD16" s="5">
        <f t="shared" si="3"/>
        <v>79.624353362514924</v>
      </c>
      <c r="AE16" s="5">
        <f t="shared" si="3"/>
        <v>79.064528744622606</v>
      </c>
      <c r="AF16" s="5">
        <f t="shared" si="3"/>
        <v>78.496923076923082</v>
      </c>
      <c r="AG16" s="5">
        <f t="shared" si="3"/>
        <v>77.974281391830559</v>
      </c>
      <c r="AH16" s="5">
        <f t="shared" si="3"/>
        <v>77.411152416356884</v>
      </c>
      <c r="AI16" s="270">
        <f t="shared" si="3"/>
        <v>76.895063985374776</v>
      </c>
    </row>
    <row r="17" spans="2:35" ht="14.25" customHeight="1">
      <c r="B17" s="3" t="s">
        <v>286</v>
      </c>
      <c r="C17" s="5">
        <v>0</v>
      </c>
      <c r="D17" s="5">
        <f t="shared" ref="D17:AI17" si="4">C11/C14*C9</f>
        <v>440.38461538461542</v>
      </c>
      <c r="E17" s="5">
        <f t="shared" si="4"/>
        <v>392.4406779661017</v>
      </c>
      <c r="F17" s="5">
        <f t="shared" si="4"/>
        <v>400.55880306193461</v>
      </c>
      <c r="G17" s="5">
        <f t="shared" si="4"/>
        <v>616.98701298701303</v>
      </c>
      <c r="H17" s="5">
        <f t="shared" si="4"/>
        <v>604.45448548812658</v>
      </c>
      <c r="I17" s="5">
        <f t="shared" si="4"/>
        <v>511.78879587894397</v>
      </c>
      <c r="J17" s="5">
        <f t="shared" si="4"/>
        <v>474.21019108280257</v>
      </c>
      <c r="K17" s="5">
        <f t="shared" si="4"/>
        <v>481.29261363636368</v>
      </c>
      <c r="L17" s="5">
        <f t="shared" si="4"/>
        <v>488.60579064587972</v>
      </c>
      <c r="M17" s="5">
        <f t="shared" si="4"/>
        <v>495.81014729950903</v>
      </c>
      <c r="N17" s="5">
        <f t="shared" si="4"/>
        <v>502.99893048128348</v>
      </c>
      <c r="O17" s="5">
        <f t="shared" si="4"/>
        <v>509.28578919769268</v>
      </c>
      <c r="P17" s="5">
        <f t="shared" si="4"/>
        <v>515.73470437017988</v>
      </c>
      <c r="Q17" s="5">
        <f t="shared" si="4"/>
        <v>521.72768532526482</v>
      </c>
      <c r="R17" s="5">
        <f t="shared" si="4"/>
        <v>528.03412462908011</v>
      </c>
      <c r="S17" s="5">
        <f t="shared" si="4"/>
        <v>534.0014563106796</v>
      </c>
      <c r="T17" s="5">
        <f t="shared" si="4"/>
        <v>540.72415435921869</v>
      </c>
      <c r="U17" s="5">
        <f t="shared" si="4"/>
        <v>546.72931276297334</v>
      </c>
      <c r="V17" s="5">
        <f t="shared" si="4"/>
        <v>552.97704315886131</v>
      </c>
      <c r="W17" s="5">
        <f t="shared" si="4"/>
        <v>559.26813880126178</v>
      </c>
      <c r="X17" s="5">
        <f t="shared" si="4"/>
        <v>570.17928286852589</v>
      </c>
      <c r="Y17" s="5">
        <f t="shared" si="4"/>
        <v>577.09908735332465</v>
      </c>
      <c r="Z17" s="5">
        <f t="shared" si="4"/>
        <v>584.25918018787365</v>
      </c>
      <c r="AA17" s="5">
        <f t="shared" si="4"/>
        <v>590.70889261744969</v>
      </c>
      <c r="AB17" s="5">
        <f t="shared" si="4"/>
        <v>597.9002884219201</v>
      </c>
      <c r="AC17" s="5">
        <f t="shared" si="4"/>
        <v>604.78250303766708</v>
      </c>
      <c r="AD17" s="5">
        <f t="shared" si="4"/>
        <v>611.70871468364498</v>
      </c>
      <c r="AE17" s="5">
        <f t="shared" si="4"/>
        <v>618.62651544779033</v>
      </c>
      <c r="AF17" s="5">
        <f t="shared" si="4"/>
        <v>625.32346153846152</v>
      </c>
      <c r="AG17" s="5">
        <f t="shared" si="4"/>
        <v>632.22390317700456</v>
      </c>
      <c r="AH17" s="5">
        <f t="shared" si="4"/>
        <v>639.16505576208181</v>
      </c>
      <c r="AI17" s="270">
        <f t="shared" si="4"/>
        <v>646.33418647166354</v>
      </c>
    </row>
    <row r="18" spans="2:35" ht="14.25" customHeight="1">
      <c r="B18" s="3" t="s">
        <v>287</v>
      </c>
      <c r="C18" s="5">
        <v>0</v>
      </c>
      <c r="D18" s="5">
        <f t="shared" ref="D18:AI18" si="5">C12/C14*C9</f>
        <v>475.61538461538464</v>
      </c>
      <c r="E18" s="5">
        <f t="shared" si="5"/>
        <v>423.55932203389824</v>
      </c>
      <c r="F18" s="5">
        <f t="shared" si="5"/>
        <v>432.44119693806539</v>
      </c>
      <c r="G18" s="5">
        <f t="shared" si="5"/>
        <v>667.01298701298697</v>
      </c>
      <c r="H18" s="5">
        <f t="shared" si="5"/>
        <v>652.54551451187342</v>
      </c>
      <c r="I18" s="5">
        <f t="shared" si="5"/>
        <v>552.21120412105597</v>
      </c>
      <c r="J18" s="5">
        <f t="shared" si="5"/>
        <v>512.32194557035325</v>
      </c>
      <c r="K18" s="5">
        <f t="shared" si="5"/>
        <v>519.79602272727277</v>
      </c>
      <c r="L18" s="5">
        <f t="shared" si="5"/>
        <v>528.08908685968822</v>
      </c>
      <c r="M18" s="5">
        <f t="shared" si="5"/>
        <v>535.59738134206225</v>
      </c>
      <c r="N18" s="5">
        <f t="shared" si="5"/>
        <v>543.09304812834228</v>
      </c>
      <c r="O18" s="5">
        <f t="shared" si="5"/>
        <v>549.61929732564238</v>
      </c>
      <c r="P18" s="5">
        <f t="shared" si="5"/>
        <v>556.92185089974294</v>
      </c>
      <c r="Q18" s="5">
        <f t="shared" si="5"/>
        <v>563.72617246596064</v>
      </c>
      <c r="R18" s="5">
        <f t="shared" si="5"/>
        <v>570.22997032640944</v>
      </c>
      <c r="S18" s="5">
        <f t="shared" si="5"/>
        <v>577.0004854368932</v>
      </c>
      <c r="T18" s="5">
        <f t="shared" si="5"/>
        <v>583.9590281086231</v>
      </c>
      <c r="U18" s="5">
        <f t="shared" si="5"/>
        <v>590.71902758298268</v>
      </c>
      <c r="V18" s="5">
        <f t="shared" si="5"/>
        <v>597.16988062442613</v>
      </c>
      <c r="W18" s="5">
        <f t="shared" si="5"/>
        <v>603.62776025236599</v>
      </c>
      <c r="X18" s="5">
        <f t="shared" si="5"/>
        <v>615.68127490039842</v>
      </c>
      <c r="Y18" s="5">
        <f t="shared" si="5"/>
        <v>623.37853107344631</v>
      </c>
      <c r="Z18" s="5">
        <f t="shared" si="5"/>
        <v>630.7783945345858</v>
      </c>
      <c r="AA18" s="5">
        <f t="shared" si="5"/>
        <v>637.96560402684565</v>
      </c>
      <c r="AB18" s="5">
        <f t="shared" si="5"/>
        <v>645.36135146271113</v>
      </c>
      <c r="AC18" s="5">
        <f t="shared" si="5"/>
        <v>653.01336573511549</v>
      </c>
      <c r="AD18" s="5">
        <f t="shared" si="5"/>
        <v>660.66693195384005</v>
      </c>
      <c r="AE18" s="5">
        <f t="shared" si="5"/>
        <v>668.30895580758704</v>
      </c>
      <c r="AF18" s="5">
        <f t="shared" si="5"/>
        <v>675.17961538461543</v>
      </c>
      <c r="AG18" s="5">
        <f t="shared" si="5"/>
        <v>682.80181543116487</v>
      </c>
      <c r="AH18" s="5">
        <f t="shared" si="5"/>
        <v>690.42379182156139</v>
      </c>
      <c r="AI18" s="270">
        <f t="shared" si="5"/>
        <v>697.77074954296165</v>
      </c>
    </row>
    <row r="19" spans="2:35" ht="14.25" customHeight="1" thickBot="1">
      <c r="B19" s="271" t="s">
        <v>288</v>
      </c>
      <c r="C19" s="272"/>
      <c r="D19" s="273"/>
      <c r="E19" s="273">
        <f>IF(SUM($D$16:E16)&gt;VLOOKUP($C$6,'Personnel Requirement'!$B$20:$C$27,2,FALSE),1,0)</f>
        <v>0</v>
      </c>
      <c r="F19" s="273">
        <f>IF(SUM($D$16:F16)&gt;VLOOKUP($C$6,'Personnel Requirement'!$B$20:$C$27,2,FALSE),1,0)</f>
        <v>0</v>
      </c>
      <c r="G19" s="273">
        <f>IF(SUM($D$16:G16)&gt;VLOOKUP($C$6,'Personnel Requirement'!$B$20:$C$27,2,FALSE),1,0)</f>
        <v>0</v>
      </c>
      <c r="H19" s="273">
        <f>IF(SUM($D$16:H16)&gt;VLOOKUP($C$6,'Personnel Requirement'!$B$20:$C$27,2,FALSE),1,0)</f>
        <v>0</v>
      </c>
      <c r="I19" s="273">
        <f>IF(SUM($D$16:I16)&gt;VLOOKUP($C$6,'Personnel Requirement'!$B$20:$C$27,2,FALSE),1,0)</f>
        <v>0</v>
      </c>
      <c r="J19" s="273">
        <f>IF(SUM($D$16:J16)&gt;VLOOKUP($C$6,'Personnel Requirement'!$B$20:$C$27,2,FALSE),1,0)</f>
        <v>0</v>
      </c>
      <c r="K19" s="273">
        <f>IF(SUM($D$16:K16)&gt;VLOOKUP($C$6,'Personnel Requirement'!$B$20:$C$27,2,FALSE),1,0)</f>
        <v>0</v>
      </c>
      <c r="L19" s="273">
        <f>IF(SUM($D$16:L16)&gt;VLOOKUP($C$6,'Personnel Requirement'!$B$20:$C$27,2,FALSE),1,0)</f>
        <v>0</v>
      </c>
      <c r="M19" s="273">
        <f>IF(SUM($D$16:M16)&gt;VLOOKUP($C$6,'Personnel Requirement'!$B$20:$C$27,2,FALSE),1,0)</f>
        <v>0</v>
      </c>
      <c r="N19" s="273">
        <f>IF(SUM($D$16:N16)&gt;VLOOKUP($C$6,'Personnel Requirement'!$B$20:$C$27,2,FALSE),1,0)</f>
        <v>0</v>
      </c>
      <c r="O19" s="273">
        <f>IF(SUM($D$16:O16)&gt;VLOOKUP($C$6,'Personnel Requirement'!$B$20:$C$27,2,FALSE),1,0)</f>
        <v>0</v>
      </c>
      <c r="P19" s="273">
        <f>IF(SUM($D$16:P16)&gt;VLOOKUP($C$6,'Personnel Requirement'!$B$20:$C$27,2,FALSE),1,0)</f>
        <v>0</v>
      </c>
      <c r="Q19" s="273">
        <f>IF(SUM($D$16:Q16)&gt;VLOOKUP($C$6,'Personnel Requirement'!$B$20:$C$27,2,FALSE),1,0)</f>
        <v>0</v>
      </c>
      <c r="R19" s="273">
        <f>IF(SUM($D$16:R16)&gt;VLOOKUP($C$6,'Personnel Requirement'!$B$20:$C$27,2,FALSE),1,0)</f>
        <v>0</v>
      </c>
      <c r="S19" s="273">
        <f>IF(SUM($D$16:S16)&gt;VLOOKUP($C$6,'Personnel Requirement'!$B$20:$C$27,2,FALSE),1,0)</f>
        <v>0</v>
      </c>
      <c r="T19" s="273">
        <f>IF(SUM($D$16:T16)&gt;VLOOKUP($C$6,'Personnel Requirement'!$B$20:$C$27,2,FALSE),1,0)</f>
        <v>0</v>
      </c>
      <c r="U19" s="273">
        <f>IF(SUM($D$16:U16)&gt;VLOOKUP($C$6,'Personnel Requirement'!$B$20:$C$27,2,FALSE),1,0)</f>
        <v>0</v>
      </c>
      <c r="V19" s="273">
        <f>IF(SUM($D$16:V16)&gt;VLOOKUP($C$6,'Personnel Requirement'!$B$20:$C$27,2,FALSE),1,0)</f>
        <v>0</v>
      </c>
      <c r="W19" s="273">
        <f>IF(SUM($D$16:W16)&gt;VLOOKUP($C$6,'Personnel Requirement'!$B$20:$C$27,2,FALSE),1,0)</f>
        <v>0</v>
      </c>
      <c r="X19" s="273">
        <f>IF(SUM($D$16:X16)&gt;VLOOKUP($C$6,'Personnel Requirement'!$B$20:$C$27,2,FALSE),1,0)</f>
        <v>0</v>
      </c>
      <c r="Y19" s="273">
        <f>IF(SUM($D$16:Y16)&gt;VLOOKUP($C$6,'Personnel Requirement'!$B$20:$C$27,2,FALSE),1,0)</f>
        <v>0</v>
      </c>
      <c r="Z19" s="273">
        <f>IF(SUM($D$16:Z16)&gt;VLOOKUP($C$6,'Personnel Requirement'!$B$20:$C$27,2,FALSE),1,0)</f>
        <v>0</v>
      </c>
      <c r="AA19" s="273">
        <f>IF(SUM($D$16:AA16)&gt;VLOOKUP($C$6,'Personnel Requirement'!$B$20:$C$27,2,FALSE),1,0)</f>
        <v>0</v>
      </c>
      <c r="AB19" s="273">
        <f>IF(SUM($D$16:AB16)&gt;VLOOKUP($C$6,'Personnel Requirement'!$B$20:$C$27,2,FALSE),1,0)</f>
        <v>0</v>
      </c>
      <c r="AC19" s="273">
        <f>IF(SUM($D$16:AC16)&gt;VLOOKUP($C$6,'Personnel Requirement'!$B$20:$C$27,2,FALSE),1,0)</f>
        <v>0</v>
      </c>
      <c r="AD19" s="273">
        <f>IF(SUM($D$16:AD16)&gt;VLOOKUP($C$6,'Personnel Requirement'!$B$20:$C$27,2,FALSE),1,0)</f>
        <v>0</v>
      </c>
      <c r="AE19" s="273">
        <f>IF(SUM($D$16:AE16)&gt;VLOOKUP($C$6,'Personnel Requirement'!$B$20:$C$27,2,FALSE),1,0)</f>
        <v>0</v>
      </c>
      <c r="AF19" s="273">
        <f>IF(SUM($D$16:AF16)&gt;VLOOKUP($C$6,'Personnel Requirement'!$B$20:$C$27,2,FALSE),1,0)</f>
        <v>0</v>
      </c>
      <c r="AG19" s="273">
        <f>IF(SUM($D$16:AG16)&gt;VLOOKUP($C$6,'Personnel Requirement'!$B$20:$C$27,2,FALSE),1,0)</f>
        <v>0</v>
      </c>
      <c r="AH19" s="273">
        <f>IF(SUM($D$16:AH16)&gt;VLOOKUP($C$6,'Personnel Requirement'!$B$20:$C$27,2,FALSE),1,0)</f>
        <v>1</v>
      </c>
      <c r="AI19" s="274">
        <f>IF(SUM($D$16:AI16)&gt;VLOOKUP($C$6,'Personnel Requirement'!$B$20:$C$27,2,FALSE),1,0)</f>
        <v>1</v>
      </c>
    </row>
    <row r="20" spans="2:35" ht="14.25" customHeight="1"/>
    <row r="21" spans="2:35" ht="14.25" customHeight="1"/>
    <row r="22" spans="2:35" ht="14.25" customHeight="1" thickBot="1">
      <c r="B22" s="287" t="str">
        <f>CONCATENATE(C22," available personnel assessment")</f>
        <v>Fitter &amp; Turner available personnel assessment</v>
      </c>
      <c r="C22" s="288" t="s">
        <v>134</v>
      </c>
    </row>
    <row r="23" spans="2:35" ht="14.25" customHeight="1" thickBot="1">
      <c r="B23" s="161" t="s">
        <v>278</v>
      </c>
      <c r="C23" s="84">
        <v>2018</v>
      </c>
      <c r="D23" s="84">
        <f t="shared" ref="D23:AI23" si="6">C23+1</f>
        <v>2019</v>
      </c>
      <c r="E23" s="84">
        <f t="shared" si="6"/>
        <v>2020</v>
      </c>
      <c r="F23" s="84">
        <f t="shared" si="6"/>
        <v>2021</v>
      </c>
      <c r="G23" s="84">
        <f t="shared" si="6"/>
        <v>2022</v>
      </c>
      <c r="H23" s="84">
        <f t="shared" si="6"/>
        <v>2023</v>
      </c>
      <c r="I23" s="84">
        <f t="shared" si="6"/>
        <v>2024</v>
      </c>
      <c r="J23" s="84">
        <f t="shared" si="6"/>
        <v>2025</v>
      </c>
      <c r="K23" s="84">
        <f t="shared" si="6"/>
        <v>2026</v>
      </c>
      <c r="L23" s="84">
        <f t="shared" si="6"/>
        <v>2027</v>
      </c>
      <c r="M23" s="84">
        <f t="shared" si="6"/>
        <v>2028</v>
      </c>
      <c r="N23" s="84">
        <f t="shared" si="6"/>
        <v>2029</v>
      </c>
      <c r="O23" s="84">
        <f t="shared" si="6"/>
        <v>2030</v>
      </c>
      <c r="P23" s="84">
        <f t="shared" si="6"/>
        <v>2031</v>
      </c>
      <c r="Q23" s="84">
        <f t="shared" si="6"/>
        <v>2032</v>
      </c>
      <c r="R23" s="84">
        <f t="shared" si="6"/>
        <v>2033</v>
      </c>
      <c r="S23" s="84">
        <f t="shared" si="6"/>
        <v>2034</v>
      </c>
      <c r="T23" s="84">
        <f t="shared" si="6"/>
        <v>2035</v>
      </c>
      <c r="U23" s="84">
        <f t="shared" si="6"/>
        <v>2036</v>
      </c>
      <c r="V23" s="84">
        <f t="shared" si="6"/>
        <v>2037</v>
      </c>
      <c r="W23" s="84">
        <f t="shared" si="6"/>
        <v>2038</v>
      </c>
      <c r="X23" s="84">
        <f t="shared" si="6"/>
        <v>2039</v>
      </c>
      <c r="Y23" s="84">
        <f t="shared" si="6"/>
        <v>2040</v>
      </c>
      <c r="Z23" s="84">
        <f t="shared" si="6"/>
        <v>2041</v>
      </c>
      <c r="AA23" s="84">
        <f t="shared" si="6"/>
        <v>2042</v>
      </c>
      <c r="AB23" s="84">
        <f t="shared" si="6"/>
        <v>2043</v>
      </c>
      <c r="AC23" s="84">
        <f t="shared" si="6"/>
        <v>2044</v>
      </c>
      <c r="AD23" s="84">
        <f t="shared" si="6"/>
        <v>2045</v>
      </c>
      <c r="AE23" s="84">
        <f t="shared" si="6"/>
        <v>2046</v>
      </c>
      <c r="AF23" s="84">
        <f t="shared" si="6"/>
        <v>2047</v>
      </c>
      <c r="AG23" s="84">
        <f t="shared" si="6"/>
        <v>2048</v>
      </c>
      <c r="AH23" s="84">
        <f t="shared" si="6"/>
        <v>2049</v>
      </c>
      <c r="AI23" s="85">
        <f t="shared" si="6"/>
        <v>2050</v>
      </c>
    </row>
    <row r="24" spans="2:35" ht="14.25" customHeight="1">
      <c r="B24" s="182" t="s">
        <v>279</v>
      </c>
      <c r="C24" s="264">
        <f>SUMIF('People Stats'!$E$9:$E$17,$C$22,'People Stats'!$D$9:$D$17)</f>
        <v>10104</v>
      </c>
      <c r="D24" s="264">
        <f>C24-C28+C25</f>
        <v>10681</v>
      </c>
      <c r="E24" s="264">
        <f t="shared" ref="E24:AI24" si="7">D24+D25-D34</f>
        <v>11012.316455696202</v>
      </c>
      <c r="F24" s="264">
        <f t="shared" si="7"/>
        <v>11228.228132342909</v>
      </c>
      <c r="G24" s="264">
        <f t="shared" si="7"/>
        <v>11944.286271877792</v>
      </c>
      <c r="H24" s="264">
        <f t="shared" si="7"/>
        <v>12529.180708397051</v>
      </c>
      <c r="I24" s="264">
        <f t="shared" si="7"/>
        <v>12885.530574348793</v>
      </c>
      <c r="J24" s="264">
        <f t="shared" si="7"/>
        <v>13350.980702226032</v>
      </c>
      <c r="K24" s="264">
        <f t="shared" si="7"/>
        <v>13899.542087325717</v>
      </c>
      <c r="L24" s="264">
        <f t="shared" si="7"/>
        <v>14453.156140278874</v>
      </c>
      <c r="M24" s="264">
        <f t="shared" si="7"/>
        <v>15010.136455239504</v>
      </c>
      <c r="N24" s="264">
        <f t="shared" si="7"/>
        <v>15572.464714040647</v>
      </c>
      <c r="O24" s="264">
        <f t="shared" si="7"/>
        <v>16136.787918460535</v>
      </c>
      <c r="P24" s="264">
        <f t="shared" si="7"/>
        <v>16705.539925597019</v>
      </c>
      <c r="Q24" s="264">
        <f t="shared" si="7"/>
        <v>17278.354804489751</v>
      </c>
      <c r="R24" s="264">
        <f t="shared" si="7"/>
        <v>17854.832992409214</v>
      </c>
      <c r="S24" s="264">
        <f t="shared" si="7"/>
        <v>18435.528183933257</v>
      </c>
      <c r="T24" s="264">
        <f t="shared" si="7"/>
        <v>19020.048373957008</v>
      </c>
      <c r="U24" s="264">
        <f t="shared" si="7"/>
        <v>19608.848373957007</v>
      </c>
      <c r="V24" s="264">
        <f t="shared" si="7"/>
        <v>20200.614092519882</v>
      </c>
      <c r="W24" s="264">
        <f t="shared" si="7"/>
        <v>20797.241914806844</v>
      </c>
      <c r="X24" s="264">
        <f t="shared" si="7"/>
        <v>21407.319928991241</v>
      </c>
      <c r="Y24" s="264">
        <f t="shared" si="7"/>
        <v>22018.340675879208</v>
      </c>
      <c r="Z24" s="264">
        <f t="shared" si="7"/>
        <v>22635.377039515573</v>
      </c>
      <c r="AA24" s="264">
        <f t="shared" si="7"/>
        <v>23256.650184623912</v>
      </c>
      <c r="AB24" s="264">
        <f t="shared" si="7"/>
        <v>23883.024064265395</v>
      </c>
      <c r="AC24" s="264">
        <f t="shared" si="7"/>
        <v>24514.190314265394</v>
      </c>
      <c r="AD24" s="264">
        <f t="shared" si="7"/>
        <v>25150.531375888335</v>
      </c>
      <c r="AE24" s="264">
        <f t="shared" si="7"/>
        <v>25792.70350215397</v>
      </c>
      <c r="AF24" s="264">
        <f t="shared" si="7"/>
        <v>26439.641802503214</v>
      </c>
      <c r="AG24" s="264">
        <f t="shared" si="7"/>
        <v>27091.482530603327</v>
      </c>
      <c r="AH24" s="264">
        <f t="shared" si="7"/>
        <v>27748.587588969087</v>
      </c>
      <c r="AI24" s="265">
        <f t="shared" si="7"/>
        <v>28410.660454656962</v>
      </c>
    </row>
    <row r="25" spans="2:35" ht="14.25" customHeight="1">
      <c r="B25" s="10" t="s">
        <v>280</v>
      </c>
      <c r="C25" s="12">
        <f>INDEX('Personnel Replenishment'!$C$7:$L$14,MATCH($C$22,'Personnel Replenishment'!$B$7:$B$14,0),MATCH(C$23,'Personnel Replenishment'!$C$6:$L$6,0))</f>
        <v>905</v>
      </c>
      <c r="D25" s="12">
        <f>INDEX('Personnel Replenishment'!$C$7:$L$14,MATCH($C$22,'Personnel Replenishment'!$B$7:$B$14,0),MATCH(D$23,'Personnel Replenishment'!$C$6:$L$6,0))</f>
        <v>801</v>
      </c>
      <c r="E25" s="12">
        <f>INDEX('Personnel Replenishment'!$C$7:$L$14,MATCH($C$22,'Personnel Replenishment'!$B$7:$B$14,0),MATCH(E$23,'Personnel Replenishment'!$C$6:$L$6,0))</f>
        <v>632</v>
      </c>
      <c r="F25" s="12">
        <f>INDEX('Personnel Replenishment'!$C$7:$L$14,MATCH($C$22,'Personnel Replenishment'!$B$7:$B$14,0),MATCH(F$23,'Personnel Replenishment'!$C$6:$L$6,0))</f>
        <v>1044</v>
      </c>
      <c r="G25" s="12">
        <f>INDEX('Personnel Replenishment'!$C$7:$L$14,MATCH($C$22,'Personnel Replenishment'!$B$7:$B$14,0),MATCH(G$23,'Personnel Replenishment'!$C$6:$L$6,0))</f>
        <v>1127</v>
      </c>
      <c r="H25" s="12">
        <f>INDEX('Personnel Replenishment'!$C$36:$AD$39,MATCH($C$22,'Personnel Replenishment'!$B$36:$B$39,0),MATCH(H$23,'Personnel Replenishment'!$C$35:$AD$35,0))*(1+Variables!$C$28)</f>
        <v>941</v>
      </c>
      <c r="I25" s="12">
        <f>INDEX('Personnel Replenishment'!$C$36:$AD$39,MATCH($C$22,'Personnel Replenishment'!$B$36:$B$39,0),MATCH(I$23,'Personnel Replenishment'!$C$35:$AD$35,0))*(1+Variables!$C$28)</f>
        <v>954</v>
      </c>
      <c r="J25" s="12">
        <f>INDEX('Personnel Replenishment'!$C$36:$AD$39,MATCH($C$22,'Personnel Replenishment'!$B$36:$B$39,0),MATCH(J$23,'Personnel Replenishment'!$C$35:$AD$35,0))*(1+Variables!$C$28)</f>
        <v>967</v>
      </c>
      <c r="K25" s="12">
        <f>INDEX('Personnel Replenishment'!$C$36:$AD$39,MATCH($C$22,'Personnel Replenishment'!$B$36:$B$39,0),MATCH(K$23,'Personnel Replenishment'!$C$35:$AD$35,0))*(1+Variables!$C$28)</f>
        <v>980</v>
      </c>
      <c r="L25" s="12">
        <f>INDEX('Personnel Replenishment'!$C$36:$AD$39,MATCH($C$22,'Personnel Replenishment'!$B$36:$B$39,0),MATCH(L$23,'Personnel Replenishment'!$C$35:$AD$35,0))*(1+Variables!$C$28)</f>
        <v>992</v>
      </c>
      <c r="M25" s="12">
        <f>INDEX('Personnel Replenishment'!$C$36:$AD$39,MATCH($C$22,'Personnel Replenishment'!$B$36:$B$39,0),MATCH(M$23,'Personnel Replenishment'!$C$35:$AD$35,0))*(1+Variables!$C$28)</f>
        <v>1005</v>
      </c>
      <c r="N25" s="12">
        <f>INDEX('Personnel Replenishment'!$C$36:$AD$39,MATCH($C$22,'Personnel Replenishment'!$B$36:$B$39,0),MATCH(N$23,'Personnel Replenishment'!$C$35:$AD$35,0))*(1+Variables!$C$28)</f>
        <v>1015</v>
      </c>
      <c r="O25" s="12">
        <f>INDEX('Personnel Replenishment'!$C$36:$AD$39,MATCH($C$22,'Personnel Replenishment'!$B$36:$B$39,0),MATCH(O$23,'Personnel Replenishment'!$C$35:$AD$35,0))*(1+Variables!$C$28)</f>
        <v>1026</v>
      </c>
      <c r="P25" s="12">
        <f>INDEX('Personnel Replenishment'!$C$36:$AD$39,MATCH($C$22,'Personnel Replenishment'!$B$36:$B$39,0),MATCH(P$23,'Personnel Replenishment'!$C$35:$AD$35,0))*(1+Variables!$C$28)</f>
        <v>1037</v>
      </c>
      <c r="Q25" s="12">
        <f>INDEX('Personnel Replenishment'!$C$36:$AD$39,MATCH($C$22,'Personnel Replenishment'!$B$36:$B$39,0),MATCH(Q$23,'Personnel Replenishment'!$C$35:$AD$35,0))*(1+Variables!$C$28)</f>
        <v>1048</v>
      </c>
      <c r="R25" s="12">
        <f>INDEX('Personnel Replenishment'!$C$36:$AD$39,MATCH($C$22,'Personnel Replenishment'!$B$36:$B$39,0),MATCH(R$23,'Personnel Replenishment'!$C$35:$AD$35,0))*(1+Variables!$C$28)</f>
        <v>1059</v>
      </c>
      <c r="S25" s="12">
        <f>INDEX('Personnel Replenishment'!$C$36:$AD$39,MATCH($C$22,'Personnel Replenishment'!$B$36:$B$39,0),MATCH(S$23,'Personnel Replenishment'!$C$35:$AD$35,0))*(1+Variables!$C$28)</f>
        <v>1070</v>
      </c>
      <c r="T25" s="12">
        <f>INDEX('Personnel Replenishment'!$C$36:$AD$39,MATCH($C$22,'Personnel Replenishment'!$B$36:$B$39,0),MATCH(T$23,'Personnel Replenishment'!$C$35:$AD$35,0))*(1+Variables!$C$28)</f>
        <v>1081</v>
      </c>
      <c r="U25" s="12">
        <f>INDEX('Personnel Replenishment'!$C$36:$AD$39,MATCH($C$22,'Personnel Replenishment'!$B$36:$B$39,0),MATCH(U$23,'Personnel Replenishment'!$C$35:$AD$35,0))*(1+Variables!$C$28)</f>
        <v>1091</v>
      </c>
      <c r="V25" s="12">
        <f>INDEX('Personnel Replenishment'!$C$36:$AD$39,MATCH($C$22,'Personnel Replenishment'!$B$36:$B$39,0),MATCH(V$23,'Personnel Replenishment'!$C$35:$AD$35,0))*(1+Variables!$C$28)</f>
        <v>1102</v>
      </c>
      <c r="W25" s="12">
        <f>INDEX('Personnel Replenishment'!$C$36:$AD$39,MATCH($C$22,'Personnel Replenishment'!$B$36:$B$39,0),MATCH(W$23,'Personnel Replenishment'!$C$35:$AD$35,0))*(1+Variables!$C$28)</f>
        <v>1122</v>
      </c>
      <c r="X25" s="12">
        <f>INDEX('Personnel Replenishment'!$C$36:$AD$39,MATCH($C$22,'Personnel Replenishment'!$B$36:$B$39,0),MATCH(X$23,'Personnel Replenishment'!$C$35:$AD$35,0))*(1+Variables!$C$28)</f>
        <v>1134</v>
      </c>
      <c r="Y25" s="12">
        <f>INDEX('Personnel Replenishment'!$C$36:$AD$39,MATCH($C$22,'Personnel Replenishment'!$B$36:$B$39,0),MATCH(Y$23,'Personnel Replenishment'!$C$35:$AD$35,0))*(1+Variables!$C$28)</f>
        <v>1147</v>
      </c>
      <c r="Z25" s="12">
        <f>INDEX('Personnel Replenishment'!$C$36:$AD$39,MATCH($C$22,'Personnel Replenishment'!$B$36:$B$39,0),MATCH(Z$23,'Personnel Replenishment'!$C$35:$AD$35,0))*(1+Variables!$C$28)</f>
        <v>1159</v>
      </c>
      <c r="AA25" s="12">
        <f>INDEX('Personnel Replenishment'!$C$36:$AD$39,MATCH($C$22,'Personnel Replenishment'!$B$36:$B$39,0),MATCH(AA$23,'Personnel Replenishment'!$C$35:$AD$35,0))*(1+Variables!$C$28)</f>
        <v>1171</v>
      </c>
      <c r="AB25" s="12">
        <f>INDEX('Personnel Replenishment'!$C$36:$AD$39,MATCH($C$22,'Personnel Replenishment'!$B$36:$B$39,0),MATCH(AB$23,'Personnel Replenishment'!$C$35:$AD$35,0))*(1+Variables!$C$28)</f>
        <v>1183</v>
      </c>
      <c r="AC25" s="12">
        <f>INDEX('Personnel Replenishment'!$C$36:$AD$39,MATCH($C$22,'Personnel Replenishment'!$B$36:$B$39,0),MATCH(AC$23,'Personnel Replenishment'!$C$35:$AD$35,0))*(1+Variables!$C$28)</f>
        <v>1195</v>
      </c>
      <c r="AD25" s="12">
        <f>INDEX('Personnel Replenishment'!$C$36:$AD$39,MATCH($C$22,'Personnel Replenishment'!$B$36:$B$39,0),MATCH(AD$23,'Personnel Replenishment'!$C$35:$AD$35,0))*(1+Variables!$C$28)</f>
        <v>1208</v>
      </c>
      <c r="AE25" s="12">
        <f>INDEX('Personnel Replenishment'!$C$36:$AD$39,MATCH($C$22,'Personnel Replenishment'!$B$36:$B$39,0),MATCH(AE$23,'Personnel Replenishment'!$C$35:$AD$35,0))*(1+Variables!$C$28)</f>
        <v>1220</v>
      </c>
      <c r="AF25" s="12">
        <f>INDEX('Personnel Replenishment'!$C$36:$AD$39,MATCH($C$22,'Personnel Replenishment'!$B$36:$B$39,0),MATCH(AF$23,'Personnel Replenishment'!$C$35:$AD$35,0))*(1+Variables!$C$28)</f>
        <v>1232</v>
      </c>
      <c r="AG25" s="12">
        <f>INDEX('Personnel Replenishment'!$C$36:$AD$39,MATCH($C$22,'Personnel Replenishment'!$B$36:$B$39,0),MATCH(AG$23,'Personnel Replenishment'!$C$35:$AD$35,0))*(1+Variables!$C$28)</f>
        <v>1244</v>
      </c>
      <c r="AH25" s="12">
        <f>INDEX('Personnel Replenishment'!$C$36:$AD$39,MATCH($C$22,'Personnel Replenishment'!$B$36:$B$39,0),MATCH(AH$23,'Personnel Replenishment'!$C$35:$AD$35,0))*(1+Variables!$C$28)</f>
        <v>1256</v>
      </c>
      <c r="AI25" s="266">
        <f>INDEX('Personnel Replenishment'!$C$36:$AD$39,MATCH($C$22,'Personnel Replenishment'!$B$36:$B$39,0),MATCH(AI$23,'Personnel Replenishment'!$C$35:$AD$35,0))*(1+Variables!$C$28)</f>
        <v>1269</v>
      </c>
    </row>
    <row r="26" spans="2:35" ht="14.25" customHeight="1">
      <c r="B26" s="267"/>
      <c r="C26" s="268"/>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9"/>
    </row>
    <row r="27" spans="2:35" ht="14.25" customHeight="1">
      <c r="B27" s="182" t="s">
        <v>281</v>
      </c>
      <c r="C27" s="264">
        <f>ROUNDUP(C24*Variables!$C$25,0)</f>
        <v>304</v>
      </c>
      <c r="D27" s="264">
        <f>ROUNDUP(D24*Variables!$C$25,0)</f>
        <v>321</v>
      </c>
      <c r="E27" s="264">
        <f>ROUNDUP(E24*Variables!$C$25,0)</f>
        <v>331</v>
      </c>
      <c r="F27" s="264">
        <f>ROUNDUP(F24*Variables!$C$25,0)</f>
        <v>337</v>
      </c>
      <c r="G27" s="264">
        <f>ROUNDUP(G24*Variables!$C$25,0)</f>
        <v>359</v>
      </c>
      <c r="H27" s="264">
        <f>ROUNDUP(H24*Variables!$C$25,0)</f>
        <v>376</v>
      </c>
      <c r="I27" s="264">
        <f>ROUNDUP(I24*Variables!$C$25,0)</f>
        <v>387</v>
      </c>
      <c r="J27" s="264">
        <f>ROUNDUP(J24*Variables!$C$25,0)</f>
        <v>401</v>
      </c>
      <c r="K27" s="264">
        <f>ROUNDUP(K24*Variables!$C$25,0)</f>
        <v>417</v>
      </c>
      <c r="L27" s="264">
        <f>ROUNDUP(L24*Variables!$C$25,0)</f>
        <v>434</v>
      </c>
      <c r="M27" s="264">
        <f>ROUNDUP(M24*Variables!$C$25,0)</f>
        <v>451</v>
      </c>
      <c r="N27" s="264">
        <f>ROUNDUP(N24*Variables!$C$25,0)</f>
        <v>468</v>
      </c>
      <c r="O27" s="264">
        <f>ROUNDUP(O24*Variables!$C$25,0)</f>
        <v>485</v>
      </c>
      <c r="P27" s="264">
        <f>ROUNDUP(P24*Variables!$C$25,0)</f>
        <v>502</v>
      </c>
      <c r="Q27" s="264">
        <f>ROUNDUP(Q24*Variables!$C$25,0)</f>
        <v>519</v>
      </c>
      <c r="R27" s="264">
        <f>ROUNDUP(R24*Variables!$C$25,0)</f>
        <v>536</v>
      </c>
      <c r="S27" s="264">
        <f>ROUNDUP(S24*Variables!$C$25,0)</f>
        <v>554</v>
      </c>
      <c r="T27" s="264">
        <f>ROUNDUP(T24*Variables!$C$25,0)</f>
        <v>571</v>
      </c>
      <c r="U27" s="264">
        <f>ROUNDUP(U24*Variables!$C$25,0)</f>
        <v>589</v>
      </c>
      <c r="V27" s="264">
        <f>ROUNDUP(V24*Variables!$C$25,0)</f>
        <v>607</v>
      </c>
      <c r="W27" s="264">
        <f>ROUNDUP(W24*Variables!$C$25,0)</f>
        <v>624</v>
      </c>
      <c r="X27" s="264">
        <f>ROUNDUP(X24*Variables!$C$25,0)</f>
        <v>643</v>
      </c>
      <c r="Y27" s="264">
        <f>ROUNDUP(Y24*Variables!$C$25,0)</f>
        <v>661</v>
      </c>
      <c r="Z27" s="264">
        <f>ROUNDUP(Z24*Variables!$C$25,0)</f>
        <v>680</v>
      </c>
      <c r="AA27" s="264">
        <f>ROUNDUP(AA24*Variables!$C$25,0)</f>
        <v>698</v>
      </c>
      <c r="AB27" s="264">
        <f>ROUNDUP(AB24*Variables!$C$25,0)</f>
        <v>717</v>
      </c>
      <c r="AC27" s="264">
        <f>ROUNDUP(AC24*Variables!$C$25,0)</f>
        <v>736</v>
      </c>
      <c r="AD27" s="264">
        <f>ROUNDUP(AD24*Variables!$C$25,0)</f>
        <v>755</v>
      </c>
      <c r="AE27" s="264">
        <f>ROUNDUP(AE24*Variables!$C$25,0)</f>
        <v>774</v>
      </c>
      <c r="AF27" s="264">
        <f>ROUNDUP(AF24*Variables!$C$25,0)</f>
        <v>794</v>
      </c>
      <c r="AG27" s="264">
        <f>ROUNDUP(AG24*Variables!$C$25,0)</f>
        <v>813</v>
      </c>
      <c r="AH27" s="264">
        <f>ROUNDUP(AH24*Variables!$C$25,0)</f>
        <v>833</v>
      </c>
      <c r="AI27" s="265">
        <f>ROUNDUP(AI24*Variables!$C$25,0)</f>
        <v>853</v>
      </c>
    </row>
    <row r="28" spans="2:35" ht="14.25" customHeight="1">
      <c r="B28" s="3" t="s">
        <v>282</v>
      </c>
      <c r="C28" s="5">
        <f>ROUNDUP(C24*Variables!$C$26,0)</f>
        <v>328</v>
      </c>
      <c r="D28" s="5">
        <f>ROUNDUP(D24*Variables!$C$26,0)</f>
        <v>347</v>
      </c>
      <c r="E28" s="5">
        <f>ROUNDUP(E24*Variables!$C$26,0)</f>
        <v>357</v>
      </c>
      <c r="F28" s="5">
        <f>ROUNDUP(F24*Variables!$C$26,0)</f>
        <v>364</v>
      </c>
      <c r="G28" s="5">
        <f>ROUNDUP(G24*Variables!$C$26,0)</f>
        <v>387</v>
      </c>
      <c r="H28" s="5">
        <f>ROUNDUP(H24*Variables!$C$26,0)</f>
        <v>406</v>
      </c>
      <c r="I28" s="5">
        <f>ROUNDUP(I24*Variables!$C$26,0)</f>
        <v>418</v>
      </c>
      <c r="J28" s="5">
        <f>ROUNDUP(J24*Variables!$C$26,0)</f>
        <v>433</v>
      </c>
      <c r="K28" s="5">
        <f>ROUNDUP(K24*Variables!$C$26,0)</f>
        <v>451</v>
      </c>
      <c r="L28" s="5">
        <f>ROUNDUP(L24*Variables!$C$26,0)</f>
        <v>469</v>
      </c>
      <c r="M28" s="5">
        <f>ROUNDUP(M24*Variables!$C$26,0)</f>
        <v>487</v>
      </c>
      <c r="N28" s="5">
        <f>ROUNDUP(N24*Variables!$C$26,0)</f>
        <v>505</v>
      </c>
      <c r="O28" s="5">
        <f>ROUNDUP(O24*Variables!$C$26,0)</f>
        <v>523</v>
      </c>
      <c r="P28" s="5">
        <f>ROUNDUP(P24*Variables!$C$26,0)</f>
        <v>542</v>
      </c>
      <c r="Q28" s="5">
        <f>ROUNDUP(Q24*Variables!$C$26,0)</f>
        <v>560</v>
      </c>
      <c r="R28" s="5">
        <f>ROUNDUP(R24*Variables!$C$26,0)</f>
        <v>579</v>
      </c>
      <c r="S28" s="5">
        <f>ROUNDUP(S24*Variables!$C$26,0)</f>
        <v>598</v>
      </c>
      <c r="T28" s="5">
        <f>ROUNDUP(T24*Variables!$C$26,0)</f>
        <v>617</v>
      </c>
      <c r="U28" s="5">
        <f>ROUNDUP(U24*Variables!$C$26,0)</f>
        <v>636</v>
      </c>
      <c r="V28" s="5">
        <f>ROUNDUP(V24*Variables!$C$26,0)</f>
        <v>655</v>
      </c>
      <c r="W28" s="5">
        <f>ROUNDUP(W24*Variables!$C$26,0)</f>
        <v>674</v>
      </c>
      <c r="X28" s="5">
        <f>ROUNDUP(X24*Variables!$C$26,0)</f>
        <v>694</v>
      </c>
      <c r="Y28" s="5">
        <f>ROUNDUP(Y24*Variables!$C$26,0)</f>
        <v>714</v>
      </c>
      <c r="Z28" s="5">
        <f>ROUNDUP(Z24*Variables!$C$26,0)</f>
        <v>734</v>
      </c>
      <c r="AA28" s="5">
        <f>ROUNDUP(AA24*Variables!$C$26,0)</f>
        <v>754</v>
      </c>
      <c r="AB28" s="5">
        <f>ROUNDUP(AB24*Variables!$C$26,0)</f>
        <v>774</v>
      </c>
      <c r="AC28" s="5">
        <f>ROUNDUP(AC24*Variables!$C$26,0)</f>
        <v>795</v>
      </c>
      <c r="AD28" s="5">
        <f>ROUNDUP(AD24*Variables!$C$26,0)</f>
        <v>815</v>
      </c>
      <c r="AE28" s="5">
        <f>ROUNDUP(AE24*Variables!$C$26,0)</f>
        <v>836</v>
      </c>
      <c r="AF28" s="5">
        <f>ROUNDUP(AF24*Variables!$C$26,0)</f>
        <v>857</v>
      </c>
      <c r="AG28" s="5">
        <f>ROUNDUP(AG24*Variables!$C$26,0)</f>
        <v>878</v>
      </c>
      <c r="AH28" s="5">
        <f>ROUNDUP(AH24*Variables!$C$26,0)</f>
        <v>900</v>
      </c>
      <c r="AI28" s="270">
        <f>ROUNDUP(AI24*Variables!$C$26,0)</f>
        <v>921</v>
      </c>
    </row>
    <row r="29" spans="2:35" ht="14.25" customHeight="1">
      <c r="B29" s="3" t="s">
        <v>283</v>
      </c>
      <c r="C29" s="5">
        <v>0</v>
      </c>
      <c r="D29" s="5">
        <v>0</v>
      </c>
      <c r="E29" s="5">
        <v>0</v>
      </c>
      <c r="F29" s="5">
        <v>0</v>
      </c>
      <c r="G29" s="5">
        <v>0</v>
      </c>
      <c r="H29" s="5">
        <v>0</v>
      </c>
      <c r="I29" s="5">
        <f>(VLOOKUP($C$22,'Personnel Requirement'!$B$10:$H$17,7,0))</f>
        <v>148</v>
      </c>
      <c r="J29" s="5">
        <f>(VLOOKUP($C$22,'Personnel Requirement'!$B$10:$H$17,7,0))</f>
        <v>148</v>
      </c>
      <c r="K29" s="5">
        <f>(VLOOKUP($C$22,'Personnel Requirement'!$B$10:$H$17,7,0))</f>
        <v>148</v>
      </c>
      <c r="L29" s="5">
        <f>(VLOOKUP($C$22,'Personnel Requirement'!$B$10:$H$17,7,0))</f>
        <v>148</v>
      </c>
      <c r="M29" s="5">
        <f>(VLOOKUP($C$22,'Personnel Requirement'!$B$10:$H$17,7,0))</f>
        <v>148</v>
      </c>
      <c r="N29" s="5">
        <f>(VLOOKUP($C$22,'Personnel Requirement'!$B$10:$H$17,7,0))</f>
        <v>148</v>
      </c>
      <c r="O29" s="5">
        <f>(VLOOKUP($C$22,'Personnel Requirement'!$B$10:$H$17,7,0))</f>
        <v>148</v>
      </c>
      <c r="P29" s="5">
        <f>(VLOOKUP($C$22,'Personnel Requirement'!$B$10:$H$17,7,0))</f>
        <v>148</v>
      </c>
      <c r="Q29" s="5">
        <f>(VLOOKUP($C$22,'Personnel Requirement'!$B$10:$H$17,7,0))</f>
        <v>148</v>
      </c>
      <c r="R29" s="5">
        <f>(VLOOKUP($C$22,'Personnel Requirement'!$B$10:$H$17,7,0))</f>
        <v>148</v>
      </c>
      <c r="S29" s="5">
        <f>(VLOOKUP($C$22,'Personnel Requirement'!$B$10:$H$17,7,0))</f>
        <v>148</v>
      </c>
      <c r="T29" s="5">
        <f>(VLOOKUP($C$22,'Personnel Requirement'!$B$10:$H$17,7,0))</f>
        <v>148</v>
      </c>
      <c r="U29" s="5">
        <f>(VLOOKUP($C$22,'Personnel Requirement'!$B$10:$H$17,7,0))</f>
        <v>148</v>
      </c>
      <c r="V29" s="5">
        <f>(VLOOKUP($C$22,'Personnel Requirement'!$B$10:$H$17,7,0))</f>
        <v>148</v>
      </c>
      <c r="W29" s="5">
        <f>(VLOOKUP($C$22,'Personnel Requirement'!$B$10:$H$17,7,0))</f>
        <v>148</v>
      </c>
      <c r="X29" s="5">
        <f>(VLOOKUP($C$22,'Personnel Requirement'!$B$10:$H$17,7,0))</f>
        <v>148</v>
      </c>
      <c r="Y29" s="5">
        <f>(VLOOKUP($C$22,'Personnel Requirement'!$B$10:$H$17,7,0))</f>
        <v>148</v>
      </c>
      <c r="Z29" s="5">
        <f>(VLOOKUP($C$22,'Personnel Requirement'!$B$10:$H$17,7,0))</f>
        <v>148</v>
      </c>
      <c r="AA29" s="5">
        <f>(VLOOKUP($C$22,'Personnel Requirement'!$B$10:$H$17,7,0))</f>
        <v>148</v>
      </c>
      <c r="AB29" s="5">
        <f>(VLOOKUP($C$22,'Personnel Requirement'!$B$10:$H$17,7,0))</f>
        <v>148</v>
      </c>
      <c r="AC29" s="5">
        <f>(VLOOKUP($C$22,'Personnel Requirement'!$B$10:$H$17,7,0))</f>
        <v>148</v>
      </c>
      <c r="AD29" s="5">
        <f>(VLOOKUP($C$22,'Personnel Requirement'!$B$10:$H$17,7,0))</f>
        <v>148</v>
      </c>
      <c r="AE29" s="5">
        <f>(VLOOKUP($C$22,'Personnel Requirement'!$B$10:$H$17,7,0))</f>
        <v>148</v>
      </c>
      <c r="AF29" s="5">
        <f>(VLOOKUP($C$22,'Personnel Requirement'!$B$10:$H$17,7,0))</f>
        <v>148</v>
      </c>
      <c r="AG29" s="5">
        <f>(VLOOKUP($C$22,'Personnel Requirement'!$B$10:$H$17,7,0))</f>
        <v>148</v>
      </c>
      <c r="AH29" s="5">
        <f>(VLOOKUP($C$22,'Personnel Requirement'!$B$10:$H$17,7,0))</f>
        <v>148</v>
      </c>
      <c r="AI29" s="270">
        <f>(VLOOKUP($C$22,'Personnel Requirement'!$B$10:$H$17,7,0))</f>
        <v>148</v>
      </c>
    </row>
    <row r="30" spans="2:35" ht="14.25" customHeight="1">
      <c r="B30" s="182" t="s">
        <v>284</v>
      </c>
      <c r="C30" s="264">
        <f t="shared" ref="C30:AI30" si="8">SUM(C27:C29)</f>
        <v>632</v>
      </c>
      <c r="D30" s="264">
        <f t="shared" si="8"/>
        <v>668</v>
      </c>
      <c r="E30" s="264">
        <f t="shared" si="8"/>
        <v>688</v>
      </c>
      <c r="F30" s="264">
        <f t="shared" si="8"/>
        <v>701</v>
      </c>
      <c r="G30" s="264">
        <f t="shared" si="8"/>
        <v>746</v>
      </c>
      <c r="H30" s="264">
        <f t="shared" si="8"/>
        <v>782</v>
      </c>
      <c r="I30" s="264">
        <f t="shared" si="8"/>
        <v>953</v>
      </c>
      <c r="J30" s="264">
        <f t="shared" si="8"/>
        <v>982</v>
      </c>
      <c r="K30" s="264">
        <f t="shared" si="8"/>
        <v>1016</v>
      </c>
      <c r="L30" s="264">
        <f t="shared" si="8"/>
        <v>1051</v>
      </c>
      <c r="M30" s="264">
        <f t="shared" si="8"/>
        <v>1086</v>
      </c>
      <c r="N30" s="264">
        <f t="shared" si="8"/>
        <v>1121</v>
      </c>
      <c r="O30" s="264">
        <f t="shared" si="8"/>
        <v>1156</v>
      </c>
      <c r="P30" s="264">
        <f t="shared" si="8"/>
        <v>1192</v>
      </c>
      <c r="Q30" s="264">
        <f t="shared" si="8"/>
        <v>1227</v>
      </c>
      <c r="R30" s="264">
        <f t="shared" si="8"/>
        <v>1263</v>
      </c>
      <c r="S30" s="264">
        <f t="shared" si="8"/>
        <v>1300</v>
      </c>
      <c r="T30" s="264">
        <f t="shared" si="8"/>
        <v>1336</v>
      </c>
      <c r="U30" s="264">
        <f t="shared" si="8"/>
        <v>1373</v>
      </c>
      <c r="V30" s="264">
        <f t="shared" si="8"/>
        <v>1410</v>
      </c>
      <c r="W30" s="264">
        <f t="shared" si="8"/>
        <v>1446</v>
      </c>
      <c r="X30" s="264">
        <f t="shared" si="8"/>
        <v>1485</v>
      </c>
      <c r="Y30" s="264">
        <f t="shared" si="8"/>
        <v>1523</v>
      </c>
      <c r="Z30" s="264">
        <f t="shared" si="8"/>
        <v>1562</v>
      </c>
      <c r="AA30" s="264">
        <f t="shared" si="8"/>
        <v>1600</v>
      </c>
      <c r="AB30" s="264">
        <f t="shared" si="8"/>
        <v>1639</v>
      </c>
      <c r="AC30" s="264">
        <f t="shared" si="8"/>
        <v>1679</v>
      </c>
      <c r="AD30" s="264">
        <f t="shared" si="8"/>
        <v>1718</v>
      </c>
      <c r="AE30" s="264">
        <f t="shared" si="8"/>
        <v>1758</v>
      </c>
      <c r="AF30" s="264">
        <f t="shared" si="8"/>
        <v>1799</v>
      </c>
      <c r="AG30" s="264">
        <f t="shared" si="8"/>
        <v>1839</v>
      </c>
      <c r="AH30" s="264">
        <f t="shared" si="8"/>
        <v>1881</v>
      </c>
      <c r="AI30" s="265">
        <f t="shared" si="8"/>
        <v>1922</v>
      </c>
    </row>
    <row r="31" spans="2:35" ht="14.25" customHeight="1">
      <c r="B31" s="267"/>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9"/>
    </row>
    <row r="32" spans="2:35" ht="14.25" customHeight="1">
      <c r="B32" s="3" t="s">
        <v>285</v>
      </c>
      <c r="C32" s="5"/>
      <c r="D32" s="5">
        <f t="shared" ref="D32:AI32" si="9">(C29/C30)*C25</f>
        <v>0</v>
      </c>
      <c r="E32" s="5">
        <f t="shared" si="9"/>
        <v>0</v>
      </c>
      <c r="F32" s="5">
        <f t="shared" si="9"/>
        <v>0</v>
      </c>
      <c r="G32" s="5">
        <f t="shared" si="9"/>
        <v>0</v>
      </c>
      <c r="H32" s="5">
        <f t="shared" si="9"/>
        <v>0</v>
      </c>
      <c r="I32" s="5">
        <f t="shared" si="9"/>
        <v>0</v>
      </c>
      <c r="J32" s="5">
        <f t="shared" si="9"/>
        <v>148.15529905561385</v>
      </c>
      <c r="K32" s="5">
        <f t="shared" si="9"/>
        <v>145.73930753564156</v>
      </c>
      <c r="L32" s="5">
        <f t="shared" si="9"/>
        <v>142.75590551181102</v>
      </c>
      <c r="M32" s="5">
        <f t="shared" si="9"/>
        <v>139.69172216936249</v>
      </c>
      <c r="N32" s="5">
        <f t="shared" si="9"/>
        <v>136.96132596685084</v>
      </c>
      <c r="O32" s="5">
        <f t="shared" si="9"/>
        <v>134.00535236396075</v>
      </c>
      <c r="P32" s="5">
        <f t="shared" si="9"/>
        <v>131.35640138408303</v>
      </c>
      <c r="Q32" s="5">
        <f t="shared" si="9"/>
        <v>128.75503355704697</v>
      </c>
      <c r="R32" s="5">
        <f t="shared" si="9"/>
        <v>126.40912795436023</v>
      </c>
      <c r="S32" s="5">
        <f t="shared" si="9"/>
        <v>124.09501187648456</v>
      </c>
      <c r="T32" s="5">
        <f t="shared" si="9"/>
        <v>121.81538461538462</v>
      </c>
      <c r="U32" s="5">
        <f t="shared" si="9"/>
        <v>119.75149700598803</v>
      </c>
      <c r="V32" s="5">
        <f t="shared" si="9"/>
        <v>117.60233066278224</v>
      </c>
      <c r="W32" s="5">
        <f t="shared" si="9"/>
        <v>115.6709219858156</v>
      </c>
      <c r="X32" s="5">
        <f t="shared" si="9"/>
        <v>114.83817427385891</v>
      </c>
      <c r="Y32" s="5">
        <f t="shared" si="9"/>
        <v>113.01818181818182</v>
      </c>
      <c r="Z32" s="5">
        <f t="shared" si="9"/>
        <v>111.46158896913985</v>
      </c>
      <c r="AA32" s="5">
        <f t="shared" si="9"/>
        <v>109.8156209987196</v>
      </c>
      <c r="AB32" s="5">
        <f t="shared" si="9"/>
        <v>108.3175</v>
      </c>
      <c r="AC32" s="5">
        <f t="shared" si="9"/>
        <v>106.82367297132397</v>
      </c>
      <c r="AD32" s="5">
        <f t="shared" si="9"/>
        <v>105.33650982727814</v>
      </c>
      <c r="AE32" s="5">
        <f t="shared" si="9"/>
        <v>104.06519208381839</v>
      </c>
      <c r="AF32" s="5">
        <f t="shared" si="9"/>
        <v>102.70762229806597</v>
      </c>
      <c r="AG32" s="5">
        <f t="shared" si="9"/>
        <v>101.35408560311284</v>
      </c>
      <c r="AH32" s="5">
        <f t="shared" si="9"/>
        <v>100.11528004350191</v>
      </c>
      <c r="AI32" s="270">
        <f t="shared" si="9"/>
        <v>98.824029771398202</v>
      </c>
    </row>
    <row r="33" spans="2:35" ht="14.25" customHeight="1">
      <c r="B33" s="3" t="s">
        <v>286</v>
      </c>
      <c r="C33" s="5"/>
      <c r="D33" s="5">
        <f t="shared" ref="D33:AI33" si="10">C27/C30*C25</f>
        <v>435.31645569620252</v>
      </c>
      <c r="E33" s="5">
        <f t="shared" si="10"/>
        <v>384.91167664670655</v>
      </c>
      <c r="F33" s="5">
        <f t="shared" si="10"/>
        <v>304.05813953488371</v>
      </c>
      <c r="G33" s="5">
        <f t="shared" si="10"/>
        <v>501.89443651925819</v>
      </c>
      <c r="H33" s="5">
        <f t="shared" si="10"/>
        <v>542.34986595174257</v>
      </c>
      <c r="I33" s="5">
        <f t="shared" si="10"/>
        <v>452.45012787723783</v>
      </c>
      <c r="J33" s="5">
        <f t="shared" si="10"/>
        <v>387.40608604407134</v>
      </c>
      <c r="K33" s="5">
        <f t="shared" si="10"/>
        <v>394.87474541751527</v>
      </c>
      <c r="L33" s="5">
        <f t="shared" si="10"/>
        <v>402.2244094488189</v>
      </c>
      <c r="M33" s="5">
        <f t="shared" si="10"/>
        <v>409.63653663177922</v>
      </c>
      <c r="N33" s="5">
        <f t="shared" si="10"/>
        <v>417.36187845303868</v>
      </c>
      <c r="O33" s="5">
        <f t="shared" si="10"/>
        <v>423.74665477252449</v>
      </c>
      <c r="P33" s="5">
        <f t="shared" si="10"/>
        <v>430.4584775086505</v>
      </c>
      <c r="Q33" s="5">
        <f t="shared" si="10"/>
        <v>436.7231543624161</v>
      </c>
      <c r="R33" s="5">
        <f t="shared" si="10"/>
        <v>443.28606356968214</v>
      </c>
      <c r="S33" s="5">
        <f t="shared" si="10"/>
        <v>449.42517814726841</v>
      </c>
      <c r="T33" s="5">
        <f t="shared" si="10"/>
        <v>455.98461538461538</v>
      </c>
      <c r="U33" s="5">
        <f t="shared" si="10"/>
        <v>462.01422155688624</v>
      </c>
      <c r="V33" s="5">
        <f t="shared" si="10"/>
        <v>468.02549162418063</v>
      </c>
      <c r="W33" s="5">
        <f t="shared" si="10"/>
        <v>474.40709219858155</v>
      </c>
      <c r="X33" s="5">
        <f t="shared" si="10"/>
        <v>484.18257261410793</v>
      </c>
      <c r="Y33" s="5">
        <f t="shared" si="10"/>
        <v>491.0181818181818</v>
      </c>
      <c r="Z33" s="5">
        <f t="shared" si="10"/>
        <v>497.81155613919896</v>
      </c>
      <c r="AA33" s="5">
        <f t="shared" si="10"/>
        <v>504.55825864276568</v>
      </c>
      <c r="AB33" s="5">
        <f t="shared" si="10"/>
        <v>510.84875000000005</v>
      </c>
      <c r="AC33" s="5">
        <f t="shared" si="10"/>
        <v>517.5173886516169</v>
      </c>
      <c r="AD33" s="5">
        <f t="shared" si="10"/>
        <v>523.83561643835617</v>
      </c>
      <c r="AE33" s="5">
        <f t="shared" si="10"/>
        <v>530.87310826542489</v>
      </c>
      <c r="AF33" s="5">
        <f t="shared" si="10"/>
        <v>537.13310580204779</v>
      </c>
      <c r="AG33" s="5">
        <f t="shared" si="10"/>
        <v>543.75097276264592</v>
      </c>
      <c r="AH33" s="5">
        <f t="shared" si="10"/>
        <v>549.95758564437199</v>
      </c>
      <c r="AI33" s="270">
        <f t="shared" si="10"/>
        <v>556.21903242955875</v>
      </c>
    </row>
    <row r="34" spans="2:35" ht="14.25" customHeight="1">
      <c r="B34" s="3" t="s">
        <v>287</v>
      </c>
      <c r="C34" s="5"/>
      <c r="D34" s="5">
        <f t="shared" ref="D34:AI34" si="11">C28/C30*C25</f>
        <v>469.68354430379748</v>
      </c>
      <c r="E34" s="5">
        <f t="shared" si="11"/>
        <v>416.08832335329345</v>
      </c>
      <c r="F34" s="5">
        <f t="shared" si="11"/>
        <v>327.94186046511629</v>
      </c>
      <c r="G34" s="5">
        <f t="shared" si="11"/>
        <v>542.10556348074181</v>
      </c>
      <c r="H34" s="5">
        <f t="shared" si="11"/>
        <v>584.65013404825743</v>
      </c>
      <c r="I34" s="5">
        <f t="shared" si="11"/>
        <v>488.54987212276222</v>
      </c>
      <c r="J34" s="5">
        <f t="shared" si="11"/>
        <v>418.4386149003148</v>
      </c>
      <c r="K34" s="5">
        <f t="shared" si="11"/>
        <v>426.38594704684317</v>
      </c>
      <c r="L34" s="5">
        <f t="shared" si="11"/>
        <v>435.01968503937007</v>
      </c>
      <c r="M34" s="5">
        <f t="shared" si="11"/>
        <v>442.67174119885823</v>
      </c>
      <c r="N34" s="5">
        <f t="shared" si="11"/>
        <v>450.67679558011054</v>
      </c>
      <c r="O34" s="5">
        <f t="shared" si="11"/>
        <v>457.24799286351475</v>
      </c>
      <c r="P34" s="5">
        <f t="shared" si="11"/>
        <v>464.18512110726641</v>
      </c>
      <c r="Q34" s="5">
        <f t="shared" si="11"/>
        <v>471.5218120805369</v>
      </c>
      <c r="R34" s="5">
        <f t="shared" si="11"/>
        <v>478.3048084759576</v>
      </c>
      <c r="S34" s="5">
        <f t="shared" si="11"/>
        <v>485.479809976247</v>
      </c>
      <c r="T34" s="5">
        <f t="shared" si="11"/>
        <v>492.20000000000005</v>
      </c>
      <c r="U34" s="5">
        <f t="shared" si="11"/>
        <v>499.23428143712579</v>
      </c>
      <c r="V34" s="5">
        <f t="shared" si="11"/>
        <v>505.37217771303716</v>
      </c>
      <c r="W34" s="5">
        <f t="shared" si="11"/>
        <v>511.92198581560285</v>
      </c>
      <c r="X34" s="5">
        <f t="shared" si="11"/>
        <v>522.97925311203323</v>
      </c>
      <c r="Y34" s="5">
        <f t="shared" si="11"/>
        <v>529.9636363636364</v>
      </c>
      <c r="Z34" s="5">
        <f t="shared" si="11"/>
        <v>537.72685489166122</v>
      </c>
      <c r="AA34" s="5">
        <f t="shared" si="11"/>
        <v>544.62612035851475</v>
      </c>
      <c r="AB34" s="5">
        <f t="shared" si="11"/>
        <v>551.83375000000001</v>
      </c>
      <c r="AC34" s="5">
        <f t="shared" si="11"/>
        <v>558.65893837705914</v>
      </c>
      <c r="AD34" s="5">
        <f t="shared" si="11"/>
        <v>565.82787373436565</v>
      </c>
      <c r="AE34" s="5">
        <f t="shared" si="11"/>
        <v>573.06169965075674</v>
      </c>
      <c r="AF34" s="5">
        <f t="shared" si="11"/>
        <v>580.15927189988622</v>
      </c>
      <c r="AG34" s="5">
        <f t="shared" si="11"/>
        <v>586.89494163424126</v>
      </c>
      <c r="AH34" s="5">
        <f t="shared" si="11"/>
        <v>593.92713431212621</v>
      </c>
      <c r="AI34" s="270">
        <f t="shared" si="11"/>
        <v>600.95693779904309</v>
      </c>
    </row>
    <row r="35" spans="2:35" ht="14.25" customHeight="1" thickBot="1">
      <c r="B35" s="271" t="s">
        <v>288</v>
      </c>
      <c r="C35" s="272"/>
      <c r="D35" s="273"/>
      <c r="E35" s="273">
        <f>IF(SUM($D$32:E32)&gt;VLOOKUP($C$22,'Personnel Requirement'!$B$20:$C$27,2,FALSE),1,0)</f>
        <v>0</v>
      </c>
      <c r="F35" s="273">
        <f>IF(SUM($D$32:F32)&gt;VLOOKUP($C$22,'Personnel Requirement'!$B$20:$C$27,2,FALSE),1,0)</f>
        <v>0</v>
      </c>
      <c r="G35" s="273">
        <f>IF(SUM($D$32:G32)&gt;VLOOKUP($C$22,'Personnel Requirement'!$B$20:$C$27,2,FALSE),1,0)</f>
        <v>0</v>
      </c>
      <c r="H35" s="273">
        <f>IF(SUM($D$32:H32)&gt;VLOOKUP($C$22,'Personnel Requirement'!$B$20:$C$27,2,FALSE),1,0)</f>
        <v>0</v>
      </c>
      <c r="I35" s="273">
        <f>IF(SUM($D$32:I32)&gt;VLOOKUP($C$22,'Personnel Requirement'!$B$20:$C$27,2,FALSE),1,0)</f>
        <v>0</v>
      </c>
      <c r="J35" s="273">
        <f>IF(SUM($D$32:J32)&gt;VLOOKUP($C$22,'Personnel Requirement'!$B$20:$C$27,2,FALSE),1,0)</f>
        <v>0</v>
      </c>
      <c r="K35" s="273">
        <f>IF(SUM($D$32:K32)&gt;VLOOKUP($C$22,'Personnel Requirement'!$B$20:$C$27,2,FALSE),1,0)</f>
        <v>0</v>
      </c>
      <c r="L35" s="273">
        <f>IF(SUM($D$32:L32)&gt;VLOOKUP($C$22,'Personnel Requirement'!$B$20:$C$27,2,FALSE),1,0)</f>
        <v>0</v>
      </c>
      <c r="M35" s="273">
        <f>IF(SUM($D$32:M32)&gt;VLOOKUP($C$22,'Personnel Requirement'!$B$20:$C$27,2,FALSE),1,0)</f>
        <v>0</v>
      </c>
      <c r="N35" s="273">
        <f>IF(SUM($D$32:N32)&gt;VLOOKUP($C$22,'Personnel Requirement'!$B$20:$C$27,2,FALSE),1,0)</f>
        <v>0</v>
      </c>
      <c r="O35" s="273">
        <f>IF(SUM($D$32:O32)&gt;VLOOKUP($C$22,'Personnel Requirement'!$B$20:$C$27,2,FALSE),1,0)</f>
        <v>0</v>
      </c>
      <c r="P35" s="273">
        <f>IF(SUM($D$32:P32)&gt;VLOOKUP($C$22,'Personnel Requirement'!$B$20:$C$27,2,FALSE),1,0)</f>
        <v>0</v>
      </c>
      <c r="Q35" s="273">
        <f>IF(SUM($D$32:Q32)&gt;VLOOKUP($C$22,'Personnel Requirement'!$B$20:$C$27,2,FALSE),1,0)</f>
        <v>0</v>
      </c>
      <c r="R35" s="273">
        <f>IF(SUM($D$32:R32)&gt;VLOOKUP($C$22,'Personnel Requirement'!$B$20:$C$27,2,FALSE),1,0)</f>
        <v>0</v>
      </c>
      <c r="S35" s="273">
        <f>IF(SUM($D$32:S32)&gt;VLOOKUP($C$22,'Personnel Requirement'!$B$20:$C$27,2,FALSE),1,0)</f>
        <v>0</v>
      </c>
      <c r="T35" s="273">
        <f>IF(SUM($D$32:T32)&gt;VLOOKUP($C$22,'Personnel Requirement'!$B$20:$C$27,2,FALSE),1,0)</f>
        <v>0</v>
      </c>
      <c r="U35" s="273">
        <f>IF(SUM($D$32:U32)&gt;VLOOKUP($C$22,'Personnel Requirement'!$B$20:$C$27,2,FALSE),1,0)</f>
        <v>0</v>
      </c>
      <c r="V35" s="273">
        <f>IF(SUM($D$32:V32)&gt;VLOOKUP($C$22,'Personnel Requirement'!$B$20:$C$27,2,FALSE),1,0)</f>
        <v>0</v>
      </c>
      <c r="W35" s="273">
        <f>IF(SUM($D$32:W32)&gt;VLOOKUP($C$22,'Personnel Requirement'!$B$20:$C$27,2,FALSE),1,0)</f>
        <v>0</v>
      </c>
      <c r="X35" s="273">
        <f>IF(SUM($D$32:X32)&gt;VLOOKUP($C$22,'Personnel Requirement'!$B$20:$C$27,2,FALSE),1,0)</f>
        <v>0</v>
      </c>
      <c r="Y35" s="273">
        <f>IF(SUM($D$32:Y32)&gt;VLOOKUP($C$22,'Personnel Requirement'!$B$20:$C$27,2,FALSE),1,0)</f>
        <v>0</v>
      </c>
      <c r="Z35" s="273">
        <f>IF(SUM($D$32:Z32)&gt;VLOOKUP($C$22,'Personnel Requirement'!$B$20:$C$27,2,FALSE),1,0)</f>
        <v>1</v>
      </c>
      <c r="AA35" s="273">
        <f>IF(SUM($D$32:AA32)&gt;VLOOKUP($C$22,'Personnel Requirement'!$B$20:$C$27,2,FALSE),1,0)</f>
        <v>1</v>
      </c>
      <c r="AB35" s="273">
        <f>IF(SUM($D$32:AB32)&gt;VLOOKUP($C$22,'Personnel Requirement'!$B$20:$C$27,2,FALSE),1,0)</f>
        <v>1</v>
      </c>
      <c r="AC35" s="273">
        <f>IF(SUM($D$32:AC32)&gt;VLOOKUP($C$22,'Personnel Requirement'!$B$20:$C$27,2,FALSE),1,0)</f>
        <v>1</v>
      </c>
      <c r="AD35" s="273">
        <f>IF(SUM($D$32:AD32)&gt;VLOOKUP($C$22,'Personnel Requirement'!$B$20:$C$27,2,FALSE),1,0)</f>
        <v>1</v>
      </c>
      <c r="AE35" s="273">
        <f>IF(SUM($D$32:AE32)&gt;VLOOKUP($C$22,'Personnel Requirement'!$B$20:$C$27,2,FALSE),1,0)</f>
        <v>1</v>
      </c>
      <c r="AF35" s="273">
        <f>IF(SUM($D$32:AF32)&gt;VLOOKUP($C$22,'Personnel Requirement'!$B$20:$C$27,2,FALSE),1,0)</f>
        <v>1</v>
      </c>
      <c r="AG35" s="273">
        <f>IF(SUM($D$32:AG32)&gt;VLOOKUP($C$22,'Personnel Requirement'!$B$20:$C$27,2,FALSE),1,0)</f>
        <v>1</v>
      </c>
      <c r="AH35" s="273">
        <f>IF(SUM($D$32:AH32)&gt;VLOOKUP($C$22,'Personnel Requirement'!$B$20:$C$27,2,FALSE),1,0)</f>
        <v>1</v>
      </c>
      <c r="AI35" s="274">
        <f>IF(SUM($D$32:AI32)&gt;VLOOKUP($C$22,'Personnel Requirement'!$B$20:$C$27,2,FALSE),1,0)</f>
        <v>1</v>
      </c>
    </row>
    <row r="36" spans="2:35" ht="14.25" customHeight="1"/>
    <row r="37" spans="2:35" ht="14.25" customHeight="1"/>
    <row r="38" spans="2:35" ht="14.25" customHeight="1" thickBot="1">
      <c r="B38" s="287" t="str">
        <f>CONCATENATE(C38," available personnel assessment")</f>
        <v>Design Engineer available personnel assessment</v>
      </c>
      <c r="C38" s="288" t="s">
        <v>129</v>
      </c>
    </row>
    <row r="39" spans="2:35" ht="14.25" customHeight="1" thickBot="1">
      <c r="B39" s="161" t="s">
        <v>278</v>
      </c>
      <c r="C39" s="84">
        <v>2018</v>
      </c>
      <c r="D39" s="84">
        <f t="shared" ref="D39:AI39" si="12">C39+1</f>
        <v>2019</v>
      </c>
      <c r="E39" s="84">
        <f t="shared" si="12"/>
        <v>2020</v>
      </c>
      <c r="F39" s="84">
        <f t="shared" si="12"/>
        <v>2021</v>
      </c>
      <c r="G39" s="84">
        <f t="shared" si="12"/>
        <v>2022</v>
      </c>
      <c r="H39" s="84">
        <f t="shared" si="12"/>
        <v>2023</v>
      </c>
      <c r="I39" s="84">
        <f t="shared" si="12"/>
        <v>2024</v>
      </c>
      <c r="J39" s="84">
        <f t="shared" si="12"/>
        <v>2025</v>
      </c>
      <c r="K39" s="84">
        <f t="shared" si="12"/>
        <v>2026</v>
      </c>
      <c r="L39" s="84">
        <f t="shared" si="12"/>
        <v>2027</v>
      </c>
      <c r="M39" s="84">
        <f t="shared" si="12"/>
        <v>2028</v>
      </c>
      <c r="N39" s="84">
        <f t="shared" si="12"/>
        <v>2029</v>
      </c>
      <c r="O39" s="84">
        <f t="shared" si="12"/>
        <v>2030</v>
      </c>
      <c r="P39" s="84">
        <f t="shared" si="12"/>
        <v>2031</v>
      </c>
      <c r="Q39" s="84">
        <f t="shared" si="12"/>
        <v>2032</v>
      </c>
      <c r="R39" s="84">
        <f t="shared" si="12"/>
        <v>2033</v>
      </c>
      <c r="S39" s="84">
        <f t="shared" si="12"/>
        <v>2034</v>
      </c>
      <c r="T39" s="84">
        <f t="shared" si="12"/>
        <v>2035</v>
      </c>
      <c r="U39" s="84">
        <f t="shared" si="12"/>
        <v>2036</v>
      </c>
      <c r="V39" s="84">
        <f t="shared" si="12"/>
        <v>2037</v>
      </c>
      <c r="W39" s="84">
        <f t="shared" si="12"/>
        <v>2038</v>
      </c>
      <c r="X39" s="84">
        <f t="shared" si="12"/>
        <v>2039</v>
      </c>
      <c r="Y39" s="84">
        <f t="shared" si="12"/>
        <v>2040</v>
      </c>
      <c r="Z39" s="84">
        <f t="shared" si="12"/>
        <v>2041</v>
      </c>
      <c r="AA39" s="84">
        <f t="shared" si="12"/>
        <v>2042</v>
      </c>
      <c r="AB39" s="84">
        <f t="shared" si="12"/>
        <v>2043</v>
      </c>
      <c r="AC39" s="84">
        <f t="shared" si="12"/>
        <v>2044</v>
      </c>
      <c r="AD39" s="84">
        <f t="shared" si="12"/>
        <v>2045</v>
      </c>
      <c r="AE39" s="84">
        <f t="shared" si="12"/>
        <v>2046</v>
      </c>
      <c r="AF39" s="84">
        <f t="shared" si="12"/>
        <v>2047</v>
      </c>
      <c r="AG39" s="84">
        <f t="shared" si="12"/>
        <v>2048</v>
      </c>
      <c r="AH39" s="84">
        <f t="shared" si="12"/>
        <v>2049</v>
      </c>
      <c r="AI39" s="85">
        <f t="shared" si="12"/>
        <v>2050</v>
      </c>
    </row>
    <row r="40" spans="2:35" ht="14.25" customHeight="1">
      <c r="B40" s="182" t="s">
        <v>279</v>
      </c>
      <c r="C40" s="264">
        <f>SUMIF('People Stats'!$E$9:$E$17,$C$38,'People Stats'!$D$9:$D$17)</f>
        <v>12648</v>
      </c>
      <c r="D40" s="264">
        <f>C40-C44+C41</f>
        <v>12979</v>
      </c>
      <c r="E40" s="264">
        <f t="shared" ref="E40:AI40" si="13">D40+D41-D50</f>
        <v>13296.430379746835</v>
      </c>
      <c r="F40" s="264">
        <f t="shared" si="13"/>
        <v>13688.013610326367</v>
      </c>
      <c r="G40" s="264">
        <f t="shared" si="13"/>
        <v>13960.440116350463</v>
      </c>
      <c r="H40" s="264">
        <f t="shared" si="13"/>
        <v>14213.106783017129</v>
      </c>
      <c r="I40" s="264">
        <f t="shared" si="13"/>
        <v>14626.448526136395</v>
      </c>
      <c r="J40" s="264">
        <f t="shared" si="13"/>
        <v>14984.588165776035</v>
      </c>
      <c r="K40" s="264">
        <f t="shared" si="13"/>
        <v>15375.373952578066</v>
      </c>
      <c r="L40" s="264">
        <f t="shared" si="13"/>
        <v>15770.659666863779</v>
      </c>
      <c r="M40" s="264">
        <f t="shared" si="13"/>
        <v>16169.433142178397</v>
      </c>
      <c r="N40" s="264">
        <f t="shared" si="13"/>
        <v>16573.565592509523</v>
      </c>
      <c r="O40" s="264">
        <f t="shared" si="13"/>
        <v>16980.210694173111</v>
      </c>
      <c r="P40" s="264">
        <f t="shared" si="13"/>
        <v>17390.351615582324</v>
      </c>
      <c r="Q40" s="264">
        <f t="shared" si="13"/>
        <v>17804.645525555847</v>
      </c>
      <c r="R40" s="264">
        <f t="shared" si="13"/>
        <v>18221.982313120614</v>
      </c>
      <c r="S40" s="264">
        <f t="shared" si="13"/>
        <v>18644.193461769264</v>
      </c>
      <c r="T40" s="264">
        <f t="shared" si="13"/>
        <v>19069.123213835381</v>
      </c>
      <c r="U40" s="264">
        <f t="shared" si="13"/>
        <v>19497.605024668039</v>
      </c>
      <c r="V40" s="264">
        <f t="shared" si="13"/>
        <v>19930.987447470889</v>
      </c>
      <c r="W40" s="264">
        <f t="shared" si="13"/>
        <v>20367.133296966622</v>
      </c>
      <c r="X40" s="264">
        <f t="shared" si="13"/>
        <v>20813.865819762974</v>
      </c>
      <c r="Y40" s="264">
        <f t="shared" si="13"/>
        <v>21263.071176905833</v>
      </c>
      <c r="Z40" s="264">
        <f t="shared" si="13"/>
        <v>21715.570448042858</v>
      </c>
      <c r="AA40" s="264">
        <f t="shared" si="13"/>
        <v>22172.19017642027</v>
      </c>
      <c r="AB40" s="264">
        <f t="shared" si="13"/>
        <v>22633.92967221859</v>
      </c>
      <c r="AC40" s="264">
        <f t="shared" si="13"/>
        <v>23099.304414840415</v>
      </c>
      <c r="AD40" s="264">
        <f t="shared" si="13"/>
        <v>23569.815854948087</v>
      </c>
      <c r="AE40" s="264">
        <f t="shared" si="13"/>
        <v>24043.67714953197</v>
      </c>
      <c r="AF40" s="264">
        <f t="shared" si="13"/>
        <v>24521.990621034562</v>
      </c>
      <c r="AG40" s="264">
        <f t="shared" si="13"/>
        <v>25005.16215851868</v>
      </c>
      <c r="AH40" s="264">
        <f t="shared" si="13"/>
        <v>25492.00620093914</v>
      </c>
      <c r="AI40" s="265">
        <f t="shared" si="13"/>
        <v>25984.020276826534</v>
      </c>
    </row>
    <row r="41" spans="2:35" ht="14.25" customHeight="1">
      <c r="B41" s="10" t="s">
        <v>280</v>
      </c>
      <c r="C41" s="12">
        <f>INDEX('Personnel Replenishment'!$C$7:$L$14,MATCH($C$38,'Personnel Replenishment'!$B$7:$B$14,0),MATCH(C$39,'Personnel Replenishment'!$C$6:$L$6,0))</f>
        <v>741</v>
      </c>
      <c r="D41" s="12">
        <f>INDEX('Personnel Replenishment'!$C$7:$L$14,MATCH($C$38,'Personnel Replenishment'!$B$7:$B$14,0),MATCH(D$39,'Personnel Replenishment'!$C$6:$L$6,0))</f>
        <v>702</v>
      </c>
      <c r="E41" s="12">
        <f>INDEX('Personnel Replenishment'!$C$7:$L$14,MATCH($C$38,'Personnel Replenishment'!$B$7:$B$14,0),MATCH(E$39,'Personnel Replenishment'!$C$6:$L$6,0))</f>
        <v>756</v>
      </c>
      <c r="F41" s="12">
        <f>INDEX('Personnel Replenishment'!$C$7:$L$14,MATCH($C$38,'Personnel Replenishment'!$B$7:$B$14,0),MATCH(F$39,'Personnel Replenishment'!$C$6:$L$6,0))</f>
        <v>665</v>
      </c>
      <c r="G41" s="12">
        <f>INDEX('Personnel Replenishment'!$C$7:$L$14,MATCH($C$38,'Personnel Replenishment'!$B$7:$B$14,0),MATCH(G$39,'Personnel Replenishment'!$C$6:$L$6,0))</f>
        <v>598</v>
      </c>
      <c r="H41" s="12">
        <f>INDEX('Personnel Replenishment'!$C$36:$AD$39,MATCH($C$38,'Personnel Replenishment'!$B$36:$B$39,0),MATCH(H$39,'Personnel Replenishment'!$C$35:$AD$35,0))*(1+Variables!$C$28)</f>
        <v>724</v>
      </c>
      <c r="I41" s="12">
        <f>INDEX('Personnel Replenishment'!$C$36:$AD$39,MATCH($C$38,'Personnel Replenishment'!$B$36:$B$39,0),MATCH(I$39,'Personnel Replenishment'!$C$35:$AD$35,0))*(1+Variables!$C$28)</f>
        <v>734</v>
      </c>
      <c r="J41" s="12">
        <f>INDEX('Personnel Replenishment'!$C$36:$AD$39,MATCH($C$38,'Personnel Replenishment'!$B$36:$B$39,0),MATCH(J$39,'Personnel Replenishment'!$C$35:$AD$35,0))*(1+Variables!$C$28)</f>
        <v>744</v>
      </c>
      <c r="K41" s="12">
        <f>INDEX('Personnel Replenishment'!$C$36:$AD$39,MATCH($C$38,'Personnel Replenishment'!$B$36:$B$39,0),MATCH(K$39,'Personnel Replenishment'!$C$35:$AD$35,0))*(1+Variables!$C$28)</f>
        <v>754</v>
      </c>
      <c r="L41" s="12">
        <f>INDEX('Personnel Replenishment'!$C$36:$AD$39,MATCH($C$38,'Personnel Replenishment'!$B$36:$B$39,0),MATCH(L$39,'Personnel Replenishment'!$C$35:$AD$35,0))*(1+Variables!$C$28)</f>
        <v>763</v>
      </c>
      <c r="M41" s="12">
        <f>INDEX('Personnel Replenishment'!$C$36:$AD$39,MATCH($C$38,'Personnel Replenishment'!$B$36:$B$39,0),MATCH(M$39,'Personnel Replenishment'!$C$35:$AD$35,0))*(1+Variables!$C$28)</f>
        <v>773</v>
      </c>
      <c r="N41" s="12">
        <f>INDEX('Personnel Replenishment'!$C$36:$AD$39,MATCH($C$38,'Personnel Replenishment'!$B$36:$B$39,0),MATCH(N$39,'Personnel Replenishment'!$C$35:$AD$35,0))*(1+Variables!$C$28)</f>
        <v>781</v>
      </c>
      <c r="O41" s="12">
        <f>INDEX('Personnel Replenishment'!$C$36:$AD$39,MATCH($C$38,'Personnel Replenishment'!$B$36:$B$39,0),MATCH(O$39,'Personnel Replenishment'!$C$35:$AD$35,0))*(1+Variables!$C$28)</f>
        <v>789</v>
      </c>
      <c r="P41" s="12">
        <f>INDEX('Personnel Replenishment'!$C$36:$AD$39,MATCH($C$38,'Personnel Replenishment'!$B$36:$B$39,0),MATCH(P$39,'Personnel Replenishment'!$C$35:$AD$35,0))*(1+Variables!$C$28)</f>
        <v>798</v>
      </c>
      <c r="Q41" s="12">
        <f>INDEX('Personnel Replenishment'!$C$36:$AD$39,MATCH($C$38,'Personnel Replenishment'!$B$36:$B$39,0),MATCH(Q$39,'Personnel Replenishment'!$C$35:$AD$35,0))*(1+Variables!$C$28)</f>
        <v>806</v>
      </c>
      <c r="R41" s="12">
        <f>INDEX('Personnel Replenishment'!$C$36:$AD$39,MATCH($C$38,'Personnel Replenishment'!$B$36:$B$39,0),MATCH(R$39,'Personnel Replenishment'!$C$35:$AD$35,0))*(1+Variables!$C$28)</f>
        <v>815</v>
      </c>
      <c r="S41" s="12">
        <f>INDEX('Personnel Replenishment'!$C$36:$AD$39,MATCH($C$38,'Personnel Replenishment'!$B$36:$B$39,0),MATCH(S$39,'Personnel Replenishment'!$C$35:$AD$35,0))*(1+Variables!$C$28)</f>
        <v>823</v>
      </c>
      <c r="T41" s="12">
        <f>INDEX('Personnel Replenishment'!$C$36:$AD$39,MATCH($C$38,'Personnel Replenishment'!$B$36:$B$39,0),MATCH(T$39,'Personnel Replenishment'!$C$35:$AD$35,0))*(1+Variables!$C$28)</f>
        <v>831</v>
      </c>
      <c r="U41" s="12">
        <f>INDEX('Personnel Replenishment'!$C$36:$AD$39,MATCH($C$38,'Personnel Replenishment'!$B$36:$B$39,0),MATCH(U$39,'Personnel Replenishment'!$C$35:$AD$35,0))*(1+Variables!$C$28)</f>
        <v>840</v>
      </c>
      <c r="V41" s="12">
        <f>INDEX('Personnel Replenishment'!$C$36:$AD$39,MATCH($C$38,'Personnel Replenishment'!$B$36:$B$39,0),MATCH(V$39,'Personnel Replenishment'!$C$35:$AD$35,0))*(1+Variables!$C$28)</f>
        <v>848</v>
      </c>
      <c r="W41" s="12">
        <f>INDEX('Personnel Replenishment'!$C$36:$AD$39,MATCH($C$38,'Personnel Replenishment'!$B$36:$B$39,0),MATCH(W$39,'Personnel Replenishment'!$C$35:$AD$35,0))*(1+Variables!$C$28)</f>
        <v>863</v>
      </c>
      <c r="X41" s="12">
        <f>INDEX('Personnel Replenishment'!$C$36:$AD$39,MATCH($C$38,'Personnel Replenishment'!$B$36:$B$39,0),MATCH(X$39,'Personnel Replenishment'!$C$35:$AD$35,0))*(1+Variables!$C$28)</f>
        <v>873</v>
      </c>
      <c r="Y41" s="12">
        <f>INDEX('Personnel Replenishment'!$C$36:$AD$39,MATCH($C$38,'Personnel Replenishment'!$B$36:$B$39,0),MATCH(Y$39,'Personnel Replenishment'!$C$35:$AD$35,0))*(1+Variables!$C$28)</f>
        <v>882</v>
      </c>
      <c r="Z41" s="12">
        <f>INDEX('Personnel Replenishment'!$C$36:$AD$39,MATCH($C$38,'Personnel Replenishment'!$B$36:$B$39,0),MATCH(Z$39,'Personnel Replenishment'!$C$35:$AD$35,0))*(1+Variables!$C$28)</f>
        <v>891</v>
      </c>
      <c r="AA41" s="12">
        <f>INDEX('Personnel Replenishment'!$C$36:$AD$39,MATCH($C$38,'Personnel Replenishment'!$B$36:$B$39,0),MATCH(AA$39,'Personnel Replenishment'!$C$35:$AD$35,0))*(1+Variables!$C$28)</f>
        <v>901</v>
      </c>
      <c r="AB41" s="12">
        <f>INDEX('Personnel Replenishment'!$C$36:$AD$39,MATCH($C$38,'Personnel Replenishment'!$B$36:$B$39,0),MATCH(AB$39,'Personnel Replenishment'!$C$35:$AD$35,0))*(1+Variables!$C$28)</f>
        <v>910</v>
      </c>
      <c r="AC41" s="12">
        <f>INDEX('Personnel Replenishment'!$C$36:$AD$39,MATCH($C$38,'Personnel Replenishment'!$B$36:$B$39,0),MATCH(AC$39,'Personnel Replenishment'!$C$35:$AD$35,0))*(1+Variables!$C$28)</f>
        <v>920</v>
      </c>
      <c r="AD41" s="12">
        <f>INDEX('Personnel Replenishment'!$C$36:$AD$39,MATCH($C$38,'Personnel Replenishment'!$B$36:$B$39,0),MATCH(AD$39,'Personnel Replenishment'!$C$35:$AD$35,0))*(1+Variables!$C$28)</f>
        <v>929</v>
      </c>
      <c r="AE41" s="12">
        <f>INDEX('Personnel Replenishment'!$C$36:$AD$39,MATCH($C$38,'Personnel Replenishment'!$B$36:$B$39,0),MATCH(AE$39,'Personnel Replenishment'!$C$35:$AD$35,0))*(1+Variables!$C$28)</f>
        <v>938</v>
      </c>
      <c r="AF41" s="12">
        <f>INDEX('Personnel Replenishment'!$C$36:$AD$39,MATCH($C$38,'Personnel Replenishment'!$B$36:$B$39,0),MATCH(AF$39,'Personnel Replenishment'!$C$35:$AD$35,0))*(1+Variables!$C$28)</f>
        <v>948</v>
      </c>
      <c r="AG41" s="12">
        <f>INDEX('Personnel Replenishment'!$C$36:$AD$39,MATCH($C$38,'Personnel Replenishment'!$B$36:$B$39,0),MATCH(AG$39,'Personnel Replenishment'!$C$35:$AD$35,0))*(1+Variables!$C$28)</f>
        <v>957</v>
      </c>
      <c r="AH41" s="12">
        <f>INDEX('Personnel Replenishment'!$C$36:$AD$39,MATCH($C$38,'Personnel Replenishment'!$B$36:$B$39,0),MATCH(AH$39,'Personnel Replenishment'!$C$35:$AD$35,0))*(1+Variables!$C$28)</f>
        <v>967</v>
      </c>
      <c r="AI41" s="266">
        <f>INDEX('Personnel Replenishment'!$C$36:$AD$39,MATCH($C$38,'Personnel Replenishment'!$B$36:$B$39,0),MATCH(AI$39,'Personnel Replenishment'!$C$35:$AD$35,0))*(1+Variables!$C$28)</f>
        <v>976</v>
      </c>
    </row>
    <row r="42" spans="2:35" ht="14.25" customHeight="1">
      <c r="B42" s="267"/>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9"/>
    </row>
    <row r="43" spans="2:35" ht="14.25" customHeight="1">
      <c r="B43" s="182" t="s">
        <v>281</v>
      </c>
      <c r="C43" s="264">
        <f>ROUNDUP(C40*Variables!$C$25,0)</f>
        <v>380</v>
      </c>
      <c r="D43" s="264">
        <f>ROUNDUP(D40*Variables!$C$25,0)</f>
        <v>390</v>
      </c>
      <c r="E43" s="264">
        <f>ROUNDUP(E40*Variables!$C$25,0)</f>
        <v>399</v>
      </c>
      <c r="F43" s="264">
        <f>ROUNDUP(F40*Variables!$C$25,0)</f>
        <v>411</v>
      </c>
      <c r="G43" s="264">
        <f>ROUNDUP(G40*Variables!$C$25,0)</f>
        <v>419</v>
      </c>
      <c r="H43" s="264">
        <f>ROUNDUP(H40*Variables!$C$25,0)</f>
        <v>427</v>
      </c>
      <c r="I43" s="264">
        <f>ROUNDUP(I40*Variables!$C$25,0)</f>
        <v>439</v>
      </c>
      <c r="J43" s="264">
        <f>ROUNDUP(J40*Variables!$C$25,0)</f>
        <v>450</v>
      </c>
      <c r="K43" s="264">
        <f>ROUNDUP(K40*Variables!$C$25,0)</f>
        <v>462</v>
      </c>
      <c r="L43" s="264">
        <f>ROUNDUP(L40*Variables!$C$25,0)</f>
        <v>474</v>
      </c>
      <c r="M43" s="264">
        <f>ROUNDUP(M40*Variables!$C$25,0)</f>
        <v>486</v>
      </c>
      <c r="N43" s="264">
        <f>ROUNDUP(N40*Variables!$C$25,0)</f>
        <v>498</v>
      </c>
      <c r="O43" s="264">
        <f>ROUNDUP(O40*Variables!$C$25,0)</f>
        <v>510</v>
      </c>
      <c r="P43" s="264">
        <f>ROUNDUP(P40*Variables!$C$25,0)</f>
        <v>522</v>
      </c>
      <c r="Q43" s="264">
        <f>ROUNDUP(Q40*Variables!$C$25,0)</f>
        <v>535</v>
      </c>
      <c r="R43" s="264">
        <f>ROUNDUP(R40*Variables!$C$25,0)</f>
        <v>547</v>
      </c>
      <c r="S43" s="264">
        <f>ROUNDUP(S40*Variables!$C$25,0)</f>
        <v>560</v>
      </c>
      <c r="T43" s="264">
        <f>ROUNDUP(T40*Variables!$C$25,0)</f>
        <v>573</v>
      </c>
      <c r="U43" s="264">
        <f>ROUNDUP(U40*Variables!$C$25,0)</f>
        <v>585</v>
      </c>
      <c r="V43" s="264">
        <f>ROUNDUP(V40*Variables!$C$25,0)</f>
        <v>598</v>
      </c>
      <c r="W43" s="264">
        <f>ROUNDUP(W40*Variables!$C$25,0)</f>
        <v>612</v>
      </c>
      <c r="X43" s="264">
        <f>ROUNDUP(X40*Variables!$C$25,0)</f>
        <v>625</v>
      </c>
      <c r="Y43" s="264">
        <f>ROUNDUP(Y40*Variables!$C$25,0)</f>
        <v>638</v>
      </c>
      <c r="Z43" s="264">
        <f>ROUNDUP(Z40*Variables!$C$25,0)</f>
        <v>652</v>
      </c>
      <c r="AA43" s="264">
        <f>ROUNDUP(AA40*Variables!$C$25,0)</f>
        <v>666</v>
      </c>
      <c r="AB43" s="264">
        <f>ROUNDUP(AB40*Variables!$C$25,0)</f>
        <v>680</v>
      </c>
      <c r="AC43" s="264">
        <f>ROUNDUP(AC40*Variables!$C$25,0)</f>
        <v>693</v>
      </c>
      <c r="AD43" s="264">
        <f>ROUNDUP(AD40*Variables!$C$25,0)</f>
        <v>708</v>
      </c>
      <c r="AE43" s="264">
        <f>ROUNDUP(AE40*Variables!$C$25,0)</f>
        <v>722</v>
      </c>
      <c r="AF43" s="264">
        <f>ROUNDUP(AF40*Variables!$C$25,0)</f>
        <v>736</v>
      </c>
      <c r="AG43" s="264">
        <f>ROUNDUP(AG40*Variables!$C$25,0)</f>
        <v>751</v>
      </c>
      <c r="AH43" s="264">
        <f>ROUNDUP(AH40*Variables!$C$25,0)</f>
        <v>765</v>
      </c>
      <c r="AI43" s="265">
        <f>ROUNDUP(AI40*Variables!$C$25,0)</f>
        <v>780</v>
      </c>
    </row>
    <row r="44" spans="2:35" ht="14.25" customHeight="1">
      <c r="B44" s="3" t="s">
        <v>282</v>
      </c>
      <c r="C44" s="5">
        <f>ROUNDUP(C40*Variables!$C$26,0)</f>
        <v>410</v>
      </c>
      <c r="D44" s="5">
        <f>ROUNDUP(D40*Variables!$C$26,0)</f>
        <v>421</v>
      </c>
      <c r="E44" s="5">
        <f>ROUNDUP(E40*Variables!$C$26,0)</f>
        <v>431</v>
      </c>
      <c r="F44" s="5">
        <f>ROUNDUP(F40*Variables!$C$26,0)</f>
        <v>444</v>
      </c>
      <c r="G44" s="5">
        <f>ROUNDUP(G40*Variables!$C$26,0)</f>
        <v>453</v>
      </c>
      <c r="H44" s="5">
        <f>ROUNDUP(H40*Variables!$C$26,0)</f>
        <v>461</v>
      </c>
      <c r="I44" s="5">
        <f>ROUNDUP(I40*Variables!$C$26,0)</f>
        <v>474</v>
      </c>
      <c r="J44" s="5">
        <f>ROUNDUP(J40*Variables!$C$26,0)</f>
        <v>486</v>
      </c>
      <c r="K44" s="5">
        <f>ROUNDUP(K40*Variables!$C$26,0)</f>
        <v>499</v>
      </c>
      <c r="L44" s="5">
        <f>ROUNDUP(L40*Variables!$C$26,0)</f>
        <v>511</v>
      </c>
      <c r="M44" s="5">
        <f>ROUNDUP(M40*Variables!$C$26,0)</f>
        <v>524</v>
      </c>
      <c r="N44" s="5">
        <f>ROUNDUP(N40*Variables!$C$26,0)</f>
        <v>537</v>
      </c>
      <c r="O44" s="5">
        <f>ROUNDUP(O40*Variables!$C$26,0)</f>
        <v>551</v>
      </c>
      <c r="P44" s="5">
        <f>ROUNDUP(P40*Variables!$C$26,0)</f>
        <v>564</v>
      </c>
      <c r="Q44" s="5">
        <f>ROUNDUP(Q40*Variables!$C$26,0)</f>
        <v>577</v>
      </c>
      <c r="R44" s="5">
        <f>ROUNDUP(R40*Variables!$C$26,0)</f>
        <v>591</v>
      </c>
      <c r="S44" s="5">
        <f>ROUNDUP(S40*Variables!$C$26,0)</f>
        <v>605</v>
      </c>
      <c r="T44" s="5">
        <f>ROUNDUP(T40*Variables!$C$26,0)</f>
        <v>618</v>
      </c>
      <c r="U44" s="5">
        <f>ROUNDUP(U40*Variables!$C$26,0)</f>
        <v>632</v>
      </c>
      <c r="V44" s="5">
        <f>ROUNDUP(V40*Variables!$C$26,0)</f>
        <v>646</v>
      </c>
      <c r="W44" s="5">
        <f>ROUNDUP(W40*Variables!$C$26,0)</f>
        <v>660</v>
      </c>
      <c r="X44" s="5">
        <f>ROUNDUP(X40*Variables!$C$26,0)</f>
        <v>675</v>
      </c>
      <c r="Y44" s="5">
        <f>ROUNDUP(Y40*Variables!$C$26,0)</f>
        <v>689</v>
      </c>
      <c r="Z44" s="5">
        <f>ROUNDUP(Z40*Variables!$C$26,0)</f>
        <v>704</v>
      </c>
      <c r="AA44" s="5">
        <f>ROUNDUP(AA40*Variables!$C$26,0)</f>
        <v>719</v>
      </c>
      <c r="AB44" s="5">
        <f>ROUNDUP(AB40*Variables!$C$26,0)</f>
        <v>734</v>
      </c>
      <c r="AC44" s="5">
        <f>ROUNDUP(AC40*Variables!$C$26,0)</f>
        <v>749</v>
      </c>
      <c r="AD44" s="5">
        <f>ROUNDUP(AD40*Variables!$C$26,0)</f>
        <v>764</v>
      </c>
      <c r="AE44" s="5">
        <f>ROUNDUP(AE40*Variables!$C$26,0)</f>
        <v>780</v>
      </c>
      <c r="AF44" s="5">
        <f>ROUNDUP(AF40*Variables!$C$26,0)</f>
        <v>795</v>
      </c>
      <c r="AG44" s="5">
        <f>ROUNDUP(AG40*Variables!$C$26,0)</f>
        <v>811</v>
      </c>
      <c r="AH44" s="5">
        <f>ROUNDUP(AH40*Variables!$C$26,0)</f>
        <v>826</v>
      </c>
      <c r="AI44" s="270">
        <f>ROUNDUP(AI40*Variables!$C$26,0)</f>
        <v>842</v>
      </c>
    </row>
    <row r="45" spans="2:35" ht="14.25" customHeight="1">
      <c r="B45" s="3" t="s">
        <v>283</v>
      </c>
      <c r="C45" s="5">
        <v>0</v>
      </c>
      <c r="D45" s="5">
        <v>0</v>
      </c>
      <c r="E45" s="5">
        <v>0</v>
      </c>
      <c r="F45" s="5">
        <v>0</v>
      </c>
      <c r="G45" s="5">
        <v>0</v>
      </c>
      <c r="H45" s="5">
        <v>0</v>
      </c>
      <c r="I45" s="5">
        <f>(VLOOKUP($C$38,'Personnel Requirement'!$B$10:$H$17,7,0))</f>
        <v>72</v>
      </c>
      <c r="J45" s="5">
        <f>(VLOOKUP($C$38,'Personnel Requirement'!$B$10:$H$17,7,0))</f>
        <v>72</v>
      </c>
      <c r="K45" s="5">
        <f>(VLOOKUP($C$38,'Personnel Requirement'!$B$10:$H$17,7,0))</f>
        <v>72</v>
      </c>
      <c r="L45" s="5">
        <f>(VLOOKUP($C$38,'Personnel Requirement'!$B$10:$H$17,7,0))</f>
        <v>72</v>
      </c>
      <c r="M45" s="5">
        <f>(VLOOKUP($C$38,'Personnel Requirement'!$B$10:$H$17,7,0))</f>
        <v>72</v>
      </c>
      <c r="N45" s="5">
        <f>(VLOOKUP($C$38,'Personnel Requirement'!$B$10:$H$17,7,0))</f>
        <v>72</v>
      </c>
      <c r="O45" s="5">
        <f>(VLOOKUP($C$38,'Personnel Requirement'!$B$10:$H$17,7,0))</f>
        <v>72</v>
      </c>
      <c r="P45" s="5">
        <f>(VLOOKUP($C$38,'Personnel Requirement'!$B$10:$H$17,7,0))</f>
        <v>72</v>
      </c>
      <c r="Q45" s="5">
        <f>(VLOOKUP($C$38,'Personnel Requirement'!$B$10:$H$17,7,0))</f>
        <v>72</v>
      </c>
      <c r="R45" s="5">
        <f>(VLOOKUP($C$38,'Personnel Requirement'!$B$10:$H$17,7,0))</f>
        <v>72</v>
      </c>
      <c r="S45" s="5">
        <f>(VLOOKUP($C$38,'Personnel Requirement'!$B$10:$H$17,7,0))</f>
        <v>72</v>
      </c>
      <c r="T45" s="5">
        <f>(VLOOKUP($C$38,'Personnel Requirement'!$B$10:$H$17,7,0))</f>
        <v>72</v>
      </c>
      <c r="U45" s="5">
        <f>(VLOOKUP($C$38,'Personnel Requirement'!$B$10:$H$17,7,0))</f>
        <v>72</v>
      </c>
      <c r="V45" s="5">
        <f>(VLOOKUP($C$38,'Personnel Requirement'!$B$10:$H$17,7,0))</f>
        <v>72</v>
      </c>
      <c r="W45" s="5">
        <f>(VLOOKUP($C$38,'Personnel Requirement'!$B$10:$H$17,7,0))</f>
        <v>72</v>
      </c>
      <c r="X45" s="5">
        <f>(VLOOKUP($C$38,'Personnel Requirement'!$B$10:$H$17,7,0))</f>
        <v>72</v>
      </c>
      <c r="Y45" s="5">
        <f>(VLOOKUP($C$38,'Personnel Requirement'!$B$10:$H$17,7,0))</f>
        <v>72</v>
      </c>
      <c r="Z45" s="5">
        <f>(VLOOKUP($C$38,'Personnel Requirement'!$B$10:$H$17,7,0))</f>
        <v>72</v>
      </c>
      <c r="AA45" s="5">
        <f>(VLOOKUP($C$38,'Personnel Requirement'!$B$10:$H$17,7,0))</f>
        <v>72</v>
      </c>
      <c r="AB45" s="5">
        <f>(VLOOKUP($C$38,'Personnel Requirement'!$B$10:$H$17,7,0))</f>
        <v>72</v>
      </c>
      <c r="AC45" s="5">
        <f>(VLOOKUP($C$38,'Personnel Requirement'!$B$10:$H$17,7,0))</f>
        <v>72</v>
      </c>
      <c r="AD45" s="5">
        <f>(VLOOKUP($C$38,'Personnel Requirement'!$B$10:$H$17,7,0))</f>
        <v>72</v>
      </c>
      <c r="AE45" s="5">
        <f>(VLOOKUP($C$38,'Personnel Requirement'!$B$10:$H$17,7,0))</f>
        <v>72</v>
      </c>
      <c r="AF45" s="5">
        <f>(VLOOKUP($C$38,'Personnel Requirement'!$B$10:$H$17,7,0))</f>
        <v>72</v>
      </c>
      <c r="AG45" s="5">
        <f>(VLOOKUP($C$38,'Personnel Requirement'!$B$10:$H$17,7,0))</f>
        <v>72</v>
      </c>
      <c r="AH45" s="5">
        <f>(VLOOKUP($C$38,'Personnel Requirement'!$B$10:$H$17,7,0))</f>
        <v>72</v>
      </c>
      <c r="AI45" s="270">
        <f>(VLOOKUP($C$38,'Personnel Requirement'!$B$10:$H$17,7,0))</f>
        <v>72</v>
      </c>
    </row>
    <row r="46" spans="2:35" ht="14.25" customHeight="1">
      <c r="B46" s="182" t="s">
        <v>284</v>
      </c>
      <c r="C46" s="264">
        <f t="shared" ref="C46:AI46" si="14">SUM(C43:C45)</f>
        <v>790</v>
      </c>
      <c r="D46" s="264">
        <f t="shared" si="14"/>
        <v>811</v>
      </c>
      <c r="E46" s="264">
        <f t="shared" si="14"/>
        <v>830</v>
      </c>
      <c r="F46" s="264">
        <f t="shared" si="14"/>
        <v>855</v>
      </c>
      <c r="G46" s="264">
        <f t="shared" si="14"/>
        <v>872</v>
      </c>
      <c r="H46" s="264">
        <f t="shared" si="14"/>
        <v>888</v>
      </c>
      <c r="I46" s="264">
        <f t="shared" si="14"/>
        <v>985</v>
      </c>
      <c r="J46" s="264">
        <f t="shared" si="14"/>
        <v>1008</v>
      </c>
      <c r="K46" s="264">
        <f t="shared" si="14"/>
        <v>1033</v>
      </c>
      <c r="L46" s="264">
        <f t="shared" si="14"/>
        <v>1057</v>
      </c>
      <c r="M46" s="264">
        <f t="shared" si="14"/>
        <v>1082</v>
      </c>
      <c r="N46" s="264">
        <f t="shared" si="14"/>
        <v>1107</v>
      </c>
      <c r="O46" s="264">
        <f t="shared" si="14"/>
        <v>1133</v>
      </c>
      <c r="P46" s="264">
        <f t="shared" si="14"/>
        <v>1158</v>
      </c>
      <c r="Q46" s="264">
        <f t="shared" si="14"/>
        <v>1184</v>
      </c>
      <c r="R46" s="264">
        <f t="shared" si="14"/>
        <v>1210</v>
      </c>
      <c r="S46" s="264">
        <f t="shared" si="14"/>
        <v>1237</v>
      </c>
      <c r="T46" s="264">
        <f t="shared" si="14"/>
        <v>1263</v>
      </c>
      <c r="U46" s="264">
        <f t="shared" si="14"/>
        <v>1289</v>
      </c>
      <c r="V46" s="264">
        <f t="shared" si="14"/>
        <v>1316</v>
      </c>
      <c r="W46" s="264">
        <f t="shared" si="14"/>
        <v>1344</v>
      </c>
      <c r="X46" s="264">
        <f t="shared" si="14"/>
        <v>1372</v>
      </c>
      <c r="Y46" s="264">
        <f t="shared" si="14"/>
        <v>1399</v>
      </c>
      <c r="Z46" s="264">
        <f t="shared" si="14"/>
        <v>1428</v>
      </c>
      <c r="AA46" s="264">
        <f t="shared" si="14"/>
        <v>1457</v>
      </c>
      <c r="AB46" s="264">
        <f t="shared" si="14"/>
        <v>1486</v>
      </c>
      <c r="AC46" s="264">
        <f t="shared" si="14"/>
        <v>1514</v>
      </c>
      <c r="AD46" s="264">
        <f t="shared" si="14"/>
        <v>1544</v>
      </c>
      <c r="AE46" s="264">
        <f t="shared" si="14"/>
        <v>1574</v>
      </c>
      <c r="AF46" s="264">
        <f t="shared" si="14"/>
        <v>1603</v>
      </c>
      <c r="AG46" s="264">
        <f t="shared" si="14"/>
        <v>1634</v>
      </c>
      <c r="AH46" s="264">
        <f t="shared" si="14"/>
        <v>1663</v>
      </c>
      <c r="AI46" s="265">
        <f t="shared" si="14"/>
        <v>1694</v>
      </c>
    </row>
    <row r="47" spans="2:35" ht="14.25" customHeight="1">
      <c r="B47" s="267"/>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9"/>
    </row>
    <row r="48" spans="2:35" ht="14.25" customHeight="1">
      <c r="B48" s="3" t="s">
        <v>285</v>
      </c>
      <c r="C48" s="5"/>
      <c r="D48" s="5">
        <f t="shared" ref="D48:AI48" si="15">C45/C46*C41</f>
        <v>0</v>
      </c>
      <c r="E48" s="5">
        <f t="shared" si="15"/>
        <v>0</v>
      </c>
      <c r="F48" s="5">
        <f t="shared" si="15"/>
        <v>0</v>
      </c>
      <c r="G48" s="5">
        <f t="shared" si="15"/>
        <v>0</v>
      </c>
      <c r="H48" s="5">
        <f t="shared" si="15"/>
        <v>0</v>
      </c>
      <c r="I48" s="5">
        <f t="shared" si="15"/>
        <v>0</v>
      </c>
      <c r="J48" s="5">
        <f t="shared" si="15"/>
        <v>53.652791878172593</v>
      </c>
      <c r="K48" s="5">
        <f t="shared" si="15"/>
        <v>53.142857142857139</v>
      </c>
      <c r="L48" s="5">
        <f t="shared" si="15"/>
        <v>52.553727008712492</v>
      </c>
      <c r="M48" s="5">
        <f t="shared" si="15"/>
        <v>51.973509933774842</v>
      </c>
      <c r="N48" s="5">
        <f t="shared" si="15"/>
        <v>51.438077634011087</v>
      </c>
      <c r="O48" s="5">
        <f t="shared" si="15"/>
        <v>50.796747967479682</v>
      </c>
      <c r="P48" s="5">
        <f t="shared" si="15"/>
        <v>50.139452780229476</v>
      </c>
      <c r="Q48" s="5">
        <f t="shared" si="15"/>
        <v>49.616580310880828</v>
      </c>
      <c r="R48" s="5">
        <f t="shared" si="15"/>
        <v>49.013513513513516</v>
      </c>
      <c r="S48" s="5">
        <f t="shared" si="15"/>
        <v>48.495867768595041</v>
      </c>
      <c r="T48" s="5">
        <f t="shared" si="15"/>
        <v>47.90299110751819</v>
      </c>
      <c r="U48" s="5">
        <f t="shared" si="15"/>
        <v>47.372921615201903</v>
      </c>
      <c r="V48" s="5">
        <f t="shared" si="15"/>
        <v>46.920093095422814</v>
      </c>
      <c r="W48" s="5">
        <f t="shared" si="15"/>
        <v>46.3951367781155</v>
      </c>
      <c r="X48" s="5">
        <f t="shared" si="15"/>
        <v>46.232142857142854</v>
      </c>
      <c r="Y48" s="5">
        <f t="shared" si="15"/>
        <v>45.813411078717202</v>
      </c>
      <c r="Z48" s="5">
        <f t="shared" si="15"/>
        <v>45.39242315939957</v>
      </c>
      <c r="AA48" s="5">
        <f t="shared" si="15"/>
        <v>44.924369747899163</v>
      </c>
      <c r="AB48" s="5">
        <f t="shared" si="15"/>
        <v>44.524365133836646</v>
      </c>
      <c r="AC48" s="5">
        <f t="shared" si="15"/>
        <v>44.091520861372814</v>
      </c>
      <c r="AD48" s="5">
        <f t="shared" si="15"/>
        <v>43.751651254953764</v>
      </c>
      <c r="AE48" s="5">
        <f t="shared" si="15"/>
        <v>43.321243523316063</v>
      </c>
      <c r="AF48" s="5">
        <f t="shared" si="15"/>
        <v>42.907242693773824</v>
      </c>
      <c r="AG48" s="5">
        <f t="shared" si="15"/>
        <v>42.580162195882721</v>
      </c>
      <c r="AH48" s="5">
        <f t="shared" si="15"/>
        <v>42.168910648714814</v>
      </c>
      <c r="AI48" s="270">
        <f t="shared" si="15"/>
        <v>41.866506313890561</v>
      </c>
    </row>
    <row r="49" spans="2:35" ht="14.25" customHeight="1">
      <c r="B49" s="3" t="s">
        <v>286</v>
      </c>
      <c r="C49" s="5"/>
      <c r="D49" s="5">
        <f t="shared" ref="D49:AI49" si="16">C43/C46*C41</f>
        <v>356.43037974683546</v>
      </c>
      <c r="E49" s="5">
        <f t="shared" si="16"/>
        <v>337.58323057953146</v>
      </c>
      <c r="F49" s="5">
        <f t="shared" si="16"/>
        <v>363.4265060240964</v>
      </c>
      <c r="G49" s="5">
        <f t="shared" si="16"/>
        <v>319.66666666666669</v>
      </c>
      <c r="H49" s="5">
        <f t="shared" si="16"/>
        <v>287.34174311926603</v>
      </c>
      <c r="I49" s="5">
        <f t="shared" si="16"/>
        <v>348.1396396396396</v>
      </c>
      <c r="J49" s="5">
        <f t="shared" si="16"/>
        <v>327.13299492385784</v>
      </c>
      <c r="K49" s="5">
        <f t="shared" si="16"/>
        <v>332.14285714285717</v>
      </c>
      <c r="L49" s="5">
        <f t="shared" si="16"/>
        <v>337.21974830590511</v>
      </c>
      <c r="M49" s="5">
        <f t="shared" si="16"/>
        <v>342.15894039735099</v>
      </c>
      <c r="N49" s="5">
        <f t="shared" si="16"/>
        <v>347.20702402957488</v>
      </c>
      <c r="O49" s="5">
        <f t="shared" si="16"/>
        <v>351.34417344173443</v>
      </c>
      <c r="P49" s="5">
        <f t="shared" si="16"/>
        <v>355.1544571932921</v>
      </c>
      <c r="Q49" s="5">
        <f t="shared" si="16"/>
        <v>359.72020725388603</v>
      </c>
      <c r="R49" s="5">
        <f t="shared" si="16"/>
        <v>364.19763513513516</v>
      </c>
      <c r="S49" s="5">
        <f t="shared" si="16"/>
        <v>368.43388429752065</v>
      </c>
      <c r="T49" s="5">
        <f t="shared" si="16"/>
        <v>372.5788197251415</v>
      </c>
      <c r="U49" s="5">
        <f t="shared" si="16"/>
        <v>377.00950118764848</v>
      </c>
      <c r="V49" s="5">
        <f t="shared" si="16"/>
        <v>381.22575640031027</v>
      </c>
      <c r="W49" s="5">
        <f t="shared" si="16"/>
        <v>385.33738601823711</v>
      </c>
      <c r="X49" s="5">
        <f t="shared" si="16"/>
        <v>392.97321428571428</v>
      </c>
      <c r="Y49" s="5">
        <f t="shared" si="16"/>
        <v>397.68586005830906</v>
      </c>
      <c r="Z49" s="5">
        <f t="shared" si="16"/>
        <v>402.22730521801287</v>
      </c>
      <c r="AA49" s="5">
        <f t="shared" si="16"/>
        <v>406.81512605042013</v>
      </c>
      <c r="AB49" s="5">
        <f t="shared" si="16"/>
        <v>411.85037748798902</v>
      </c>
      <c r="AC49" s="5">
        <f t="shared" si="16"/>
        <v>416.41991924629878</v>
      </c>
      <c r="AD49" s="5">
        <f t="shared" si="16"/>
        <v>421.10964332893002</v>
      </c>
      <c r="AE49" s="5">
        <f t="shared" si="16"/>
        <v>425.99222797927462</v>
      </c>
      <c r="AF49" s="5">
        <f t="shared" si="16"/>
        <v>430.26429479034311</v>
      </c>
      <c r="AG49" s="5">
        <f t="shared" si="16"/>
        <v>435.26388022457888</v>
      </c>
      <c r="AH49" s="5">
        <f t="shared" si="16"/>
        <v>439.84516523867808</v>
      </c>
      <c r="AI49" s="270">
        <f t="shared" si="16"/>
        <v>444.83162958508717</v>
      </c>
    </row>
    <row r="50" spans="2:35" ht="14.25" customHeight="1">
      <c r="B50" s="3" t="s">
        <v>287</v>
      </c>
      <c r="C50" s="5"/>
      <c r="D50" s="5">
        <f t="shared" ref="D50:AI50" si="17">C44/C46*C41</f>
        <v>384.56962025316454</v>
      </c>
      <c r="E50" s="5">
        <f t="shared" si="17"/>
        <v>364.41676942046854</v>
      </c>
      <c r="F50" s="5">
        <f t="shared" si="17"/>
        <v>392.57349397590366</v>
      </c>
      <c r="G50" s="5">
        <f t="shared" si="17"/>
        <v>345.33333333333331</v>
      </c>
      <c r="H50" s="5">
        <f t="shared" si="17"/>
        <v>310.65825688073392</v>
      </c>
      <c r="I50" s="5">
        <f t="shared" si="17"/>
        <v>375.86036036036035</v>
      </c>
      <c r="J50" s="5">
        <f t="shared" si="17"/>
        <v>353.21421319796951</v>
      </c>
      <c r="K50" s="5">
        <f t="shared" si="17"/>
        <v>358.71428571428572</v>
      </c>
      <c r="L50" s="5">
        <f t="shared" si="17"/>
        <v>364.2265246853824</v>
      </c>
      <c r="M50" s="5">
        <f t="shared" si="17"/>
        <v>368.86754966887418</v>
      </c>
      <c r="N50" s="5">
        <f t="shared" si="17"/>
        <v>374.35489833641407</v>
      </c>
      <c r="O50" s="5">
        <f t="shared" si="17"/>
        <v>378.85907859078588</v>
      </c>
      <c r="P50" s="5">
        <f t="shared" si="17"/>
        <v>383.70609002647836</v>
      </c>
      <c r="Q50" s="5">
        <f t="shared" si="17"/>
        <v>388.66321243523316</v>
      </c>
      <c r="R50" s="5">
        <f t="shared" si="17"/>
        <v>392.78885135135135</v>
      </c>
      <c r="S50" s="5">
        <f t="shared" si="17"/>
        <v>398.07024793388433</v>
      </c>
      <c r="T50" s="5">
        <f t="shared" si="17"/>
        <v>402.51818916734038</v>
      </c>
      <c r="U50" s="5">
        <f t="shared" si="17"/>
        <v>406.61757719714967</v>
      </c>
      <c r="V50" s="5">
        <f t="shared" si="17"/>
        <v>411.85415050426684</v>
      </c>
      <c r="W50" s="5">
        <f t="shared" si="17"/>
        <v>416.26747720364745</v>
      </c>
      <c r="X50" s="5">
        <f t="shared" si="17"/>
        <v>423.79464285714283</v>
      </c>
      <c r="Y50" s="5">
        <f t="shared" si="17"/>
        <v>429.50072886297374</v>
      </c>
      <c r="Z50" s="5">
        <f t="shared" si="17"/>
        <v>434.38027162258754</v>
      </c>
      <c r="AA50" s="5">
        <f t="shared" si="17"/>
        <v>439.2605042016807</v>
      </c>
      <c r="AB50" s="5">
        <f t="shared" si="17"/>
        <v>444.6252573781743</v>
      </c>
      <c r="AC50" s="5">
        <f t="shared" si="17"/>
        <v>449.4885598923284</v>
      </c>
      <c r="AD50" s="5">
        <f t="shared" si="17"/>
        <v>455.13870541611624</v>
      </c>
      <c r="AE50" s="5">
        <f t="shared" si="17"/>
        <v>459.68652849740931</v>
      </c>
      <c r="AF50" s="5">
        <f t="shared" si="17"/>
        <v>464.82846251588307</v>
      </c>
      <c r="AG50" s="5">
        <f t="shared" si="17"/>
        <v>470.15595757953838</v>
      </c>
      <c r="AH50" s="5">
        <f t="shared" si="17"/>
        <v>474.98592411260711</v>
      </c>
      <c r="AI50" s="270">
        <f t="shared" si="17"/>
        <v>480.30186410102226</v>
      </c>
    </row>
    <row r="51" spans="2:35" ht="14.25" customHeight="1" thickBot="1">
      <c r="B51" s="271" t="s">
        <v>288</v>
      </c>
      <c r="C51" s="272"/>
      <c r="D51" s="273"/>
      <c r="E51" s="273">
        <f>IF(SUM($D$48:E48)&gt;VLOOKUP($C$38,'Personnel Requirement'!$B$20:$C$27,2,FALSE),1,0)</f>
        <v>0</v>
      </c>
      <c r="F51" s="273">
        <f>IF(SUM($D$48:F48)&gt;VLOOKUP($C$38,'Personnel Requirement'!$B$20:$C$27,2,FALSE),1,0)</f>
        <v>0</v>
      </c>
      <c r="G51" s="273">
        <f>IF(SUM($D$48:G48)&gt;VLOOKUP($C$38,'Personnel Requirement'!$B$20:$C$27,2,FALSE),1,0)</f>
        <v>0</v>
      </c>
      <c r="H51" s="273">
        <f>IF(SUM($D$48:H48)&gt;VLOOKUP($C$38,'Personnel Requirement'!$B$20:$C$27,2,FALSE),1,0)</f>
        <v>0</v>
      </c>
      <c r="I51" s="273">
        <f>IF(SUM($D$48:I48)&gt;VLOOKUP($C$38,'Personnel Requirement'!$B$20:$C$27,2,FALSE),1,0)</f>
        <v>0</v>
      </c>
      <c r="J51" s="273">
        <f>IF(SUM($D$48:J48)&gt;VLOOKUP($C$38,'Personnel Requirement'!$B$20:$C$27,2,FALSE),1,0)</f>
        <v>0</v>
      </c>
      <c r="K51" s="273">
        <f>IF(SUM($D$48:K48)&gt;VLOOKUP($C$38,'Personnel Requirement'!$B$20:$C$27,2,FALSE),1,0)</f>
        <v>0</v>
      </c>
      <c r="L51" s="273">
        <f>IF(SUM($D$48:L48)&gt;VLOOKUP($C$38,'Personnel Requirement'!$B$20:$C$27,2,FALSE),1,0)</f>
        <v>0</v>
      </c>
      <c r="M51" s="273">
        <f>IF(SUM($D$48:M48)&gt;VLOOKUP($C$38,'Personnel Requirement'!$B$20:$C$27,2,FALSE),1,0)</f>
        <v>0</v>
      </c>
      <c r="N51" s="273">
        <f>IF(SUM($D$48:N48)&gt;VLOOKUP($C$38,'Personnel Requirement'!$B$20:$C$27,2,FALSE),1,0)</f>
        <v>0</v>
      </c>
      <c r="O51" s="273">
        <f>IF(SUM($D$48:O48)&gt;VLOOKUP($C$38,'Personnel Requirement'!$B$20:$C$27,2,FALSE),1,0)</f>
        <v>0</v>
      </c>
      <c r="P51" s="273">
        <f>IF(SUM($D$48:P48)&gt;VLOOKUP($C$38,'Personnel Requirement'!$B$20:$C$27,2,FALSE),1,0)</f>
        <v>0</v>
      </c>
      <c r="Q51" s="273">
        <f>IF(SUM($D$48:Q48)&gt;VLOOKUP($C$38,'Personnel Requirement'!$B$20:$C$27,2,FALSE),1,0)</f>
        <v>0</v>
      </c>
      <c r="R51" s="273">
        <f>IF(SUM($D$48:R48)&gt;VLOOKUP($C$38,'Personnel Requirement'!$B$20:$C$27,2,FALSE),1,0)</f>
        <v>0</v>
      </c>
      <c r="S51" s="273">
        <f>IF(SUM($D$48:S48)&gt;VLOOKUP($C$38,'Personnel Requirement'!$B$20:$C$27,2,FALSE),1,0)</f>
        <v>0</v>
      </c>
      <c r="T51" s="273">
        <f>IF(SUM($D$48:T48)&gt;VLOOKUP($C$38,'Personnel Requirement'!$B$20:$C$27,2,FALSE),1,0)</f>
        <v>0</v>
      </c>
      <c r="U51" s="273">
        <f>IF(SUM($D$48:U48)&gt;VLOOKUP($C$38,'Personnel Requirement'!$B$20:$C$27,2,FALSE),1,0)</f>
        <v>0</v>
      </c>
      <c r="V51" s="273">
        <f>IF(SUM($D$48:V48)&gt;VLOOKUP($C$38,'Personnel Requirement'!$B$20:$C$27,2,FALSE),1,0)</f>
        <v>0</v>
      </c>
      <c r="W51" s="273">
        <f>IF(SUM($D$48:W48)&gt;VLOOKUP($C$38,'Personnel Requirement'!$B$20:$C$27,2,FALSE),1,0)</f>
        <v>0</v>
      </c>
      <c r="X51" s="273">
        <f>IF(SUM($D$48:X48)&gt;VLOOKUP($C$38,'Personnel Requirement'!$B$20:$C$27,2,FALSE),1,0)</f>
        <v>0</v>
      </c>
      <c r="Y51" s="273">
        <f>IF(SUM($D$48:Y48)&gt;VLOOKUP($C$38,'Personnel Requirement'!$B$20:$C$27,2,FALSE),1,0)</f>
        <v>0</v>
      </c>
      <c r="Z51" s="273">
        <f>IF(SUM($D$48:Z48)&gt;VLOOKUP($C$38,'Personnel Requirement'!$B$20:$C$27,2,FALSE),1,0)</f>
        <v>0</v>
      </c>
      <c r="AA51" s="273">
        <f>IF(SUM($D$48:AA48)&gt;VLOOKUP($C$38,'Personnel Requirement'!$B$20:$C$27,2,FALSE),1,0)</f>
        <v>0</v>
      </c>
      <c r="AB51" s="273">
        <f>IF(SUM($D$48:AB48)&gt;VLOOKUP($C$38,'Personnel Requirement'!$B$20:$C$27,2,FALSE),1,0)</f>
        <v>0</v>
      </c>
      <c r="AC51" s="273">
        <f>IF(SUM($D$48:AC48)&gt;VLOOKUP($C$38,'Personnel Requirement'!$B$20:$C$27,2,FALSE),1,0)</f>
        <v>0</v>
      </c>
      <c r="AD51" s="273">
        <f>IF(SUM($D$48:AD48)&gt;VLOOKUP($C$38,'Personnel Requirement'!$B$20:$C$27,2,FALSE),1,0)</f>
        <v>1</v>
      </c>
      <c r="AE51" s="273">
        <f>IF(SUM($D$48:AE48)&gt;VLOOKUP($C$38,'Personnel Requirement'!$B$20:$C$27,2,FALSE),1,0)</f>
        <v>1</v>
      </c>
      <c r="AF51" s="273">
        <f>IF(SUM($D$48:AF48)&gt;VLOOKUP($C$38,'Personnel Requirement'!$B$20:$C$27,2,FALSE),1,0)</f>
        <v>1</v>
      </c>
      <c r="AG51" s="273">
        <f>IF(SUM($D$48:AG48)&gt;VLOOKUP($C$38,'Personnel Requirement'!$B$20:$C$27,2,FALSE),1,0)</f>
        <v>1</v>
      </c>
      <c r="AH51" s="273">
        <f>IF(SUM($D$48:AH48)&gt;VLOOKUP($C$38,'Personnel Requirement'!$B$20:$C$27,2,FALSE),1,0)</f>
        <v>1</v>
      </c>
      <c r="AI51" s="274">
        <f>IF(SUM($D$48:AI48)&gt;VLOOKUP($C$38,'Personnel Requirement'!$B$20:$C$27,2,FALSE),1,0)</f>
        <v>1</v>
      </c>
    </row>
    <row r="52" spans="2:35" ht="14.25" customHeight="1"/>
    <row r="53" spans="2:35" ht="14.25" customHeight="1"/>
    <row r="54" spans="2:35" ht="14.25" customHeight="1" thickBot="1">
      <c r="B54" s="287" t="str">
        <f>CONCATENATE(C54," available personnel assessment")</f>
        <v>Electrical Engineer available personnel assessment</v>
      </c>
      <c r="C54" s="288" t="s">
        <v>131</v>
      </c>
    </row>
    <row r="55" spans="2:35" ht="14.25" customHeight="1" thickBot="1">
      <c r="B55" s="161" t="s">
        <v>278</v>
      </c>
      <c r="C55" s="84">
        <v>2018</v>
      </c>
      <c r="D55" s="84">
        <f t="shared" ref="D55:AI55" si="18">C55+1</f>
        <v>2019</v>
      </c>
      <c r="E55" s="84">
        <f t="shared" si="18"/>
        <v>2020</v>
      </c>
      <c r="F55" s="84">
        <f t="shared" si="18"/>
        <v>2021</v>
      </c>
      <c r="G55" s="84">
        <f t="shared" si="18"/>
        <v>2022</v>
      </c>
      <c r="H55" s="84">
        <f t="shared" si="18"/>
        <v>2023</v>
      </c>
      <c r="I55" s="84">
        <f t="shared" si="18"/>
        <v>2024</v>
      </c>
      <c r="J55" s="84">
        <f t="shared" si="18"/>
        <v>2025</v>
      </c>
      <c r="K55" s="84">
        <f t="shared" si="18"/>
        <v>2026</v>
      </c>
      <c r="L55" s="84">
        <f t="shared" si="18"/>
        <v>2027</v>
      </c>
      <c r="M55" s="84">
        <f t="shared" si="18"/>
        <v>2028</v>
      </c>
      <c r="N55" s="84">
        <f t="shared" si="18"/>
        <v>2029</v>
      </c>
      <c r="O55" s="84">
        <f t="shared" si="18"/>
        <v>2030</v>
      </c>
      <c r="P55" s="84">
        <f t="shared" si="18"/>
        <v>2031</v>
      </c>
      <c r="Q55" s="84">
        <f t="shared" si="18"/>
        <v>2032</v>
      </c>
      <c r="R55" s="84">
        <f t="shared" si="18"/>
        <v>2033</v>
      </c>
      <c r="S55" s="84">
        <f t="shared" si="18"/>
        <v>2034</v>
      </c>
      <c r="T55" s="84">
        <f t="shared" si="18"/>
        <v>2035</v>
      </c>
      <c r="U55" s="84">
        <f t="shared" si="18"/>
        <v>2036</v>
      </c>
      <c r="V55" s="84">
        <f t="shared" si="18"/>
        <v>2037</v>
      </c>
      <c r="W55" s="84">
        <f t="shared" si="18"/>
        <v>2038</v>
      </c>
      <c r="X55" s="84">
        <f t="shared" si="18"/>
        <v>2039</v>
      </c>
      <c r="Y55" s="84">
        <f t="shared" si="18"/>
        <v>2040</v>
      </c>
      <c r="Z55" s="84">
        <f t="shared" si="18"/>
        <v>2041</v>
      </c>
      <c r="AA55" s="84">
        <f t="shared" si="18"/>
        <v>2042</v>
      </c>
      <c r="AB55" s="84">
        <f t="shared" si="18"/>
        <v>2043</v>
      </c>
      <c r="AC55" s="84">
        <f t="shared" si="18"/>
        <v>2044</v>
      </c>
      <c r="AD55" s="84">
        <f t="shared" si="18"/>
        <v>2045</v>
      </c>
      <c r="AE55" s="84">
        <f t="shared" si="18"/>
        <v>2046</v>
      </c>
      <c r="AF55" s="84">
        <f t="shared" si="18"/>
        <v>2047</v>
      </c>
      <c r="AG55" s="84">
        <f t="shared" si="18"/>
        <v>2048</v>
      </c>
      <c r="AH55" s="84">
        <f t="shared" si="18"/>
        <v>2049</v>
      </c>
      <c r="AI55" s="85">
        <f t="shared" si="18"/>
        <v>2050</v>
      </c>
    </row>
    <row r="56" spans="2:35" ht="14.25" customHeight="1">
      <c r="B56" s="182" t="s">
        <v>279</v>
      </c>
      <c r="C56" s="264">
        <f>SUMIF('People Stats'!$E$9:$E$17,$C$54,'People Stats'!$D$9:$D$17)</f>
        <v>3576</v>
      </c>
      <c r="D56" s="264">
        <f>C56-C60+C57</f>
        <v>4448</v>
      </c>
      <c r="E56" s="264">
        <f t="shared" ref="E56:AI56" si="19">D56+D57-D66</f>
        <v>4890.3571428571431</v>
      </c>
      <c r="F56" s="264">
        <f t="shared" si="19"/>
        <v>5413.5506912442397</v>
      </c>
      <c r="G56" s="264">
        <f t="shared" si="19"/>
        <v>5658.070299087377</v>
      </c>
      <c r="H56" s="264">
        <f t="shared" si="19"/>
        <v>5899.2295911227748</v>
      </c>
      <c r="I56" s="264">
        <f t="shared" si="19"/>
        <v>6481.0149018572383</v>
      </c>
      <c r="J56" s="264">
        <f t="shared" si="19"/>
        <v>6933.3970156783762</v>
      </c>
      <c r="K56" s="264">
        <f t="shared" si="19"/>
        <v>7458.4268664246447</v>
      </c>
      <c r="L56" s="264">
        <f t="shared" si="19"/>
        <v>7987.2762640150058</v>
      </c>
      <c r="M56" s="264">
        <f t="shared" si="19"/>
        <v>8517.6762640150064</v>
      </c>
      <c r="N56" s="264">
        <f t="shared" si="19"/>
        <v>9051.2819478515958</v>
      </c>
      <c r="O56" s="264">
        <f t="shared" si="19"/>
        <v>9587.3826189925348</v>
      </c>
      <c r="P56" s="264">
        <f t="shared" si="19"/>
        <v>10124.849285659202</v>
      </c>
      <c r="Q56" s="264">
        <f t="shared" si="19"/>
        <v>10666.238425930695</v>
      </c>
      <c r="R56" s="264">
        <f t="shared" si="19"/>
        <v>11209.495240851786</v>
      </c>
      <c r="S56" s="264">
        <f t="shared" si="19"/>
        <v>11757.043186057264</v>
      </c>
      <c r="T56" s="264">
        <f t="shared" si="19"/>
        <v>12308.475865795826</v>
      </c>
      <c r="U56" s="264">
        <f t="shared" si="19"/>
        <v>12862.979625194323</v>
      </c>
      <c r="V56" s="264">
        <f t="shared" si="19"/>
        <v>13422.080465530456</v>
      </c>
      <c r="W56" s="264">
        <f t="shared" si="19"/>
        <v>13983.810569336685</v>
      </c>
      <c r="X56" s="264">
        <f t="shared" si="19"/>
        <v>14559.343828760189</v>
      </c>
      <c r="Y56" s="264">
        <f t="shared" si="19"/>
        <v>15135.32250679857</v>
      </c>
      <c r="Z56" s="264">
        <f t="shared" si="19"/>
        <v>15715.289618823235</v>
      </c>
      <c r="AA56" s="264">
        <f t="shared" si="19"/>
        <v>16300.758925753926</v>
      </c>
      <c r="AB56" s="264">
        <f t="shared" si="19"/>
        <v>16890.778046212818</v>
      </c>
      <c r="AC56" s="264">
        <f t="shared" si="19"/>
        <v>17485.935940949661</v>
      </c>
      <c r="AD56" s="264">
        <f t="shared" si="19"/>
        <v>18085.775083040815</v>
      </c>
      <c r="AE56" s="264">
        <f t="shared" si="19"/>
        <v>18690.851207608288</v>
      </c>
      <c r="AF56" s="264">
        <f t="shared" si="19"/>
        <v>19301.201584808623</v>
      </c>
      <c r="AG56" s="264">
        <f t="shared" si="19"/>
        <v>19916.369740779377</v>
      </c>
      <c r="AH56" s="264">
        <f t="shared" si="19"/>
        <v>20536.873677787251</v>
      </c>
      <c r="AI56" s="265">
        <f t="shared" si="19"/>
        <v>21161.286521823949</v>
      </c>
    </row>
    <row r="57" spans="2:35" ht="14.25" customHeight="1">
      <c r="B57" s="10" t="s">
        <v>280</v>
      </c>
      <c r="C57" s="12">
        <f>INDEX('Personnel Replenishment'!$C$7:$L$14,MATCH($C$54,'Personnel Replenishment'!$B$7:$B$14,0),MATCH(C$55,'Personnel Replenishment'!$C$6:$L$6,0))</f>
        <v>988</v>
      </c>
      <c r="D57" s="12">
        <f>INDEX('Personnel Replenishment'!$C$7:$L$14,MATCH($C$54,'Personnel Replenishment'!$B$7:$B$14,0),MATCH(D$55,'Personnel Replenishment'!$C$6:$L$6,0))</f>
        <v>954</v>
      </c>
      <c r="E57" s="12">
        <f>INDEX('Personnel Replenishment'!$C$7:$L$14,MATCH($C$54,'Personnel Replenishment'!$B$7:$B$14,0),MATCH(E$55,'Personnel Replenishment'!$C$6:$L$6,0))</f>
        <v>1019</v>
      </c>
      <c r="F57" s="12">
        <f>INDEX('Personnel Replenishment'!$C$7:$L$14,MATCH($C$54,'Personnel Replenishment'!$B$7:$B$14,0),MATCH(F$55,'Personnel Replenishment'!$C$6:$L$6,0))</f>
        <v>774</v>
      </c>
      <c r="G57" s="12">
        <f>INDEX('Personnel Replenishment'!$C$7:$L$14,MATCH($C$54,'Personnel Replenishment'!$B$7:$B$14,0),MATCH(G$55,'Personnel Replenishment'!$C$6:$L$6,0))</f>
        <v>643</v>
      </c>
      <c r="H57" s="12">
        <f>INDEX('Personnel Replenishment'!$C$36:$AD$39,MATCH($C$54,'Personnel Replenishment'!$B$36:$B$39,0),MATCH(H$55,'Personnel Replenishment'!$C$35:$AD$35,0))*(1+Variables!$C$28)</f>
        <v>916</v>
      </c>
      <c r="I57" s="12">
        <f>INDEX('Personnel Replenishment'!$C$36:$AD$39,MATCH($C$54,'Personnel Replenishment'!$B$36:$B$39,0),MATCH(I$55,'Personnel Replenishment'!$C$35:$AD$35,0))*(1+Variables!$C$28)</f>
        <v>929</v>
      </c>
      <c r="J57" s="12">
        <f>INDEX('Personnel Replenishment'!$C$36:$AD$39,MATCH($C$54,'Personnel Replenishment'!$B$36:$B$39,0),MATCH(J$55,'Personnel Replenishment'!$C$35:$AD$35,0))*(1+Variables!$C$28)</f>
        <v>941</v>
      </c>
      <c r="K57" s="12">
        <f>INDEX('Personnel Replenishment'!$C$36:$AD$39,MATCH($C$54,'Personnel Replenishment'!$B$36:$B$39,0),MATCH(K$55,'Personnel Replenishment'!$C$35:$AD$35,0))*(1+Variables!$C$28)</f>
        <v>954</v>
      </c>
      <c r="L57" s="12">
        <f>INDEX('Personnel Replenishment'!$C$36:$AD$39,MATCH($C$54,'Personnel Replenishment'!$B$36:$B$39,0),MATCH(L$55,'Personnel Replenishment'!$C$35:$AD$35,0))*(1+Variables!$C$28)</f>
        <v>966</v>
      </c>
      <c r="M57" s="12">
        <f>INDEX('Personnel Replenishment'!$C$36:$AD$39,MATCH($C$54,'Personnel Replenishment'!$B$36:$B$39,0),MATCH(M$55,'Personnel Replenishment'!$C$35:$AD$35,0))*(1+Variables!$C$28)</f>
        <v>978</v>
      </c>
      <c r="N57" s="12">
        <f>INDEX('Personnel Replenishment'!$C$36:$AD$39,MATCH($C$54,'Personnel Replenishment'!$B$36:$B$39,0),MATCH(N$55,'Personnel Replenishment'!$C$35:$AD$35,0))*(1+Variables!$C$28)</f>
        <v>989</v>
      </c>
      <c r="O57" s="12">
        <f>INDEX('Personnel Replenishment'!$C$36:$AD$39,MATCH($C$54,'Personnel Replenishment'!$B$36:$B$39,0),MATCH(O$55,'Personnel Replenishment'!$C$35:$AD$35,0))*(1+Variables!$C$28)</f>
        <v>999</v>
      </c>
      <c r="P57" s="12">
        <f>INDEX('Personnel Replenishment'!$C$36:$AD$39,MATCH($C$54,'Personnel Replenishment'!$B$36:$B$39,0),MATCH(P$55,'Personnel Replenishment'!$C$35:$AD$35,0))*(1+Variables!$C$28)</f>
        <v>1010</v>
      </c>
      <c r="Q57" s="12">
        <f>INDEX('Personnel Replenishment'!$C$36:$AD$39,MATCH($C$54,'Personnel Replenishment'!$B$36:$B$39,0),MATCH(Q$55,'Personnel Replenishment'!$C$35:$AD$35,0))*(1+Variables!$C$28)</f>
        <v>1020</v>
      </c>
      <c r="R57" s="12">
        <f>INDEX('Personnel Replenishment'!$C$36:$AD$39,MATCH($C$54,'Personnel Replenishment'!$B$36:$B$39,0),MATCH(R$55,'Personnel Replenishment'!$C$35:$AD$35,0))*(1+Variables!$C$28)</f>
        <v>1031</v>
      </c>
      <c r="S57" s="12">
        <f>INDEX('Personnel Replenishment'!$C$36:$AD$39,MATCH($C$54,'Personnel Replenishment'!$B$36:$B$39,0),MATCH(S$55,'Personnel Replenishment'!$C$35:$AD$35,0))*(1+Variables!$C$28)</f>
        <v>1042</v>
      </c>
      <c r="T57" s="12">
        <f>INDEX('Personnel Replenishment'!$C$36:$AD$39,MATCH($C$54,'Personnel Replenishment'!$B$36:$B$39,0),MATCH(T$55,'Personnel Replenishment'!$C$35:$AD$35,0))*(1+Variables!$C$28)</f>
        <v>1052</v>
      </c>
      <c r="U57" s="12">
        <f>INDEX('Personnel Replenishment'!$C$36:$AD$39,MATCH($C$54,'Personnel Replenishment'!$B$36:$B$39,0),MATCH(U$55,'Personnel Replenishment'!$C$35:$AD$35,0))*(1+Variables!$C$28)</f>
        <v>1063</v>
      </c>
      <c r="V57" s="12">
        <f>INDEX('Personnel Replenishment'!$C$36:$AD$39,MATCH($C$54,'Personnel Replenishment'!$B$36:$B$39,0),MATCH(V$55,'Personnel Replenishment'!$C$35:$AD$35,0))*(1+Variables!$C$28)</f>
        <v>1073</v>
      </c>
      <c r="W57" s="12">
        <f>INDEX('Personnel Replenishment'!$C$36:$AD$39,MATCH($C$54,'Personnel Replenishment'!$B$36:$B$39,0),MATCH(W$55,'Personnel Replenishment'!$C$35:$AD$35,0))*(1+Variables!$C$28)</f>
        <v>1093</v>
      </c>
      <c r="X57" s="12">
        <f>INDEX('Personnel Replenishment'!$C$36:$AD$39,MATCH($C$54,'Personnel Replenishment'!$B$36:$B$39,0),MATCH(X$55,'Personnel Replenishment'!$C$35:$AD$35,0))*(1+Variables!$C$28)</f>
        <v>1105</v>
      </c>
      <c r="Y57" s="12">
        <f>INDEX('Personnel Replenishment'!$C$36:$AD$39,MATCH($C$54,'Personnel Replenishment'!$B$36:$B$39,0),MATCH(Y$55,'Personnel Replenishment'!$C$35:$AD$35,0))*(1+Variables!$C$28)</f>
        <v>1116</v>
      </c>
      <c r="Z57" s="12">
        <f>INDEX('Personnel Replenishment'!$C$36:$AD$39,MATCH($C$54,'Personnel Replenishment'!$B$36:$B$39,0),MATCH(Z$55,'Personnel Replenishment'!$C$35:$AD$35,0))*(1+Variables!$C$28)</f>
        <v>1128</v>
      </c>
      <c r="AA57" s="12">
        <f>INDEX('Personnel Replenishment'!$C$36:$AD$39,MATCH($C$54,'Personnel Replenishment'!$B$36:$B$39,0),MATCH(AA$55,'Personnel Replenishment'!$C$35:$AD$35,0))*(1+Variables!$C$28)</f>
        <v>1140</v>
      </c>
      <c r="AB57" s="12">
        <f>INDEX('Personnel Replenishment'!$C$36:$AD$39,MATCH($C$54,'Personnel Replenishment'!$B$36:$B$39,0),MATCH(AB$55,'Personnel Replenishment'!$C$35:$AD$35,0))*(1+Variables!$C$28)</f>
        <v>1152</v>
      </c>
      <c r="AC57" s="12">
        <f>INDEX('Personnel Replenishment'!$C$36:$AD$39,MATCH($C$54,'Personnel Replenishment'!$B$36:$B$39,0),MATCH(AC$55,'Personnel Replenishment'!$C$35:$AD$35,0))*(1+Variables!$C$28)</f>
        <v>1164</v>
      </c>
      <c r="AD57" s="12">
        <f>INDEX('Personnel Replenishment'!$C$36:$AD$39,MATCH($C$54,'Personnel Replenishment'!$B$36:$B$39,0),MATCH(AD$55,'Personnel Replenishment'!$C$35:$AD$35,0))*(1+Variables!$C$28)</f>
        <v>1176</v>
      </c>
      <c r="AE57" s="12">
        <f>INDEX('Personnel Replenishment'!$C$36:$AD$39,MATCH($C$54,'Personnel Replenishment'!$B$36:$B$39,0),MATCH(AE$55,'Personnel Replenishment'!$C$35:$AD$35,0))*(1+Variables!$C$28)</f>
        <v>1188</v>
      </c>
      <c r="AF57" s="12">
        <f>INDEX('Personnel Replenishment'!$C$36:$AD$39,MATCH($C$54,'Personnel Replenishment'!$B$36:$B$39,0),MATCH(AF$55,'Personnel Replenishment'!$C$35:$AD$35,0))*(1+Variables!$C$28)</f>
        <v>1200</v>
      </c>
      <c r="AG57" s="12">
        <f>INDEX('Personnel Replenishment'!$C$36:$AD$39,MATCH($C$54,'Personnel Replenishment'!$B$36:$B$39,0),MATCH(AG$55,'Personnel Replenishment'!$C$35:$AD$35,0))*(1+Variables!$C$28)</f>
        <v>1212</v>
      </c>
      <c r="AH57" s="12">
        <f>INDEX('Personnel Replenishment'!$C$36:$AD$39,MATCH($C$54,'Personnel Replenishment'!$B$36:$B$39,0),MATCH(AH$55,'Personnel Replenishment'!$C$35:$AD$35,0))*(1+Variables!$C$28)</f>
        <v>1223</v>
      </c>
      <c r="AI57" s="266">
        <f>INDEX('Personnel Replenishment'!$C$36:$AD$39,MATCH($C$54,'Personnel Replenishment'!$B$36:$B$39,0),MATCH(AI$55,'Personnel Replenishment'!$C$35:$AD$35,0))*(1+Variables!$C$28)</f>
        <v>1235</v>
      </c>
    </row>
    <row r="58" spans="2:35" ht="14.25" customHeight="1">
      <c r="B58" s="267"/>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9"/>
    </row>
    <row r="59" spans="2:35" ht="14.25" customHeight="1">
      <c r="B59" s="182" t="s">
        <v>281</v>
      </c>
      <c r="C59" s="264">
        <f>ROUNDUP(C56*Variables!$C$25,0)</f>
        <v>108</v>
      </c>
      <c r="D59" s="264">
        <f>ROUNDUP(D56*Variables!$C$25,0)</f>
        <v>134</v>
      </c>
      <c r="E59" s="264">
        <f>ROUNDUP(E56*Variables!$C$25,0)</f>
        <v>147</v>
      </c>
      <c r="F59" s="264">
        <f>ROUNDUP(F56*Variables!$C$25,0)</f>
        <v>163</v>
      </c>
      <c r="G59" s="264">
        <f>ROUNDUP(G56*Variables!$C$25,0)</f>
        <v>170</v>
      </c>
      <c r="H59" s="264">
        <f>ROUNDUP(H56*Variables!$C$25,0)</f>
        <v>177</v>
      </c>
      <c r="I59" s="264">
        <f>ROUNDUP(I56*Variables!$C$25,0)</f>
        <v>195</v>
      </c>
      <c r="J59" s="264">
        <f>ROUNDUP(J56*Variables!$C$25,0)</f>
        <v>209</v>
      </c>
      <c r="K59" s="264">
        <f>ROUNDUP(K56*Variables!$C$25,0)</f>
        <v>224</v>
      </c>
      <c r="L59" s="264">
        <f>ROUNDUP(L56*Variables!$C$25,0)</f>
        <v>240</v>
      </c>
      <c r="M59" s="264">
        <f>ROUNDUP(M56*Variables!$C$25,0)</f>
        <v>256</v>
      </c>
      <c r="N59" s="264">
        <f>ROUNDUP(N56*Variables!$C$25,0)</f>
        <v>272</v>
      </c>
      <c r="O59" s="264">
        <f>ROUNDUP(O56*Variables!$C$25,0)</f>
        <v>288</v>
      </c>
      <c r="P59" s="264">
        <f>ROUNDUP(P56*Variables!$C$25,0)</f>
        <v>304</v>
      </c>
      <c r="Q59" s="264">
        <f>ROUNDUP(Q56*Variables!$C$25,0)</f>
        <v>320</v>
      </c>
      <c r="R59" s="264">
        <f>ROUNDUP(R56*Variables!$C$25,0)</f>
        <v>337</v>
      </c>
      <c r="S59" s="264">
        <f>ROUNDUP(S56*Variables!$C$25,0)</f>
        <v>353</v>
      </c>
      <c r="T59" s="264">
        <f>ROUNDUP(T56*Variables!$C$25,0)</f>
        <v>370</v>
      </c>
      <c r="U59" s="264">
        <f>ROUNDUP(U56*Variables!$C$25,0)</f>
        <v>386</v>
      </c>
      <c r="V59" s="264">
        <f>ROUNDUP(V56*Variables!$C$25,0)</f>
        <v>403</v>
      </c>
      <c r="W59" s="264">
        <f>ROUNDUP(W56*Variables!$C$25,0)</f>
        <v>420</v>
      </c>
      <c r="X59" s="264">
        <f>ROUNDUP(X56*Variables!$C$25,0)</f>
        <v>437</v>
      </c>
      <c r="Y59" s="264">
        <f>ROUNDUP(Y56*Variables!$C$25,0)</f>
        <v>455</v>
      </c>
      <c r="Z59" s="264">
        <f>ROUNDUP(Z56*Variables!$C$25,0)</f>
        <v>472</v>
      </c>
      <c r="AA59" s="264">
        <f>ROUNDUP(AA56*Variables!$C$25,0)</f>
        <v>490</v>
      </c>
      <c r="AB59" s="264">
        <f>ROUNDUP(AB56*Variables!$C$25,0)</f>
        <v>507</v>
      </c>
      <c r="AC59" s="264">
        <f>ROUNDUP(AC56*Variables!$C$25,0)</f>
        <v>525</v>
      </c>
      <c r="AD59" s="264">
        <f>ROUNDUP(AD56*Variables!$C$25,0)</f>
        <v>543</v>
      </c>
      <c r="AE59" s="264">
        <f>ROUNDUP(AE56*Variables!$C$25,0)</f>
        <v>561</v>
      </c>
      <c r="AF59" s="264">
        <f>ROUNDUP(AF56*Variables!$C$25,0)</f>
        <v>580</v>
      </c>
      <c r="AG59" s="264">
        <f>ROUNDUP(AG56*Variables!$C$25,0)</f>
        <v>598</v>
      </c>
      <c r="AH59" s="264">
        <f>ROUNDUP(AH56*Variables!$C$25,0)</f>
        <v>617</v>
      </c>
      <c r="AI59" s="265">
        <f>ROUNDUP(AI56*Variables!$C$25,0)</f>
        <v>635</v>
      </c>
    </row>
    <row r="60" spans="2:35" ht="14.25" customHeight="1">
      <c r="B60" s="3" t="s">
        <v>282</v>
      </c>
      <c r="C60" s="5">
        <f>ROUNDUP(C56*Variables!$C$26,0)</f>
        <v>116</v>
      </c>
      <c r="D60" s="5">
        <f>ROUNDUP(D56*Variables!$C$26,0)</f>
        <v>145</v>
      </c>
      <c r="E60" s="5">
        <f>ROUNDUP(E56*Variables!$C$26,0)</f>
        <v>159</v>
      </c>
      <c r="F60" s="5">
        <f>ROUNDUP(F56*Variables!$C$26,0)</f>
        <v>176</v>
      </c>
      <c r="G60" s="5">
        <f>ROUNDUP(G56*Variables!$C$26,0)</f>
        <v>184</v>
      </c>
      <c r="H60" s="5">
        <f>ROUNDUP(H56*Variables!$C$26,0)</f>
        <v>192</v>
      </c>
      <c r="I60" s="5">
        <f>ROUNDUP(I56*Variables!$C$26,0)</f>
        <v>210</v>
      </c>
      <c r="J60" s="5">
        <f>ROUNDUP(J56*Variables!$C$26,0)</f>
        <v>225</v>
      </c>
      <c r="K60" s="5">
        <f>ROUNDUP(K56*Variables!$C$26,0)</f>
        <v>242</v>
      </c>
      <c r="L60" s="5">
        <f>ROUNDUP(L56*Variables!$C$26,0)</f>
        <v>259</v>
      </c>
      <c r="M60" s="5">
        <f>ROUNDUP(M56*Variables!$C$26,0)</f>
        <v>276</v>
      </c>
      <c r="N60" s="5">
        <f>ROUNDUP(N56*Variables!$C$26,0)</f>
        <v>294</v>
      </c>
      <c r="O60" s="5">
        <f>ROUNDUP(O56*Variables!$C$26,0)</f>
        <v>311</v>
      </c>
      <c r="P60" s="5">
        <f>ROUNDUP(P56*Variables!$C$26,0)</f>
        <v>329</v>
      </c>
      <c r="Q60" s="5">
        <f>ROUNDUP(Q56*Variables!$C$26,0)</f>
        <v>346</v>
      </c>
      <c r="R60" s="5">
        <f>ROUNDUP(R56*Variables!$C$26,0)</f>
        <v>364</v>
      </c>
      <c r="S60" s="5">
        <f>ROUNDUP(S56*Variables!$C$26,0)</f>
        <v>381</v>
      </c>
      <c r="T60" s="5">
        <f>ROUNDUP(T56*Variables!$C$26,0)</f>
        <v>399</v>
      </c>
      <c r="U60" s="5">
        <f>ROUNDUP(U56*Variables!$C$26,0)</f>
        <v>417</v>
      </c>
      <c r="V60" s="5">
        <f>ROUNDUP(V56*Variables!$C$26,0)</f>
        <v>435</v>
      </c>
      <c r="W60" s="5">
        <f>ROUNDUP(W56*Variables!$C$26,0)</f>
        <v>454</v>
      </c>
      <c r="X60" s="5">
        <f>ROUNDUP(X56*Variables!$C$26,0)</f>
        <v>472</v>
      </c>
      <c r="Y60" s="5">
        <f>ROUNDUP(Y56*Variables!$C$26,0)</f>
        <v>491</v>
      </c>
      <c r="Z60" s="5">
        <f>ROUNDUP(Z56*Variables!$C$26,0)</f>
        <v>510</v>
      </c>
      <c r="AA60" s="5">
        <f>ROUNDUP(AA56*Variables!$C$26,0)</f>
        <v>529</v>
      </c>
      <c r="AB60" s="5">
        <f>ROUNDUP(AB56*Variables!$C$26,0)</f>
        <v>548</v>
      </c>
      <c r="AC60" s="5">
        <f>ROUNDUP(AC56*Variables!$C$26,0)</f>
        <v>567</v>
      </c>
      <c r="AD60" s="5">
        <f>ROUNDUP(AD56*Variables!$C$26,0)</f>
        <v>586</v>
      </c>
      <c r="AE60" s="5">
        <f>ROUNDUP(AE56*Variables!$C$26,0)</f>
        <v>606</v>
      </c>
      <c r="AF60" s="5">
        <f>ROUNDUP(AF56*Variables!$C$26,0)</f>
        <v>626</v>
      </c>
      <c r="AG60" s="5">
        <f>ROUNDUP(AG56*Variables!$C$26,0)</f>
        <v>646</v>
      </c>
      <c r="AH60" s="5">
        <f>ROUNDUP(AH56*Variables!$C$26,0)</f>
        <v>666</v>
      </c>
      <c r="AI60" s="270">
        <f>ROUNDUP(AI56*Variables!$C$26,0)</f>
        <v>686</v>
      </c>
    </row>
    <row r="61" spans="2:35" ht="14.25" customHeight="1">
      <c r="B61" s="3" t="s">
        <v>283</v>
      </c>
      <c r="C61" s="5">
        <v>0</v>
      </c>
      <c r="D61" s="5">
        <v>0</v>
      </c>
      <c r="E61" s="5">
        <v>0</v>
      </c>
      <c r="F61" s="5">
        <v>0</v>
      </c>
      <c r="G61" s="5">
        <v>0</v>
      </c>
      <c r="H61" s="5">
        <v>0</v>
      </c>
      <c r="I61" s="5">
        <f>VLOOKUP($C$54,'Personnel Requirement'!$B$10:$H$17,7,0)</f>
        <v>64</v>
      </c>
      <c r="J61" s="5">
        <f>VLOOKUP($C$54,'Personnel Requirement'!$B$10:$H$17,7,0)</f>
        <v>64</v>
      </c>
      <c r="K61" s="5">
        <f>VLOOKUP($C$54,'Personnel Requirement'!$B$10:$H$17,7,0)</f>
        <v>64</v>
      </c>
      <c r="L61" s="5">
        <f>VLOOKUP($C$54,'Personnel Requirement'!$B$10:$H$17,7,0)</f>
        <v>64</v>
      </c>
      <c r="M61" s="5">
        <f>VLOOKUP($C$54,'Personnel Requirement'!$B$10:$H$17,7,0)</f>
        <v>64</v>
      </c>
      <c r="N61" s="5">
        <f>VLOOKUP($C$54,'Personnel Requirement'!$B$10:$H$17,7,0)</f>
        <v>64</v>
      </c>
      <c r="O61" s="5">
        <f>VLOOKUP($C$54,'Personnel Requirement'!$B$10:$H$17,7,0)</f>
        <v>64</v>
      </c>
      <c r="P61" s="5">
        <f>VLOOKUP($C$54,'Personnel Requirement'!$B$10:$H$17,7,0)</f>
        <v>64</v>
      </c>
      <c r="Q61" s="5">
        <f>VLOOKUP($C$54,'Personnel Requirement'!$B$10:$H$17,7,0)</f>
        <v>64</v>
      </c>
      <c r="R61" s="5">
        <f>VLOOKUP($C$54,'Personnel Requirement'!$B$10:$H$17,7,0)</f>
        <v>64</v>
      </c>
      <c r="S61" s="5">
        <f>VLOOKUP($C$54,'Personnel Requirement'!$B$10:$H$17,7,0)</f>
        <v>64</v>
      </c>
      <c r="T61" s="5">
        <f>VLOOKUP($C$54,'Personnel Requirement'!$B$10:$H$17,7,0)</f>
        <v>64</v>
      </c>
      <c r="U61" s="5">
        <f>VLOOKUP($C$54,'Personnel Requirement'!$B$10:$H$17,7,0)</f>
        <v>64</v>
      </c>
      <c r="V61" s="5">
        <f>VLOOKUP($C$54,'Personnel Requirement'!$B$10:$H$17,7,0)</f>
        <v>64</v>
      </c>
      <c r="W61" s="5">
        <f>VLOOKUP($C$54,'Personnel Requirement'!$B$10:$H$17,7,0)</f>
        <v>64</v>
      </c>
      <c r="X61" s="5">
        <f>VLOOKUP($C$54,'Personnel Requirement'!$B$10:$H$17,7,0)</f>
        <v>64</v>
      </c>
      <c r="Y61" s="5">
        <f>VLOOKUP($C$54,'Personnel Requirement'!$B$10:$H$17,7,0)</f>
        <v>64</v>
      </c>
      <c r="Z61" s="5">
        <f>VLOOKUP($C$54,'Personnel Requirement'!$B$10:$H$17,7,0)</f>
        <v>64</v>
      </c>
      <c r="AA61" s="5">
        <f>VLOOKUP($C$54,'Personnel Requirement'!$B$10:$H$17,7,0)</f>
        <v>64</v>
      </c>
      <c r="AB61" s="5">
        <f>VLOOKUP($C$54,'Personnel Requirement'!$B$10:$H$17,7,0)</f>
        <v>64</v>
      </c>
      <c r="AC61" s="5">
        <f>VLOOKUP($C$54,'Personnel Requirement'!$B$10:$H$17,7,0)</f>
        <v>64</v>
      </c>
      <c r="AD61" s="5">
        <f>VLOOKUP($C$54,'Personnel Requirement'!$B$10:$H$17,7,0)</f>
        <v>64</v>
      </c>
      <c r="AE61" s="5">
        <f>VLOOKUP($C$54,'Personnel Requirement'!$B$10:$H$17,7,0)</f>
        <v>64</v>
      </c>
      <c r="AF61" s="5">
        <f>VLOOKUP($C$54,'Personnel Requirement'!$B$10:$H$17,7,0)</f>
        <v>64</v>
      </c>
      <c r="AG61" s="5">
        <f>VLOOKUP($C$54,'Personnel Requirement'!$B$10:$H$17,7,0)</f>
        <v>64</v>
      </c>
      <c r="AH61" s="5">
        <f>VLOOKUP($C$54,'Personnel Requirement'!$B$10:$H$17,7,0)</f>
        <v>64</v>
      </c>
      <c r="AI61" s="270">
        <f>VLOOKUP($C$54,'Personnel Requirement'!$B$10:$H$17,7,0)</f>
        <v>64</v>
      </c>
    </row>
    <row r="62" spans="2:35" ht="14.25" customHeight="1">
      <c r="B62" s="182" t="s">
        <v>284</v>
      </c>
      <c r="C62" s="264">
        <f t="shared" ref="C62:AI62" si="20">SUM(C59:C61)</f>
        <v>224</v>
      </c>
      <c r="D62" s="264">
        <f t="shared" si="20"/>
        <v>279</v>
      </c>
      <c r="E62" s="264">
        <f t="shared" si="20"/>
        <v>306</v>
      </c>
      <c r="F62" s="264">
        <f t="shared" si="20"/>
        <v>339</v>
      </c>
      <c r="G62" s="264">
        <f t="shared" si="20"/>
        <v>354</v>
      </c>
      <c r="H62" s="264">
        <f t="shared" si="20"/>
        <v>369</v>
      </c>
      <c r="I62" s="264">
        <f t="shared" si="20"/>
        <v>469</v>
      </c>
      <c r="J62" s="264">
        <f t="shared" si="20"/>
        <v>498</v>
      </c>
      <c r="K62" s="264">
        <f t="shared" si="20"/>
        <v>530</v>
      </c>
      <c r="L62" s="264">
        <f t="shared" si="20"/>
        <v>563</v>
      </c>
      <c r="M62" s="264">
        <f t="shared" si="20"/>
        <v>596</v>
      </c>
      <c r="N62" s="264">
        <f t="shared" si="20"/>
        <v>630</v>
      </c>
      <c r="O62" s="264">
        <f t="shared" si="20"/>
        <v>663</v>
      </c>
      <c r="P62" s="264">
        <f t="shared" si="20"/>
        <v>697</v>
      </c>
      <c r="Q62" s="264">
        <f t="shared" si="20"/>
        <v>730</v>
      </c>
      <c r="R62" s="264">
        <f t="shared" si="20"/>
        <v>765</v>
      </c>
      <c r="S62" s="264">
        <f t="shared" si="20"/>
        <v>798</v>
      </c>
      <c r="T62" s="264">
        <f t="shared" si="20"/>
        <v>833</v>
      </c>
      <c r="U62" s="264">
        <f t="shared" si="20"/>
        <v>867</v>
      </c>
      <c r="V62" s="264">
        <f t="shared" si="20"/>
        <v>902</v>
      </c>
      <c r="W62" s="264">
        <f t="shared" si="20"/>
        <v>938</v>
      </c>
      <c r="X62" s="264">
        <f t="shared" si="20"/>
        <v>973</v>
      </c>
      <c r="Y62" s="264">
        <f t="shared" si="20"/>
        <v>1010</v>
      </c>
      <c r="Z62" s="264">
        <f t="shared" si="20"/>
        <v>1046</v>
      </c>
      <c r="AA62" s="264">
        <f t="shared" si="20"/>
        <v>1083</v>
      </c>
      <c r="AB62" s="264">
        <f t="shared" si="20"/>
        <v>1119</v>
      </c>
      <c r="AC62" s="264">
        <f t="shared" si="20"/>
        <v>1156</v>
      </c>
      <c r="AD62" s="264">
        <f t="shared" si="20"/>
        <v>1193</v>
      </c>
      <c r="AE62" s="264">
        <f t="shared" si="20"/>
        <v>1231</v>
      </c>
      <c r="AF62" s="264">
        <f t="shared" si="20"/>
        <v>1270</v>
      </c>
      <c r="AG62" s="264">
        <f t="shared" si="20"/>
        <v>1308</v>
      </c>
      <c r="AH62" s="264">
        <f t="shared" si="20"/>
        <v>1347</v>
      </c>
      <c r="AI62" s="265">
        <f t="shared" si="20"/>
        <v>1385</v>
      </c>
    </row>
    <row r="63" spans="2:35" ht="14.25" customHeight="1">
      <c r="B63" s="267"/>
      <c r="C63" s="268"/>
      <c r="D63" s="268"/>
      <c r="E63" s="268"/>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9"/>
    </row>
    <row r="64" spans="2:35" ht="14.25" customHeight="1">
      <c r="B64" s="3" t="s">
        <v>285</v>
      </c>
      <c r="C64" s="5"/>
      <c r="D64" s="5">
        <f t="shared" ref="D64:AI64" si="21">C61/C62*C57</f>
        <v>0</v>
      </c>
      <c r="E64" s="5">
        <f t="shared" si="21"/>
        <v>0</v>
      </c>
      <c r="F64" s="5">
        <f t="shared" si="21"/>
        <v>0</v>
      </c>
      <c r="G64" s="5">
        <f t="shared" si="21"/>
        <v>0</v>
      </c>
      <c r="H64" s="5">
        <f t="shared" si="21"/>
        <v>0</v>
      </c>
      <c r="I64" s="5">
        <f t="shared" si="21"/>
        <v>0</v>
      </c>
      <c r="J64" s="5">
        <f t="shared" si="21"/>
        <v>126.77185501066099</v>
      </c>
      <c r="K64" s="5">
        <f t="shared" si="21"/>
        <v>120.93172690763051</v>
      </c>
      <c r="L64" s="5">
        <f t="shared" si="21"/>
        <v>115.2</v>
      </c>
      <c r="M64" s="5">
        <f t="shared" si="21"/>
        <v>109.81172291296626</v>
      </c>
      <c r="N64" s="5">
        <f t="shared" si="21"/>
        <v>105.02013422818791</v>
      </c>
      <c r="O64" s="5">
        <f t="shared" si="21"/>
        <v>100.46984126984127</v>
      </c>
      <c r="P64" s="5">
        <f t="shared" si="21"/>
        <v>96.434389140271492</v>
      </c>
      <c r="Q64" s="5">
        <f t="shared" si="21"/>
        <v>92.740315638450511</v>
      </c>
      <c r="R64" s="5">
        <f t="shared" si="21"/>
        <v>89.424657534246577</v>
      </c>
      <c r="S64" s="5">
        <f t="shared" si="21"/>
        <v>86.253594771241822</v>
      </c>
      <c r="T64" s="5">
        <f t="shared" si="21"/>
        <v>83.568922305764403</v>
      </c>
      <c r="U64" s="5">
        <f t="shared" si="21"/>
        <v>80.825930372148861</v>
      </c>
      <c r="V64" s="5">
        <f t="shared" si="21"/>
        <v>78.46828143021915</v>
      </c>
      <c r="W64" s="5">
        <f t="shared" si="21"/>
        <v>76.133037694013311</v>
      </c>
      <c r="X64" s="5">
        <f t="shared" si="21"/>
        <v>74.575692963752658</v>
      </c>
      <c r="Y64" s="5">
        <f t="shared" si="21"/>
        <v>72.682425488180883</v>
      </c>
      <c r="Z64" s="5">
        <f t="shared" si="21"/>
        <v>70.716831683168323</v>
      </c>
      <c r="AA64" s="5">
        <f t="shared" si="21"/>
        <v>69.01720841300191</v>
      </c>
      <c r="AB64" s="5">
        <f t="shared" si="21"/>
        <v>67.368421052631575</v>
      </c>
      <c r="AC64" s="5">
        <f t="shared" si="21"/>
        <v>65.887399463806972</v>
      </c>
      <c r="AD64" s="5">
        <f t="shared" si="21"/>
        <v>64.44290657439447</v>
      </c>
      <c r="AE64" s="5">
        <f t="shared" si="21"/>
        <v>63.088013411567481</v>
      </c>
      <c r="AF64" s="5">
        <f t="shared" si="21"/>
        <v>61.764419171405358</v>
      </c>
      <c r="AG64" s="5">
        <f t="shared" si="21"/>
        <v>60.472440944881889</v>
      </c>
      <c r="AH64" s="5">
        <f t="shared" si="21"/>
        <v>59.302752293577981</v>
      </c>
      <c r="AI64" s="270">
        <f t="shared" si="21"/>
        <v>58.108389012620634</v>
      </c>
    </row>
    <row r="65" spans="2:35" ht="14.25" customHeight="1">
      <c r="B65" s="3" t="s">
        <v>286</v>
      </c>
      <c r="C65" s="5"/>
      <c r="D65" s="5">
        <f t="shared" ref="D65:AI65" si="22">C59/C62*C57</f>
        <v>476.35714285714289</v>
      </c>
      <c r="E65" s="5">
        <f t="shared" si="22"/>
        <v>458.19354838709677</v>
      </c>
      <c r="F65" s="5">
        <f t="shared" si="22"/>
        <v>489.51960784313729</v>
      </c>
      <c r="G65" s="5">
        <f t="shared" si="22"/>
        <v>372.15929203539821</v>
      </c>
      <c r="H65" s="5">
        <f t="shared" si="22"/>
        <v>308.78531073446328</v>
      </c>
      <c r="I65" s="5">
        <f t="shared" si="22"/>
        <v>439.3821138211382</v>
      </c>
      <c r="J65" s="5">
        <f t="shared" si="22"/>
        <v>386.25799573560766</v>
      </c>
      <c r="K65" s="5">
        <f t="shared" si="22"/>
        <v>394.91767068273094</v>
      </c>
      <c r="L65" s="5">
        <f t="shared" si="22"/>
        <v>403.2</v>
      </c>
      <c r="M65" s="5">
        <f t="shared" si="22"/>
        <v>411.79396092362344</v>
      </c>
      <c r="N65" s="5">
        <f t="shared" si="22"/>
        <v>420.08053691275165</v>
      </c>
      <c r="O65" s="5">
        <f t="shared" si="22"/>
        <v>426.99682539682544</v>
      </c>
      <c r="P65" s="5">
        <f t="shared" si="22"/>
        <v>433.95475113122171</v>
      </c>
      <c r="Q65" s="5">
        <f t="shared" si="22"/>
        <v>440.51649928263987</v>
      </c>
      <c r="R65" s="5">
        <f t="shared" si="22"/>
        <v>447.12328767123284</v>
      </c>
      <c r="S65" s="5">
        <f t="shared" si="22"/>
        <v>454.17908496732025</v>
      </c>
      <c r="T65" s="5">
        <f t="shared" si="22"/>
        <v>460.93483709273181</v>
      </c>
      <c r="U65" s="5">
        <f t="shared" si="22"/>
        <v>467.27490996398558</v>
      </c>
      <c r="V65" s="5">
        <f t="shared" si="22"/>
        <v>473.26182237600926</v>
      </c>
      <c r="W65" s="5">
        <f t="shared" si="22"/>
        <v>479.40022172949</v>
      </c>
      <c r="X65" s="5">
        <f t="shared" si="22"/>
        <v>489.40298507462688</v>
      </c>
      <c r="Y65" s="5">
        <f t="shared" si="22"/>
        <v>496.28468653648508</v>
      </c>
      <c r="Z65" s="5">
        <f t="shared" si="22"/>
        <v>502.75247524752479</v>
      </c>
      <c r="AA65" s="5">
        <f t="shared" si="22"/>
        <v>509.00191204588907</v>
      </c>
      <c r="AB65" s="5">
        <f t="shared" si="22"/>
        <v>515.78947368421052</v>
      </c>
      <c r="AC65" s="5">
        <f t="shared" si="22"/>
        <v>521.95174262734588</v>
      </c>
      <c r="AD65" s="5">
        <f t="shared" si="22"/>
        <v>528.6332179930796</v>
      </c>
      <c r="AE65" s="5">
        <f t="shared" si="22"/>
        <v>535.26236378876786</v>
      </c>
      <c r="AF65" s="5">
        <f t="shared" si="22"/>
        <v>541.4037367993501</v>
      </c>
      <c r="AG65" s="5">
        <f t="shared" si="22"/>
        <v>548.03149606299212</v>
      </c>
      <c r="AH65" s="5">
        <f t="shared" si="22"/>
        <v>554.11009174311926</v>
      </c>
      <c r="AI65" s="270">
        <f t="shared" si="22"/>
        <v>560.20118782479585</v>
      </c>
    </row>
    <row r="66" spans="2:35" ht="14.25" customHeight="1">
      <c r="B66" s="3" t="s">
        <v>287</v>
      </c>
      <c r="C66" s="5"/>
      <c r="D66" s="5">
        <f t="shared" ref="D66:AI66" si="23">C60/C62*C57</f>
        <v>511.64285714285717</v>
      </c>
      <c r="E66" s="5">
        <f t="shared" si="23"/>
        <v>495.80645161290323</v>
      </c>
      <c r="F66" s="5">
        <f t="shared" si="23"/>
        <v>529.48039215686276</v>
      </c>
      <c r="G66" s="5">
        <f t="shared" si="23"/>
        <v>401.84070796460179</v>
      </c>
      <c r="H66" s="5">
        <f t="shared" si="23"/>
        <v>334.21468926553672</v>
      </c>
      <c r="I66" s="5">
        <f t="shared" si="23"/>
        <v>476.61788617886185</v>
      </c>
      <c r="J66" s="5">
        <f t="shared" si="23"/>
        <v>415.97014925373134</v>
      </c>
      <c r="K66" s="5">
        <f t="shared" si="23"/>
        <v>425.15060240963857</v>
      </c>
      <c r="L66" s="5">
        <f t="shared" si="23"/>
        <v>435.6</v>
      </c>
      <c r="M66" s="5">
        <f t="shared" si="23"/>
        <v>444.39431616341034</v>
      </c>
      <c r="N66" s="5">
        <f t="shared" si="23"/>
        <v>452.8993288590604</v>
      </c>
      <c r="O66" s="5">
        <f t="shared" si="23"/>
        <v>461.53333333333336</v>
      </c>
      <c r="P66" s="5">
        <f t="shared" si="23"/>
        <v>468.6108597285068</v>
      </c>
      <c r="Q66" s="5">
        <f t="shared" si="23"/>
        <v>476.74318507890962</v>
      </c>
      <c r="R66" s="5">
        <f t="shared" si="23"/>
        <v>483.45205479452056</v>
      </c>
      <c r="S66" s="5">
        <f t="shared" si="23"/>
        <v>490.56732026143789</v>
      </c>
      <c r="T66" s="5">
        <f t="shared" si="23"/>
        <v>497.49624060150376</v>
      </c>
      <c r="U66" s="5">
        <f t="shared" si="23"/>
        <v>503.89915966386559</v>
      </c>
      <c r="V66" s="5">
        <f t="shared" si="23"/>
        <v>511.26989619377161</v>
      </c>
      <c r="W66" s="5">
        <f t="shared" si="23"/>
        <v>517.4667405764967</v>
      </c>
      <c r="X66" s="5">
        <f t="shared" si="23"/>
        <v>529.0213219616204</v>
      </c>
      <c r="Y66" s="5">
        <f t="shared" si="23"/>
        <v>536.03288797533401</v>
      </c>
      <c r="Z66" s="5">
        <f t="shared" si="23"/>
        <v>542.53069306930695</v>
      </c>
      <c r="AA66" s="5">
        <f t="shared" si="23"/>
        <v>549.98087954110895</v>
      </c>
      <c r="AB66" s="5">
        <f t="shared" si="23"/>
        <v>556.84210526315792</v>
      </c>
      <c r="AC66" s="5">
        <f t="shared" si="23"/>
        <v>564.16085790884722</v>
      </c>
      <c r="AD66" s="5">
        <f t="shared" si="23"/>
        <v>570.92387543252596</v>
      </c>
      <c r="AE66" s="5">
        <f t="shared" si="23"/>
        <v>577.64962279966471</v>
      </c>
      <c r="AF66" s="5">
        <f t="shared" si="23"/>
        <v>584.83184402924451</v>
      </c>
      <c r="AG66" s="5">
        <f t="shared" si="23"/>
        <v>591.49606299212599</v>
      </c>
      <c r="AH66" s="5">
        <f t="shared" si="23"/>
        <v>598.58715596330273</v>
      </c>
      <c r="AI66" s="270">
        <f t="shared" si="23"/>
        <v>604.69042316258356</v>
      </c>
    </row>
    <row r="67" spans="2:35" ht="14.25" customHeight="1" thickBot="1">
      <c r="B67" s="271" t="s">
        <v>288</v>
      </c>
      <c r="C67" s="272"/>
      <c r="D67" s="273"/>
      <c r="E67" s="273">
        <f>IF(SUM($D$64:E64)&gt;VLOOKUP($C$54,'Personnel Requirement'!$B$20:$C$27,2,FALSE),1,0)</f>
        <v>0</v>
      </c>
      <c r="F67" s="273">
        <f>IF(SUM($D$64:F64)&gt;VLOOKUP($C$54,'Personnel Requirement'!$B$20:$C$27,2,FALSE),1,0)</f>
        <v>0</v>
      </c>
      <c r="G67" s="273">
        <f>IF(SUM($D$64:G64)&gt;VLOOKUP($C$54,'Personnel Requirement'!$B$20:$C$27,2,FALSE),1,0)</f>
        <v>0</v>
      </c>
      <c r="H67" s="273">
        <f>IF(SUM($D$64:H64)&gt;VLOOKUP($C$54,'Personnel Requirement'!$B$20:$C$27,2,FALSE),1,0)</f>
        <v>0</v>
      </c>
      <c r="I67" s="273">
        <f>IF(SUM($D$64:I64)&gt;VLOOKUP($C$54,'Personnel Requirement'!$B$20:$C$27,2,FALSE),1,0)</f>
        <v>0</v>
      </c>
      <c r="J67" s="273">
        <f>IF(SUM($D$64:J64)&gt;VLOOKUP($C$54,'Personnel Requirement'!$B$20:$C$27,2,FALSE),1,0)</f>
        <v>0</v>
      </c>
      <c r="K67" s="273">
        <f>IF(SUM($D$64:K64)&gt;VLOOKUP($C$54,'Personnel Requirement'!$B$20:$C$27,2,FALSE),1,0)</f>
        <v>0</v>
      </c>
      <c r="L67" s="273">
        <f>IF(SUM($D$64:L64)&gt;VLOOKUP($C$54,'Personnel Requirement'!$B$20:$C$27,2,FALSE),1,0)</f>
        <v>0</v>
      </c>
      <c r="M67" s="273">
        <f>IF(SUM($D$64:M64)&gt;VLOOKUP($C$54,'Personnel Requirement'!$B$20:$C$27,2,FALSE),1,0)</f>
        <v>0</v>
      </c>
      <c r="N67" s="273">
        <f>IF(SUM($D$64:N64)&gt;VLOOKUP($C$54,'Personnel Requirement'!$B$20:$C$27,2,FALSE),1,0)</f>
        <v>0</v>
      </c>
      <c r="O67" s="273">
        <f>IF(SUM($D$64:O64)&gt;VLOOKUP($C$54,'Personnel Requirement'!$B$20:$C$27,2,FALSE),1,0)</f>
        <v>0</v>
      </c>
      <c r="P67" s="273">
        <f>IF(SUM($D$64:P64)&gt;VLOOKUP($C$54,'Personnel Requirement'!$B$20:$C$27,2,FALSE),1,0)</f>
        <v>0</v>
      </c>
      <c r="Q67" s="273">
        <f>IF(SUM($D$64:Q64)&gt;VLOOKUP($C$54,'Personnel Requirement'!$B$20:$C$27,2,FALSE),1,0)</f>
        <v>0</v>
      </c>
      <c r="R67" s="273">
        <f>IF(SUM($D$64:R64)&gt;VLOOKUP($C$54,'Personnel Requirement'!$B$20:$C$27,2,FALSE),1,0)</f>
        <v>1</v>
      </c>
      <c r="S67" s="273">
        <f>IF(SUM($D$64:S64)&gt;VLOOKUP($C$54,'Personnel Requirement'!$B$20:$C$27,2,FALSE),1,0)</f>
        <v>1</v>
      </c>
      <c r="T67" s="273">
        <f>IF(SUM($D$64:T64)&gt;VLOOKUP($C$54,'Personnel Requirement'!$B$20:$C$27,2,FALSE),1,0)</f>
        <v>1</v>
      </c>
      <c r="U67" s="273">
        <f>IF(SUM($D$64:U64)&gt;VLOOKUP($C$54,'Personnel Requirement'!$B$20:$C$27,2,FALSE),1,0)</f>
        <v>1</v>
      </c>
      <c r="V67" s="273">
        <f>IF(SUM($D$64:V64)&gt;VLOOKUP($C$54,'Personnel Requirement'!$B$20:$C$27,2,FALSE),1,0)</f>
        <v>1</v>
      </c>
      <c r="W67" s="273">
        <f>IF(SUM($D$64:W64)&gt;VLOOKUP($C$54,'Personnel Requirement'!$B$20:$C$27,2,FALSE),1,0)</f>
        <v>1</v>
      </c>
      <c r="X67" s="273">
        <f>IF(SUM($D$64:X64)&gt;VLOOKUP($C$54,'Personnel Requirement'!$B$20:$C$27,2,FALSE),1,0)</f>
        <v>1</v>
      </c>
      <c r="Y67" s="273">
        <f>IF(SUM($D$64:Y64)&gt;VLOOKUP($C$54,'Personnel Requirement'!$B$20:$C$27,2,FALSE),1,0)</f>
        <v>1</v>
      </c>
      <c r="Z67" s="273">
        <f>IF(SUM($D$64:Z64)&gt;VLOOKUP($C$54,'Personnel Requirement'!$B$20:$C$27,2,FALSE),1,0)</f>
        <v>1</v>
      </c>
      <c r="AA67" s="273">
        <f>IF(SUM($D$64:AA64)&gt;VLOOKUP($C$54,'Personnel Requirement'!$B$20:$C$27,2,FALSE),1,0)</f>
        <v>1</v>
      </c>
      <c r="AB67" s="273">
        <f>IF(SUM($D$64:AB64)&gt;VLOOKUP($C$54,'Personnel Requirement'!$B$20:$C$27,2,FALSE),1,0)</f>
        <v>1</v>
      </c>
      <c r="AC67" s="273">
        <f>IF(SUM($D$64:AC64)&gt;VLOOKUP($C$54,'Personnel Requirement'!$B$20:$C$27,2,FALSE),1,0)</f>
        <v>1</v>
      </c>
      <c r="AD67" s="273">
        <f>IF(SUM($D$64:AD64)&gt;VLOOKUP($C$54,'Personnel Requirement'!$B$20:$C$27,2,FALSE),1,0)</f>
        <v>1</v>
      </c>
      <c r="AE67" s="273">
        <f>IF(SUM($D$64:AE64)&gt;VLOOKUP($C$54,'Personnel Requirement'!$B$20:$C$27,2,FALSE),1,0)</f>
        <v>1</v>
      </c>
      <c r="AF67" s="273">
        <f>IF(SUM($D$64:AF64)&gt;VLOOKUP($C$54,'Personnel Requirement'!$B$20:$C$27,2,FALSE),1,0)</f>
        <v>1</v>
      </c>
      <c r="AG67" s="273">
        <f>IF(SUM($D$64:AG64)&gt;VLOOKUP($C$54,'Personnel Requirement'!$B$20:$C$27,2,FALSE),1,0)</f>
        <v>1</v>
      </c>
      <c r="AH67" s="273">
        <f>IF(SUM($D$64:AH64)&gt;VLOOKUP($C$54,'Personnel Requirement'!$B$20:$C$27,2,FALSE),1,0)</f>
        <v>1</v>
      </c>
      <c r="AI67" s="274">
        <f>IF(SUM($D$64:AI64)&gt;VLOOKUP($C$54,'Personnel Requirement'!$B$20:$C$27,2,FALSE),1,0)</f>
        <v>1</v>
      </c>
    </row>
    <row r="68" spans="2:35"/>
    <row r="69" spans="2:35"/>
    <row r="70" spans="2:35" ht="15.75" thickBot="1">
      <c r="B70" s="291" t="s">
        <v>289</v>
      </c>
      <c r="D70" s="289"/>
      <c r="E70" s="289"/>
      <c r="F70" s="289"/>
      <c r="G70" s="289"/>
      <c r="H70" s="289"/>
      <c r="I70" s="289"/>
      <c r="J70" s="289"/>
      <c r="K70" s="289"/>
      <c r="L70" s="289"/>
      <c r="M70" s="289"/>
      <c r="N70" s="289"/>
      <c r="O70" s="289"/>
      <c r="P70" s="289"/>
      <c r="Q70" s="289"/>
      <c r="R70" s="289"/>
      <c r="S70" s="289"/>
      <c r="T70" s="289"/>
      <c r="U70" s="289"/>
      <c r="V70" s="289"/>
      <c r="W70" s="289"/>
      <c r="X70" s="289"/>
      <c r="Y70" s="289"/>
      <c r="Z70" s="289"/>
      <c r="AA70" s="289"/>
      <c r="AB70" s="289"/>
      <c r="AC70" s="289"/>
      <c r="AD70" s="289"/>
    </row>
    <row r="71" spans="2:35" ht="15.75" thickBot="1">
      <c r="B71" s="25" t="s">
        <v>122</v>
      </c>
      <c r="C71" s="26" t="s">
        <v>278</v>
      </c>
      <c r="D71" s="28">
        <v>2024</v>
      </c>
      <c r="E71" s="27">
        <f t="shared" ref="E71:AD71" si="24">D71+1</f>
        <v>2025</v>
      </c>
      <c r="F71" s="28">
        <f t="shared" si="24"/>
        <v>2026</v>
      </c>
      <c r="G71" s="27">
        <f t="shared" si="24"/>
        <v>2027</v>
      </c>
      <c r="H71" s="28">
        <f t="shared" si="24"/>
        <v>2028</v>
      </c>
      <c r="I71" s="27">
        <f t="shared" si="24"/>
        <v>2029</v>
      </c>
      <c r="J71" s="28">
        <f t="shared" si="24"/>
        <v>2030</v>
      </c>
      <c r="K71" s="27">
        <f t="shared" si="24"/>
        <v>2031</v>
      </c>
      <c r="L71" s="28">
        <f t="shared" si="24"/>
        <v>2032</v>
      </c>
      <c r="M71" s="27">
        <f t="shared" si="24"/>
        <v>2033</v>
      </c>
      <c r="N71" s="28">
        <f t="shared" si="24"/>
        <v>2034</v>
      </c>
      <c r="O71" s="27">
        <f t="shared" si="24"/>
        <v>2035</v>
      </c>
      <c r="P71" s="28">
        <f t="shared" si="24"/>
        <v>2036</v>
      </c>
      <c r="Q71" s="27">
        <f t="shared" si="24"/>
        <v>2037</v>
      </c>
      <c r="R71" s="28">
        <f t="shared" si="24"/>
        <v>2038</v>
      </c>
      <c r="S71" s="27">
        <f t="shared" si="24"/>
        <v>2039</v>
      </c>
      <c r="T71" s="28">
        <f t="shared" si="24"/>
        <v>2040</v>
      </c>
      <c r="U71" s="27">
        <f t="shared" si="24"/>
        <v>2041</v>
      </c>
      <c r="V71" s="28">
        <f t="shared" si="24"/>
        <v>2042</v>
      </c>
      <c r="W71" s="27">
        <f t="shared" si="24"/>
        <v>2043</v>
      </c>
      <c r="X71" s="28">
        <f t="shared" si="24"/>
        <v>2044</v>
      </c>
      <c r="Y71" s="27">
        <f t="shared" si="24"/>
        <v>2045</v>
      </c>
      <c r="Z71" s="28">
        <f t="shared" si="24"/>
        <v>2046</v>
      </c>
      <c r="AA71" s="27">
        <f t="shared" si="24"/>
        <v>2047</v>
      </c>
      <c r="AB71" s="28">
        <f t="shared" si="24"/>
        <v>2048</v>
      </c>
      <c r="AC71" s="27">
        <f t="shared" si="24"/>
        <v>2049</v>
      </c>
      <c r="AD71" s="290">
        <f t="shared" si="24"/>
        <v>2050</v>
      </c>
    </row>
    <row r="72" spans="2:35" ht="29.25">
      <c r="B72" s="336" t="s">
        <v>129</v>
      </c>
      <c r="C72" s="305" t="s">
        <v>290</v>
      </c>
      <c r="D72" s="307">
        <f>'Personnel Requirement'!$C$21</f>
        <v>1004.3733333333333</v>
      </c>
      <c r="E72" s="308">
        <f>'Personnel Requirement'!$C$21</f>
        <v>1004.3733333333333</v>
      </c>
      <c r="F72" s="307">
        <f>'Personnel Requirement'!$C$21</f>
        <v>1004.3733333333333</v>
      </c>
      <c r="G72" s="308">
        <f>'Personnel Requirement'!$C$21</f>
        <v>1004.3733333333333</v>
      </c>
      <c r="H72" s="307">
        <f>'Personnel Requirement'!$C$21</f>
        <v>1004.3733333333333</v>
      </c>
      <c r="I72" s="308">
        <f>'Personnel Requirement'!$C$21</f>
        <v>1004.3733333333333</v>
      </c>
      <c r="J72" s="307">
        <f>'Personnel Requirement'!$C$21</f>
        <v>1004.3733333333333</v>
      </c>
      <c r="K72" s="308">
        <f>'Personnel Requirement'!$C$21</f>
        <v>1004.3733333333333</v>
      </c>
      <c r="L72" s="307">
        <f>'Personnel Requirement'!$C$21</f>
        <v>1004.3733333333333</v>
      </c>
      <c r="M72" s="308">
        <f>'Personnel Requirement'!$C$21</f>
        <v>1004.3733333333333</v>
      </c>
      <c r="N72" s="307">
        <f>'Personnel Requirement'!$C$21</f>
        <v>1004.3733333333333</v>
      </c>
      <c r="O72" s="308">
        <f>'Personnel Requirement'!$C$21</f>
        <v>1004.3733333333333</v>
      </c>
      <c r="P72" s="307">
        <f>'Personnel Requirement'!$C$21</f>
        <v>1004.3733333333333</v>
      </c>
      <c r="Q72" s="308">
        <f>'Personnel Requirement'!$C$21</f>
        <v>1004.3733333333333</v>
      </c>
      <c r="R72" s="307">
        <f>'Personnel Requirement'!$C$21</f>
        <v>1004.3733333333333</v>
      </c>
      <c r="S72" s="308">
        <f>'Personnel Requirement'!$C$21</f>
        <v>1004.3733333333333</v>
      </c>
      <c r="T72" s="307">
        <f>'Personnel Requirement'!$C$21</f>
        <v>1004.3733333333333</v>
      </c>
      <c r="U72" s="308">
        <f>'Personnel Requirement'!$C$21</f>
        <v>1004.3733333333333</v>
      </c>
      <c r="V72" s="307">
        <f>'Personnel Requirement'!$C$21</f>
        <v>1004.3733333333333</v>
      </c>
      <c r="W72" s="308">
        <f>'Personnel Requirement'!$C$21</f>
        <v>1004.3733333333333</v>
      </c>
      <c r="X72" s="307">
        <f>'Personnel Requirement'!$C$21</f>
        <v>1004.3733333333333</v>
      </c>
      <c r="Y72" s="308">
        <f>'Personnel Requirement'!$C$21</f>
        <v>1004.3733333333333</v>
      </c>
      <c r="Z72" s="307">
        <f>'Personnel Requirement'!$C$21</f>
        <v>1004.3733333333333</v>
      </c>
      <c r="AA72" s="308">
        <f>'Personnel Requirement'!$C$21</f>
        <v>1004.3733333333333</v>
      </c>
      <c r="AB72" s="307">
        <f>'Personnel Requirement'!$C$21</f>
        <v>1004.3733333333333</v>
      </c>
      <c r="AC72" s="308">
        <f>'Personnel Requirement'!$C$21</f>
        <v>1004.3733333333333</v>
      </c>
      <c r="AD72" s="309">
        <f>'Personnel Requirement'!$C$21</f>
        <v>1004.3733333333333</v>
      </c>
    </row>
    <row r="73" spans="2:35">
      <c r="B73" s="336"/>
      <c r="C73" s="275" t="s">
        <v>291</v>
      </c>
      <c r="D73" s="276">
        <f>'Personnel Analysis'!I48</f>
        <v>0</v>
      </c>
      <c r="E73" s="277">
        <f>'Personnel Analysis'!J48</f>
        <v>53.652791878172593</v>
      </c>
      <c r="F73" s="276">
        <f>'Personnel Analysis'!K48</f>
        <v>53.142857142857139</v>
      </c>
      <c r="G73" s="277">
        <f>'Personnel Analysis'!L48</f>
        <v>52.553727008712492</v>
      </c>
      <c r="H73" s="276">
        <f>'Personnel Analysis'!M48</f>
        <v>51.973509933774842</v>
      </c>
      <c r="I73" s="277">
        <f>'Personnel Analysis'!N48</f>
        <v>51.438077634011087</v>
      </c>
      <c r="J73" s="276">
        <f>'Personnel Analysis'!O48</f>
        <v>50.796747967479682</v>
      </c>
      <c r="K73" s="277">
        <f>'Personnel Analysis'!P48</f>
        <v>50.139452780229476</v>
      </c>
      <c r="L73" s="276">
        <f>'Personnel Analysis'!Q48</f>
        <v>49.616580310880828</v>
      </c>
      <c r="M73" s="277">
        <f>'Personnel Analysis'!R48</f>
        <v>49.013513513513516</v>
      </c>
      <c r="N73" s="276">
        <f>'Personnel Analysis'!S48</f>
        <v>48.495867768595041</v>
      </c>
      <c r="O73" s="277">
        <f>'Personnel Analysis'!T48</f>
        <v>47.90299110751819</v>
      </c>
      <c r="P73" s="276">
        <f>'Personnel Analysis'!U48</f>
        <v>47.372921615201903</v>
      </c>
      <c r="Q73" s="277">
        <f>'Personnel Analysis'!V48</f>
        <v>46.920093095422814</v>
      </c>
      <c r="R73" s="276">
        <f>'Personnel Analysis'!W48</f>
        <v>46.3951367781155</v>
      </c>
      <c r="S73" s="277">
        <f>'Personnel Analysis'!X48</f>
        <v>46.232142857142854</v>
      </c>
      <c r="T73" s="276">
        <f>'Personnel Analysis'!Y48</f>
        <v>45.813411078717202</v>
      </c>
      <c r="U73" s="277">
        <f>'Personnel Analysis'!Z48</f>
        <v>45.39242315939957</v>
      </c>
      <c r="V73" s="276">
        <f>'Personnel Analysis'!AA48</f>
        <v>44.924369747899163</v>
      </c>
      <c r="W73" s="277">
        <f>'Personnel Analysis'!AB48</f>
        <v>44.524365133836646</v>
      </c>
      <c r="X73" s="276">
        <f>'Personnel Analysis'!AC48</f>
        <v>44.091520861372814</v>
      </c>
      <c r="Y73" s="277">
        <f>'Personnel Analysis'!AD48</f>
        <v>43.751651254953764</v>
      </c>
      <c r="Z73" s="276">
        <f>'Personnel Analysis'!AE48</f>
        <v>43.321243523316063</v>
      </c>
      <c r="AA73" s="277">
        <f>'Personnel Analysis'!AF48</f>
        <v>42.907242693773824</v>
      </c>
      <c r="AB73" s="276">
        <f>'Personnel Analysis'!AG48</f>
        <v>42.580162195882721</v>
      </c>
      <c r="AC73" s="277">
        <f>'Personnel Analysis'!AH48</f>
        <v>42.168910648714814</v>
      </c>
      <c r="AD73" s="278">
        <f>'Personnel Analysis'!AI48</f>
        <v>41.866506313890561</v>
      </c>
    </row>
    <row r="74" spans="2:35">
      <c r="B74" s="337"/>
      <c r="C74" s="279" t="s">
        <v>292</v>
      </c>
      <c r="D74" s="280">
        <f>D73</f>
        <v>0</v>
      </c>
      <c r="E74" s="281">
        <f t="shared" ref="E74:AD74" si="25">D74+E73</f>
        <v>53.652791878172593</v>
      </c>
      <c r="F74" s="280">
        <f t="shared" si="25"/>
        <v>106.79564902102973</v>
      </c>
      <c r="G74" s="281">
        <f t="shared" si="25"/>
        <v>159.34937602974222</v>
      </c>
      <c r="H74" s="280">
        <f t="shared" si="25"/>
        <v>211.32288596351705</v>
      </c>
      <c r="I74" s="281">
        <f t="shared" si="25"/>
        <v>262.76096359752813</v>
      </c>
      <c r="J74" s="280">
        <f t="shared" si="25"/>
        <v>313.55771156500782</v>
      </c>
      <c r="K74" s="281">
        <f t="shared" si="25"/>
        <v>363.6971643452373</v>
      </c>
      <c r="L74" s="280">
        <f t="shared" si="25"/>
        <v>413.3137446561181</v>
      </c>
      <c r="M74" s="281">
        <f t="shared" si="25"/>
        <v>462.32725816963159</v>
      </c>
      <c r="N74" s="280">
        <f t="shared" si="25"/>
        <v>510.82312593822661</v>
      </c>
      <c r="O74" s="281">
        <f t="shared" si="25"/>
        <v>558.72611704574479</v>
      </c>
      <c r="P74" s="280">
        <f t="shared" si="25"/>
        <v>606.09903866094669</v>
      </c>
      <c r="Q74" s="281">
        <f t="shared" si="25"/>
        <v>653.01913175636946</v>
      </c>
      <c r="R74" s="280">
        <f t="shared" si="25"/>
        <v>699.41426853448502</v>
      </c>
      <c r="S74" s="281">
        <f t="shared" si="25"/>
        <v>745.64641139162791</v>
      </c>
      <c r="T74" s="280">
        <f t="shared" si="25"/>
        <v>791.4598224703451</v>
      </c>
      <c r="U74" s="281">
        <f t="shared" si="25"/>
        <v>836.85224562974463</v>
      </c>
      <c r="V74" s="280">
        <f t="shared" si="25"/>
        <v>881.77661537764379</v>
      </c>
      <c r="W74" s="281">
        <f t="shared" si="25"/>
        <v>926.30098051148047</v>
      </c>
      <c r="X74" s="280">
        <f t="shared" si="25"/>
        <v>970.3925013728533</v>
      </c>
      <c r="Y74" s="281">
        <f t="shared" si="25"/>
        <v>1014.1441526278071</v>
      </c>
      <c r="Z74" s="280">
        <f t="shared" si="25"/>
        <v>1057.4653961511231</v>
      </c>
      <c r="AA74" s="281">
        <f t="shared" si="25"/>
        <v>1100.372638844897</v>
      </c>
      <c r="AB74" s="280">
        <f t="shared" si="25"/>
        <v>1142.9528010407796</v>
      </c>
      <c r="AC74" s="281">
        <f t="shared" si="25"/>
        <v>1185.1217116894945</v>
      </c>
      <c r="AD74" s="282">
        <f t="shared" si="25"/>
        <v>1226.9882180033851</v>
      </c>
    </row>
    <row r="75" spans="2:35" ht="29.25">
      <c r="B75" s="338" t="s">
        <v>131</v>
      </c>
      <c r="C75" s="306" t="s">
        <v>290</v>
      </c>
      <c r="D75" s="307">
        <f>'Personnel Requirement'!$C$23</f>
        <v>894.73333333333335</v>
      </c>
      <c r="E75" s="308">
        <f>'Personnel Requirement'!$C$23</f>
        <v>894.73333333333335</v>
      </c>
      <c r="F75" s="307">
        <f>'Personnel Requirement'!$C$23</f>
        <v>894.73333333333335</v>
      </c>
      <c r="G75" s="308">
        <f>'Personnel Requirement'!$C$23</f>
        <v>894.73333333333335</v>
      </c>
      <c r="H75" s="307">
        <f>'Personnel Requirement'!$C$23</f>
        <v>894.73333333333335</v>
      </c>
      <c r="I75" s="308">
        <f>'Personnel Requirement'!$C$23</f>
        <v>894.73333333333335</v>
      </c>
      <c r="J75" s="307">
        <f>'Personnel Requirement'!$C$23</f>
        <v>894.73333333333335</v>
      </c>
      <c r="K75" s="308">
        <f>'Personnel Requirement'!$C$23</f>
        <v>894.73333333333335</v>
      </c>
      <c r="L75" s="307">
        <f>'Personnel Requirement'!$C$23</f>
        <v>894.73333333333335</v>
      </c>
      <c r="M75" s="308">
        <f>'Personnel Requirement'!$C$23</f>
        <v>894.73333333333335</v>
      </c>
      <c r="N75" s="307">
        <f>'Personnel Requirement'!$C$23</f>
        <v>894.73333333333335</v>
      </c>
      <c r="O75" s="308">
        <f>'Personnel Requirement'!$C$23</f>
        <v>894.73333333333335</v>
      </c>
      <c r="P75" s="307">
        <f>'Personnel Requirement'!$C$23</f>
        <v>894.73333333333335</v>
      </c>
      <c r="Q75" s="308">
        <f>'Personnel Requirement'!$C$23</f>
        <v>894.73333333333335</v>
      </c>
      <c r="R75" s="307">
        <f>'Personnel Requirement'!$C$23</f>
        <v>894.73333333333335</v>
      </c>
      <c r="S75" s="308">
        <f>'Personnel Requirement'!$C$23</f>
        <v>894.73333333333335</v>
      </c>
      <c r="T75" s="307">
        <f>'Personnel Requirement'!$C$23</f>
        <v>894.73333333333335</v>
      </c>
      <c r="U75" s="308">
        <f>'Personnel Requirement'!$C$23</f>
        <v>894.73333333333335</v>
      </c>
      <c r="V75" s="307">
        <f>'Personnel Requirement'!$C$23</f>
        <v>894.73333333333335</v>
      </c>
      <c r="W75" s="308">
        <f>'Personnel Requirement'!$C$23</f>
        <v>894.73333333333335</v>
      </c>
      <c r="X75" s="307">
        <f>'Personnel Requirement'!$C$23</f>
        <v>894.73333333333335</v>
      </c>
      <c r="Y75" s="308">
        <f>'Personnel Requirement'!$C$23</f>
        <v>894.73333333333335</v>
      </c>
      <c r="Z75" s="307">
        <f>'Personnel Requirement'!$C$23</f>
        <v>894.73333333333335</v>
      </c>
      <c r="AA75" s="308">
        <f>'Personnel Requirement'!$C$23</f>
        <v>894.73333333333335</v>
      </c>
      <c r="AB75" s="307">
        <f>'Personnel Requirement'!$C$23</f>
        <v>894.73333333333335</v>
      </c>
      <c r="AC75" s="308">
        <f>'Personnel Requirement'!$C$23</f>
        <v>894.73333333333335</v>
      </c>
      <c r="AD75" s="309">
        <f>'Personnel Requirement'!$C$23</f>
        <v>894.73333333333335</v>
      </c>
    </row>
    <row r="76" spans="2:35">
      <c r="B76" s="336"/>
      <c r="C76" s="275" t="s">
        <v>291</v>
      </c>
      <c r="D76" s="276">
        <f>'Personnel Analysis'!I64</f>
        <v>0</v>
      </c>
      <c r="E76" s="277">
        <f>'Personnel Analysis'!J64</f>
        <v>126.77185501066099</v>
      </c>
      <c r="F76" s="276">
        <f>'Personnel Analysis'!K64</f>
        <v>120.93172690763051</v>
      </c>
      <c r="G76" s="277">
        <f>'Personnel Analysis'!L64</f>
        <v>115.2</v>
      </c>
      <c r="H76" s="276">
        <f>'Personnel Analysis'!M64</f>
        <v>109.81172291296626</v>
      </c>
      <c r="I76" s="277">
        <f>'Personnel Analysis'!N64</f>
        <v>105.02013422818791</v>
      </c>
      <c r="J76" s="276">
        <f>'Personnel Analysis'!O64</f>
        <v>100.46984126984127</v>
      </c>
      <c r="K76" s="277">
        <f>'Personnel Analysis'!P64</f>
        <v>96.434389140271492</v>
      </c>
      <c r="L76" s="276">
        <f>'Personnel Analysis'!Q64</f>
        <v>92.740315638450511</v>
      </c>
      <c r="M76" s="277">
        <f>'Personnel Analysis'!R64</f>
        <v>89.424657534246577</v>
      </c>
      <c r="N76" s="276">
        <f>'Personnel Analysis'!S64</f>
        <v>86.253594771241822</v>
      </c>
      <c r="O76" s="277">
        <f>'Personnel Analysis'!T64</f>
        <v>83.568922305764403</v>
      </c>
      <c r="P76" s="276">
        <f>'Personnel Analysis'!U64</f>
        <v>80.825930372148861</v>
      </c>
      <c r="Q76" s="277">
        <f>'Personnel Analysis'!V64</f>
        <v>78.46828143021915</v>
      </c>
      <c r="R76" s="276">
        <f>'Personnel Analysis'!W64</f>
        <v>76.133037694013311</v>
      </c>
      <c r="S76" s="277">
        <f>'Personnel Analysis'!X64</f>
        <v>74.575692963752658</v>
      </c>
      <c r="T76" s="276">
        <f>'Personnel Analysis'!Y64</f>
        <v>72.682425488180883</v>
      </c>
      <c r="U76" s="277">
        <f>'Personnel Analysis'!Z64</f>
        <v>70.716831683168323</v>
      </c>
      <c r="V76" s="276">
        <f>'Personnel Analysis'!AA64</f>
        <v>69.01720841300191</v>
      </c>
      <c r="W76" s="277">
        <f>'Personnel Analysis'!AB64</f>
        <v>67.368421052631575</v>
      </c>
      <c r="X76" s="276">
        <f>'Personnel Analysis'!AC64</f>
        <v>65.887399463806972</v>
      </c>
      <c r="Y76" s="277">
        <f>'Personnel Analysis'!AD64</f>
        <v>64.44290657439447</v>
      </c>
      <c r="Z76" s="276">
        <f>'Personnel Analysis'!AE64</f>
        <v>63.088013411567481</v>
      </c>
      <c r="AA76" s="277">
        <f>'Personnel Analysis'!AF64</f>
        <v>61.764419171405358</v>
      </c>
      <c r="AB76" s="276">
        <f>'Personnel Analysis'!AG64</f>
        <v>60.472440944881889</v>
      </c>
      <c r="AC76" s="277">
        <f>'Personnel Analysis'!AH64</f>
        <v>59.302752293577981</v>
      </c>
      <c r="AD76" s="278">
        <f>'Personnel Analysis'!AI64</f>
        <v>58.108389012620634</v>
      </c>
    </row>
    <row r="77" spans="2:35">
      <c r="B77" s="337"/>
      <c r="C77" s="279" t="s">
        <v>292</v>
      </c>
      <c r="D77" s="280">
        <f>D76</f>
        <v>0</v>
      </c>
      <c r="E77" s="281">
        <f t="shared" ref="E77:AD77" si="26">D77+E76</f>
        <v>126.77185501066099</v>
      </c>
      <c r="F77" s="280">
        <f t="shared" si="26"/>
        <v>247.70358191829149</v>
      </c>
      <c r="G77" s="281">
        <f t="shared" si="26"/>
        <v>362.90358191829148</v>
      </c>
      <c r="H77" s="280">
        <f t="shared" si="26"/>
        <v>472.71530483125775</v>
      </c>
      <c r="I77" s="281">
        <f t="shared" si="26"/>
        <v>577.73543905944564</v>
      </c>
      <c r="J77" s="280">
        <f t="shared" si="26"/>
        <v>678.20528032928689</v>
      </c>
      <c r="K77" s="281">
        <f t="shared" si="26"/>
        <v>774.63966946955838</v>
      </c>
      <c r="L77" s="280">
        <f t="shared" si="26"/>
        <v>867.3799851080089</v>
      </c>
      <c r="M77" s="281">
        <f t="shared" si="26"/>
        <v>956.80464264225543</v>
      </c>
      <c r="N77" s="280">
        <f t="shared" si="26"/>
        <v>1043.0582374134972</v>
      </c>
      <c r="O77" s="281">
        <f t="shared" si="26"/>
        <v>1126.6271597192615</v>
      </c>
      <c r="P77" s="280">
        <f t="shared" si="26"/>
        <v>1207.4530900914103</v>
      </c>
      <c r="Q77" s="281">
        <f t="shared" si="26"/>
        <v>1285.9213715216295</v>
      </c>
      <c r="R77" s="280">
        <f t="shared" si="26"/>
        <v>1362.0544092156429</v>
      </c>
      <c r="S77" s="281">
        <f t="shared" si="26"/>
        <v>1436.6301021793956</v>
      </c>
      <c r="T77" s="280">
        <f t="shared" si="26"/>
        <v>1509.3125276675764</v>
      </c>
      <c r="U77" s="281">
        <f t="shared" si="26"/>
        <v>1580.0293593507447</v>
      </c>
      <c r="V77" s="280">
        <f t="shared" si="26"/>
        <v>1649.0465677637467</v>
      </c>
      <c r="W77" s="281">
        <f t="shared" si="26"/>
        <v>1716.4149888163784</v>
      </c>
      <c r="X77" s="280">
        <f t="shared" si="26"/>
        <v>1782.3023882801854</v>
      </c>
      <c r="Y77" s="281">
        <f t="shared" si="26"/>
        <v>1846.7452948545799</v>
      </c>
      <c r="Z77" s="280">
        <f t="shared" si="26"/>
        <v>1909.8333082661475</v>
      </c>
      <c r="AA77" s="281">
        <f t="shared" si="26"/>
        <v>1971.5977274375527</v>
      </c>
      <c r="AB77" s="280">
        <f t="shared" si="26"/>
        <v>2032.0701683824345</v>
      </c>
      <c r="AC77" s="281">
        <f t="shared" si="26"/>
        <v>2091.3729206760127</v>
      </c>
      <c r="AD77" s="282">
        <f t="shared" si="26"/>
        <v>2149.4813096886332</v>
      </c>
    </row>
    <row r="78" spans="2:35" ht="29.25">
      <c r="B78" s="338" t="s">
        <v>132</v>
      </c>
      <c r="C78" s="306" t="s">
        <v>290</v>
      </c>
      <c r="D78" s="307">
        <f>'Personnel Requirement'!$C$24</f>
        <v>2065.4885714285715</v>
      </c>
      <c r="E78" s="308">
        <f>'Personnel Requirement'!$C$24</f>
        <v>2065.4885714285715</v>
      </c>
      <c r="F78" s="307">
        <f>'Personnel Requirement'!$C$24</f>
        <v>2065.4885714285715</v>
      </c>
      <c r="G78" s="308">
        <f>'Personnel Requirement'!$C$24</f>
        <v>2065.4885714285715</v>
      </c>
      <c r="H78" s="307">
        <f>'Personnel Requirement'!$C$24</f>
        <v>2065.4885714285715</v>
      </c>
      <c r="I78" s="308">
        <f>'Personnel Requirement'!$C$24</f>
        <v>2065.4885714285715</v>
      </c>
      <c r="J78" s="307">
        <f>'Personnel Requirement'!$C$24</f>
        <v>2065.4885714285715</v>
      </c>
      <c r="K78" s="308">
        <f>'Personnel Requirement'!$C$24</f>
        <v>2065.4885714285715</v>
      </c>
      <c r="L78" s="307">
        <f>'Personnel Requirement'!$C$24</f>
        <v>2065.4885714285715</v>
      </c>
      <c r="M78" s="308">
        <f>'Personnel Requirement'!$C$24</f>
        <v>2065.4885714285715</v>
      </c>
      <c r="N78" s="307">
        <f>'Personnel Requirement'!$C$24</f>
        <v>2065.4885714285715</v>
      </c>
      <c r="O78" s="308">
        <f>'Personnel Requirement'!$C$24</f>
        <v>2065.4885714285715</v>
      </c>
      <c r="P78" s="307">
        <f>'Personnel Requirement'!$C$24</f>
        <v>2065.4885714285715</v>
      </c>
      <c r="Q78" s="308">
        <f>'Personnel Requirement'!$C$24</f>
        <v>2065.4885714285715</v>
      </c>
      <c r="R78" s="307">
        <f>'Personnel Requirement'!$C$24</f>
        <v>2065.4885714285715</v>
      </c>
      <c r="S78" s="308">
        <f>'Personnel Requirement'!$C$24</f>
        <v>2065.4885714285715</v>
      </c>
      <c r="T78" s="307">
        <f>'Personnel Requirement'!$C$24</f>
        <v>2065.4885714285715</v>
      </c>
      <c r="U78" s="308">
        <f>'Personnel Requirement'!$C$24</f>
        <v>2065.4885714285715</v>
      </c>
      <c r="V78" s="307">
        <f>'Personnel Requirement'!$C$24</f>
        <v>2065.4885714285715</v>
      </c>
      <c r="W78" s="308">
        <f>'Personnel Requirement'!$C$24</f>
        <v>2065.4885714285715</v>
      </c>
      <c r="X78" s="307">
        <f>'Personnel Requirement'!$C$24</f>
        <v>2065.4885714285715</v>
      </c>
      <c r="Y78" s="308">
        <f>'Personnel Requirement'!$C$24</f>
        <v>2065.4885714285715</v>
      </c>
      <c r="Z78" s="307">
        <f>'Personnel Requirement'!$C$24</f>
        <v>2065.4885714285715</v>
      </c>
      <c r="AA78" s="308">
        <f>'Personnel Requirement'!$C$24</f>
        <v>2065.4885714285715</v>
      </c>
      <c r="AB78" s="307">
        <f>'Personnel Requirement'!$C$24</f>
        <v>2065.4885714285715</v>
      </c>
      <c r="AC78" s="308">
        <f>'Personnel Requirement'!$C$24</f>
        <v>2065.4885714285715</v>
      </c>
      <c r="AD78" s="309">
        <f>'Personnel Requirement'!$C$24</f>
        <v>2065.4885714285715</v>
      </c>
    </row>
    <row r="79" spans="2:35">
      <c r="B79" s="336"/>
      <c r="C79" s="275" t="s">
        <v>291</v>
      </c>
      <c r="D79" s="276">
        <f>'Personnel Analysis'!I16</f>
        <v>0</v>
      </c>
      <c r="E79" s="277">
        <f>'Personnel Analysis'!J16</f>
        <v>92.46786334684424</v>
      </c>
      <c r="F79" s="276">
        <f>'Personnel Analysis'!K16</f>
        <v>91.911363636363632</v>
      </c>
      <c r="G79" s="277">
        <f>'Personnel Analysis'!L16</f>
        <v>91.305122494432069</v>
      </c>
      <c r="H79" s="276">
        <f>'Personnel Analysis'!M16</f>
        <v>90.592471358428796</v>
      </c>
      <c r="I79" s="277">
        <f>'Personnel Analysis'!N16</f>
        <v>89.90802139037433</v>
      </c>
      <c r="J79" s="276">
        <f>'Personnel Analysis'!O16</f>
        <v>89.094913476664914</v>
      </c>
      <c r="K79" s="277">
        <f>'Personnel Analysis'!P16</f>
        <v>88.343444730077124</v>
      </c>
      <c r="L79" s="276">
        <f>'Personnel Analysis'!Q16</f>
        <v>87.546142208774583</v>
      </c>
      <c r="M79" s="277">
        <f>'Personnel Analysis'!R16</f>
        <v>86.735905044510389</v>
      </c>
      <c r="N79" s="276">
        <f>'Personnel Analysis'!S16</f>
        <v>85.998058252427171</v>
      </c>
      <c r="O79" s="277">
        <f>'Personnel Analysis'!T16</f>
        <v>85.316817532158169</v>
      </c>
      <c r="P79" s="276">
        <f>'Personnel Analysis'!U16</f>
        <v>84.551659654043931</v>
      </c>
      <c r="Q79" s="277">
        <f>'Personnel Analysis'!V16</f>
        <v>83.85307621671258</v>
      </c>
      <c r="R79" s="276">
        <f>'Personnel Analysis'!W16</f>
        <v>83.104100946372242</v>
      </c>
      <c r="S79" s="277">
        <f>'Personnel Analysis'!X16</f>
        <v>83.139442231075705</v>
      </c>
      <c r="T79" s="276">
        <f>'Personnel Analysis'!Y16</f>
        <v>82.522381573229026</v>
      </c>
      <c r="U79" s="277">
        <f>'Personnel Analysis'!Z16</f>
        <v>81.962425277540561</v>
      </c>
      <c r="V79" s="276">
        <f>'Personnel Analysis'!AA16</f>
        <v>81.325503355704697</v>
      </c>
      <c r="W79" s="277">
        <f>'Personnel Analysis'!AB16</f>
        <v>80.738360115368764</v>
      </c>
      <c r="X79" s="276">
        <f>'Personnel Analysis'!AC16</f>
        <v>80.204131227217502</v>
      </c>
      <c r="Y79" s="277">
        <f>'Personnel Analysis'!AD16</f>
        <v>79.624353362514924</v>
      </c>
      <c r="Z79" s="276">
        <f>'Personnel Analysis'!AE16</f>
        <v>79.064528744622606</v>
      </c>
      <c r="AA79" s="277">
        <f>'Personnel Analysis'!AF16</f>
        <v>78.496923076923082</v>
      </c>
      <c r="AB79" s="276">
        <f>'Personnel Analysis'!AG16</f>
        <v>77.974281391830559</v>
      </c>
      <c r="AC79" s="277">
        <f>'Personnel Analysis'!AH16</f>
        <v>77.411152416356884</v>
      </c>
      <c r="AD79" s="278">
        <f>'Personnel Analysis'!AI16</f>
        <v>76.895063985374776</v>
      </c>
    </row>
    <row r="80" spans="2:35">
      <c r="B80" s="337"/>
      <c r="C80" s="279" t="s">
        <v>292</v>
      </c>
      <c r="D80" s="280">
        <f>D79</f>
        <v>0</v>
      </c>
      <c r="E80" s="281">
        <f t="shared" ref="E80:AD80" si="27">D80+E79</f>
        <v>92.46786334684424</v>
      </c>
      <c r="F80" s="280">
        <f t="shared" si="27"/>
        <v>184.37922698320787</v>
      </c>
      <c r="G80" s="281">
        <f t="shared" si="27"/>
        <v>275.68434947763996</v>
      </c>
      <c r="H80" s="280">
        <f t="shared" si="27"/>
        <v>366.27682083606874</v>
      </c>
      <c r="I80" s="281">
        <f t="shared" si="27"/>
        <v>456.18484222644304</v>
      </c>
      <c r="J80" s="280">
        <f t="shared" si="27"/>
        <v>545.27975570310798</v>
      </c>
      <c r="K80" s="281">
        <f t="shared" si="27"/>
        <v>633.62320043318505</v>
      </c>
      <c r="L80" s="280">
        <f t="shared" si="27"/>
        <v>721.16934264195959</v>
      </c>
      <c r="M80" s="281">
        <f t="shared" si="27"/>
        <v>807.90524768646992</v>
      </c>
      <c r="N80" s="280">
        <f t="shared" si="27"/>
        <v>893.90330593889712</v>
      </c>
      <c r="O80" s="281">
        <f t="shared" si="27"/>
        <v>979.22012347105533</v>
      </c>
      <c r="P80" s="280">
        <f t="shared" si="27"/>
        <v>1063.7717831250993</v>
      </c>
      <c r="Q80" s="281">
        <f t="shared" si="27"/>
        <v>1147.624859341812</v>
      </c>
      <c r="R80" s="280">
        <f t="shared" si="27"/>
        <v>1230.7289602881842</v>
      </c>
      <c r="S80" s="281">
        <f t="shared" si="27"/>
        <v>1313.8684025192599</v>
      </c>
      <c r="T80" s="280">
        <f t="shared" si="27"/>
        <v>1396.390784092489</v>
      </c>
      <c r="U80" s="281">
        <f t="shared" si="27"/>
        <v>1478.3532093700296</v>
      </c>
      <c r="V80" s="280">
        <f t="shared" si="27"/>
        <v>1559.6787127257344</v>
      </c>
      <c r="W80" s="281">
        <f t="shared" si="27"/>
        <v>1640.4170728411032</v>
      </c>
      <c r="X80" s="280">
        <f t="shared" si="27"/>
        <v>1720.6212040683206</v>
      </c>
      <c r="Y80" s="281">
        <f t="shared" si="27"/>
        <v>1800.2455574308356</v>
      </c>
      <c r="Z80" s="280">
        <f t="shared" si="27"/>
        <v>1879.3100861754581</v>
      </c>
      <c r="AA80" s="281">
        <f t="shared" si="27"/>
        <v>1957.8070092523812</v>
      </c>
      <c r="AB80" s="280">
        <f t="shared" si="27"/>
        <v>2035.7812906442118</v>
      </c>
      <c r="AC80" s="281">
        <f t="shared" si="27"/>
        <v>2113.1924430605686</v>
      </c>
      <c r="AD80" s="282">
        <f t="shared" si="27"/>
        <v>2190.0875070459433</v>
      </c>
    </row>
    <row r="81" spans="2:30" ht="29.25">
      <c r="B81" s="338" t="s">
        <v>134</v>
      </c>
      <c r="C81" s="306" t="s">
        <v>290</v>
      </c>
      <c r="D81" s="307">
        <f>'Personnel Requirement'!$C$26</f>
        <v>2065.4914285714285</v>
      </c>
      <c r="E81" s="308">
        <f>'Personnel Requirement'!$C$26</f>
        <v>2065.4914285714285</v>
      </c>
      <c r="F81" s="307">
        <f>'Personnel Requirement'!$C$26</f>
        <v>2065.4914285714285</v>
      </c>
      <c r="G81" s="308">
        <f>'Personnel Requirement'!$C$26</f>
        <v>2065.4914285714285</v>
      </c>
      <c r="H81" s="307">
        <f>'Personnel Requirement'!$C$26</f>
        <v>2065.4914285714285</v>
      </c>
      <c r="I81" s="308">
        <f>'Personnel Requirement'!$C$26</f>
        <v>2065.4914285714285</v>
      </c>
      <c r="J81" s="307">
        <f>'Personnel Requirement'!$C$26</f>
        <v>2065.4914285714285</v>
      </c>
      <c r="K81" s="308">
        <f>'Personnel Requirement'!$C$26</f>
        <v>2065.4914285714285</v>
      </c>
      <c r="L81" s="307">
        <f>'Personnel Requirement'!$C$26</f>
        <v>2065.4914285714285</v>
      </c>
      <c r="M81" s="308">
        <f>'Personnel Requirement'!$C$26</f>
        <v>2065.4914285714285</v>
      </c>
      <c r="N81" s="307">
        <f>'Personnel Requirement'!$C$26</f>
        <v>2065.4914285714285</v>
      </c>
      <c r="O81" s="308">
        <f>'Personnel Requirement'!$C$26</f>
        <v>2065.4914285714285</v>
      </c>
      <c r="P81" s="307">
        <f>'Personnel Requirement'!$C$26</f>
        <v>2065.4914285714285</v>
      </c>
      <c r="Q81" s="308">
        <f>'Personnel Requirement'!$C$26</f>
        <v>2065.4914285714285</v>
      </c>
      <c r="R81" s="307">
        <f>'Personnel Requirement'!$C$26</f>
        <v>2065.4914285714285</v>
      </c>
      <c r="S81" s="308">
        <f>'Personnel Requirement'!$C$26</f>
        <v>2065.4914285714285</v>
      </c>
      <c r="T81" s="307">
        <f>'Personnel Requirement'!$C$26</f>
        <v>2065.4914285714285</v>
      </c>
      <c r="U81" s="308">
        <f>'Personnel Requirement'!$C$26</f>
        <v>2065.4914285714285</v>
      </c>
      <c r="V81" s="307">
        <f>'Personnel Requirement'!$C$26</f>
        <v>2065.4914285714285</v>
      </c>
      <c r="W81" s="308">
        <f>'Personnel Requirement'!$C$26</f>
        <v>2065.4914285714285</v>
      </c>
      <c r="X81" s="307">
        <f>'Personnel Requirement'!$C$26</f>
        <v>2065.4914285714285</v>
      </c>
      <c r="Y81" s="308">
        <f>'Personnel Requirement'!$C$26</f>
        <v>2065.4914285714285</v>
      </c>
      <c r="Z81" s="307">
        <f>'Personnel Requirement'!$C$26</f>
        <v>2065.4914285714285</v>
      </c>
      <c r="AA81" s="308">
        <f>'Personnel Requirement'!$C$26</f>
        <v>2065.4914285714285</v>
      </c>
      <c r="AB81" s="307">
        <f>'Personnel Requirement'!$C$26</f>
        <v>2065.4914285714285</v>
      </c>
      <c r="AC81" s="308">
        <f>'Personnel Requirement'!$C$26</f>
        <v>2065.4914285714285</v>
      </c>
      <c r="AD81" s="309">
        <f>'Personnel Requirement'!$C$26</f>
        <v>2065.4914285714285</v>
      </c>
    </row>
    <row r="82" spans="2:30">
      <c r="B82" s="336"/>
      <c r="C82" s="275" t="s">
        <v>291</v>
      </c>
      <c r="D82" s="276">
        <f>'Personnel Analysis'!I32</f>
        <v>0</v>
      </c>
      <c r="E82" s="277">
        <f>'Personnel Analysis'!J32</f>
        <v>148.15529905561385</v>
      </c>
      <c r="F82" s="276">
        <f>'Personnel Analysis'!K32</f>
        <v>145.73930753564156</v>
      </c>
      <c r="G82" s="277">
        <f>'Personnel Analysis'!L32</f>
        <v>142.75590551181102</v>
      </c>
      <c r="H82" s="276">
        <f>'Personnel Analysis'!M32</f>
        <v>139.69172216936249</v>
      </c>
      <c r="I82" s="277">
        <f>'Personnel Analysis'!N32</f>
        <v>136.96132596685084</v>
      </c>
      <c r="J82" s="276">
        <f>'Personnel Analysis'!O32</f>
        <v>134.00535236396075</v>
      </c>
      <c r="K82" s="277">
        <f>'Personnel Analysis'!P32</f>
        <v>131.35640138408303</v>
      </c>
      <c r="L82" s="276">
        <f>'Personnel Analysis'!Q32</f>
        <v>128.75503355704697</v>
      </c>
      <c r="M82" s="277">
        <f>'Personnel Analysis'!R32</f>
        <v>126.40912795436023</v>
      </c>
      <c r="N82" s="276">
        <f>'Personnel Analysis'!S32</f>
        <v>124.09501187648456</v>
      </c>
      <c r="O82" s="277">
        <f>'Personnel Analysis'!T32</f>
        <v>121.81538461538462</v>
      </c>
      <c r="P82" s="276">
        <f>'Personnel Analysis'!U32</f>
        <v>119.75149700598803</v>
      </c>
      <c r="Q82" s="277">
        <f>'Personnel Analysis'!V32</f>
        <v>117.60233066278224</v>
      </c>
      <c r="R82" s="276">
        <f>'Personnel Analysis'!W32</f>
        <v>115.6709219858156</v>
      </c>
      <c r="S82" s="277">
        <f>'Personnel Analysis'!X32</f>
        <v>114.83817427385891</v>
      </c>
      <c r="T82" s="276">
        <f>'Personnel Analysis'!Y32</f>
        <v>113.01818181818182</v>
      </c>
      <c r="U82" s="277">
        <f>'Personnel Analysis'!Z32</f>
        <v>111.46158896913985</v>
      </c>
      <c r="V82" s="276">
        <f>'Personnel Analysis'!AA32</f>
        <v>109.8156209987196</v>
      </c>
      <c r="W82" s="277">
        <f>'Personnel Analysis'!AB32</f>
        <v>108.3175</v>
      </c>
      <c r="X82" s="276">
        <f>'Personnel Analysis'!AC32</f>
        <v>106.82367297132397</v>
      </c>
      <c r="Y82" s="277">
        <f>'Personnel Analysis'!AD32</f>
        <v>105.33650982727814</v>
      </c>
      <c r="Z82" s="276">
        <f>'Personnel Analysis'!AE32</f>
        <v>104.06519208381839</v>
      </c>
      <c r="AA82" s="277">
        <f>'Personnel Analysis'!AF32</f>
        <v>102.70762229806597</v>
      </c>
      <c r="AB82" s="276">
        <f>'Personnel Analysis'!AG32</f>
        <v>101.35408560311284</v>
      </c>
      <c r="AC82" s="277">
        <f>'Personnel Analysis'!AH32</f>
        <v>100.11528004350191</v>
      </c>
      <c r="AD82" s="278">
        <f>'Personnel Analysis'!AI32</f>
        <v>98.824029771398202</v>
      </c>
    </row>
    <row r="83" spans="2:30" ht="15.75" thickBot="1">
      <c r="B83" s="339"/>
      <c r="C83" s="283" t="s">
        <v>292</v>
      </c>
      <c r="D83" s="284">
        <f>D82</f>
        <v>0</v>
      </c>
      <c r="E83" s="285">
        <f t="shared" ref="E83:AD83" si="28">D83+E82</f>
        <v>148.15529905561385</v>
      </c>
      <c r="F83" s="284">
        <f t="shared" si="28"/>
        <v>293.89460659125541</v>
      </c>
      <c r="G83" s="285">
        <f t="shared" si="28"/>
        <v>436.65051210306643</v>
      </c>
      <c r="H83" s="284">
        <f t="shared" si="28"/>
        <v>576.34223427242887</v>
      </c>
      <c r="I83" s="285">
        <f t="shared" si="28"/>
        <v>713.3035602392797</v>
      </c>
      <c r="J83" s="284">
        <f t="shared" si="28"/>
        <v>847.30891260324051</v>
      </c>
      <c r="K83" s="285">
        <f t="shared" si="28"/>
        <v>978.66531398732354</v>
      </c>
      <c r="L83" s="284">
        <f t="shared" si="28"/>
        <v>1107.4203475443705</v>
      </c>
      <c r="M83" s="285">
        <f t="shared" si="28"/>
        <v>1233.8294754987307</v>
      </c>
      <c r="N83" s="284">
        <f t="shared" si="28"/>
        <v>1357.9244873752152</v>
      </c>
      <c r="O83" s="285">
        <f t="shared" si="28"/>
        <v>1479.7398719905998</v>
      </c>
      <c r="P83" s="284">
        <f t="shared" si="28"/>
        <v>1599.4913689965879</v>
      </c>
      <c r="Q83" s="285">
        <f t="shared" si="28"/>
        <v>1717.09369965937</v>
      </c>
      <c r="R83" s="284">
        <f t="shared" si="28"/>
        <v>1832.7646216451856</v>
      </c>
      <c r="S83" s="285">
        <f t="shared" si="28"/>
        <v>1947.6027959190444</v>
      </c>
      <c r="T83" s="284">
        <f t="shared" si="28"/>
        <v>2060.6209777372264</v>
      </c>
      <c r="U83" s="285">
        <f t="shared" si="28"/>
        <v>2172.0825667063664</v>
      </c>
      <c r="V83" s="284">
        <f t="shared" si="28"/>
        <v>2281.898187705086</v>
      </c>
      <c r="W83" s="285">
        <f t="shared" si="28"/>
        <v>2390.2156877050861</v>
      </c>
      <c r="X83" s="284">
        <f t="shared" si="28"/>
        <v>2497.0393606764101</v>
      </c>
      <c r="Y83" s="285">
        <f t="shared" si="28"/>
        <v>2602.375870503688</v>
      </c>
      <c r="Z83" s="284">
        <f t="shared" si="28"/>
        <v>2706.4410625875066</v>
      </c>
      <c r="AA83" s="285">
        <f t="shared" si="28"/>
        <v>2809.1486848855725</v>
      </c>
      <c r="AB83" s="284">
        <f t="shared" si="28"/>
        <v>2910.5027704886852</v>
      </c>
      <c r="AC83" s="285">
        <f t="shared" si="28"/>
        <v>3010.6180505321872</v>
      </c>
      <c r="AD83" s="286">
        <f t="shared" si="28"/>
        <v>3109.4420803035855</v>
      </c>
    </row>
    <row r="84" spans="2:30"/>
    <row r="85" spans="2:30"/>
  </sheetData>
  <mergeCells count="9">
    <mergeCell ref="B72:B74"/>
    <mergeCell ref="B75:B77"/>
    <mergeCell ref="B78:B80"/>
    <mergeCell ref="B81:B83"/>
    <mergeCell ref="C2:D2"/>
    <mergeCell ref="C3:D3"/>
    <mergeCell ref="H3:J3"/>
    <mergeCell ref="F3:G3"/>
    <mergeCell ref="L3:AB3"/>
  </mergeCells>
  <conditionalFormatting sqref="C10:AI10">
    <cfRule type="cellIs" dxfId="19" priority="46" operator="lessThan">
      <formula>0</formula>
    </cfRule>
  </conditionalFormatting>
  <conditionalFormatting sqref="C15:AI18">
    <cfRule type="cellIs" dxfId="18" priority="43" operator="lessThan">
      <formula>0</formula>
    </cfRule>
  </conditionalFormatting>
  <conditionalFormatting sqref="C19:AI19">
    <cfRule type="cellIs" dxfId="17" priority="63" operator="lessThan">
      <formula>1</formula>
    </cfRule>
    <cfRule type="cellIs" dxfId="16" priority="67" operator="lessThan">
      <formula>0</formula>
    </cfRule>
  </conditionalFormatting>
  <conditionalFormatting sqref="C26:AI26">
    <cfRule type="cellIs" dxfId="15" priority="16" operator="lessThan">
      <formula>0</formula>
    </cfRule>
  </conditionalFormatting>
  <conditionalFormatting sqref="C31:AI34">
    <cfRule type="cellIs" dxfId="14" priority="15" operator="lessThan">
      <formula>0</formula>
    </cfRule>
  </conditionalFormatting>
  <conditionalFormatting sqref="C35:AI35">
    <cfRule type="cellIs" dxfId="13" priority="17" operator="lessThan">
      <formula>1</formula>
    </cfRule>
    <cfRule type="cellIs" dxfId="12" priority="19" operator="lessThan">
      <formula>0</formula>
    </cfRule>
  </conditionalFormatting>
  <conditionalFormatting sqref="C42:AI42">
    <cfRule type="cellIs" dxfId="11" priority="9" operator="lessThan">
      <formula>0</formula>
    </cfRule>
  </conditionalFormatting>
  <conditionalFormatting sqref="C47:AI50">
    <cfRule type="cellIs" dxfId="10" priority="8" operator="lessThan">
      <formula>0</formula>
    </cfRule>
  </conditionalFormatting>
  <conditionalFormatting sqref="C51:AI51">
    <cfRule type="cellIs" dxfId="9" priority="10" operator="lessThan">
      <formula>1</formula>
    </cfRule>
    <cfRule type="cellIs" dxfId="8" priority="12" operator="lessThan">
      <formula>0</formula>
    </cfRule>
  </conditionalFormatting>
  <conditionalFormatting sqref="C58:AI58">
    <cfRule type="cellIs" dxfId="7" priority="2" operator="lessThan">
      <formula>0</formula>
    </cfRule>
  </conditionalFormatting>
  <conditionalFormatting sqref="C63:AI66">
    <cfRule type="cellIs" dxfId="6" priority="1" operator="lessThan">
      <formula>0</formula>
    </cfRule>
  </conditionalFormatting>
  <conditionalFormatting sqref="C67:AI67">
    <cfRule type="cellIs" dxfId="5" priority="3" operator="lessThan">
      <formula>1</formula>
    </cfRule>
    <cfRule type="cellIs" dxfId="4" priority="5" operator="lessThan">
      <formula>0</formula>
    </cfRule>
  </conditionalFormatting>
  <conditionalFormatting sqref="D19">
    <cfRule type="colorScale" priority="68">
      <colorScale>
        <cfvo type="min"/>
        <cfvo type="percentile" val="50"/>
        <cfvo type="max"/>
        <color rgb="FFF8696B"/>
        <color rgb="FFFFEB84"/>
        <color rgb="FF63BE7B"/>
      </colorScale>
    </cfRule>
    <cfRule type="colorScale" priority="69">
      <colorScale>
        <cfvo type="min"/>
        <cfvo type="max"/>
        <color rgb="FFFF7128"/>
        <color rgb="FFFFEF9C"/>
      </colorScale>
    </cfRule>
  </conditionalFormatting>
  <conditionalFormatting sqref="D35">
    <cfRule type="colorScale" priority="20">
      <colorScale>
        <cfvo type="min"/>
        <cfvo type="percentile" val="50"/>
        <cfvo type="max"/>
        <color rgb="FFF8696B"/>
        <color rgb="FFFFEB84"/>
        <color rgb="FF63BE7B"/>
      </colorScale>
    </cfRule>
    <cfRule type="colorScale" priority="21">
      <colorScale>
        <cfvo type="min"/>
        <cfvo type="max"/>
        <color rgb="FFFF7128"/>
        <color rgb="FFFFEF9C"/>
      </colorScale>
    </cfRule>
  </conditionalFormatting>
  <conditionalFormatting sqref="D51">
    <cfRule type="colorScale" priority="13">
      <colorScale>
        <cfvo type="min"/>
        <cfvo type="percentile" val="50"/>
        <cfvo type="max"/>
        <color rgb="FFF8696B"/>
        <color rgb="FFFFEB84"/>
        <color rgb="FF63BE7B"/>
      </colorScale>
    </cfRule>
    <cfRule type="colorScale" priority="14">
      <colorScale>
        <cfvo type="min"/>
        <cfvo type="max"/>
        <color rgb="FFFF7128"/>
        <color rgb="FFFFEF9C"/>
      </colorScale>
    </cfRule>
  </conditionalFormatting>
  <conditionalFormatting sqref="D67">
    <cfRule type="colorScale" priority="6">
      <colorScale>
        <cfvo type="min"/>
        <cfvo type="percentile" val="50"/>
        <cfvo type="max"/>
        <color rgb="FFF8696B"/>
        <color rgb="FFFFEB84"/>
        <color rgb="FF63BE7B"/>
      </colorScale>
    </cfRule>
    <cfRule type="colorScale" priority="7">
      <colorScale>
        <cfvo type="min"/>
        <cfvo type="max"/>
        <color rgb="FFFF7128"/>
        <color rgb="FFFFEF9C"/>
      </colorScale>
    </cfRule>
  </conditionalFormatting>
  <conditionalFormatting sqref="E19:AI19">
    <cfRule type="cellIs" dxfId="3" priority="64" operator="greaterThan">
      <formula>0</formula>
    </cfRule>
  </conditionalFormatting>
  <conditionalFormatting sqref="E35:AI35">
    <cfRule type="cellIs" dxfId="2" priority="18" operator="greaterThan">
      <formula>0</formula>
    </cfRule>
  </conditionalFormatting>
  <conditionalFormatting sqref="E51:AI51">
    <cfRule type="cellIs" dxfId="1" priority="11" operator="greaterThan">
      <formula>0</formula>
    </cfRule>
  </conditionalFormatting>
  <conditionalFormatting sqref="E67:AI67">
    <cfRule type="cellIs" dxfId="0" priority="4" operator="greaterThan">
      <formula>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24E105D-00AC-4A82-8AB1-40D6E2F9A67E}">
          <x14:formula1>
            <xm:f>Sheet1!$C$28:$C$41</xm:f>
          </x14:formula1>
          <xm:sqref>H3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F1138-26B2-4A34-B103-DCFBD192D193}">
  <sheetPr>
    <tabColor theme="4" tint="0.39997558519241921"/>
  </sheetPr>
  <dimension ref="A1:W33"/>
  <sheetViews>
    <sheetView zoomScale="55" zoomScaleNormal="55" workbookViewId="0">
      <selection activeCell="B9" sqref="B8:B9"/>
    </sheetView>
  </sheetViews>
  <sheetFormatPr defaultColWidth="0" defaultRowHeight="15" zeroHeight="1"/>
  <cols>
    <col min="1" max="1" width="9.28515625" style="50" customWidth="1"/>
    <col min="2" max="2" width="29.28515625" style="50" customWidth="1"/>
    <col min="3" max="3" width="28" style="50" customWidth="1"/>
    <col min="4" max="4" width="5.42578125" style="50" customWidth="1"/>
    <col min="5" max="5" width="34.28515625" style="50" customWidth="1"/>
    <col min="6" max="20" width="10" style="50" customWidth="1"/>
    <col min="21" max="21" width="9.140625" style="50" customWidth="1"/>
    <col min="22" max="22" width="8.7109375" style="50" customWidth="1"/>
    <col min="23" max="23" width="8.7109375" style="50" hidden="1" customWidth="1"/>
    <col min="24" max="16384" width="9.140625" style="50" hidden="1"/>
  </cols>
  <sheetData>
    <row r="1" spans="2:20" ht="15.75" thickBot="1"/>
    <row r="2" spans="2:20" ht="15.75" thickBot="1">
      <c r="B2" s="49" t="s">
        <v>50</v>
      </c>
      <c r="C2" s="33" t="s">
        <v>51</v>
      </c>
    </row>
    <row r="3" spans="2:20" ht="30.75" thickBot="1">
      <c r="B3" s="51">
        <v>8</v>
      </c>
      <c r="C3" s="62" t="str">
        <f>VLOOKUP(B3,'Site Guide'!$D$9:$F$19,3,0)</f>
        <v>Analysis and projection of capital allocation by EDBs</v>
      </c>
    </row>
    <row r="4" spans="2:20"/>
    <row r="5" spans="2:20" ht="15.75" thickBot="1">
      <c r="B5" s="53" t="s">
        <v>293</v>
      </c>
      <c r="E5" s="53" t="s">
        <v>294</v>
      </c>
      <c r="I5" s="341" t="s">
        <v>295</v>
      </c>
      <c r="J5" s="341"/>
      <c r="L5" s="340" t="s">
        <v>296</v>
      </c>
      <c r="M5" s="340"/>
    </row>
    <row r="6" spans="2:20" ht="30.75" thickBot="1">
      <c r="B6" s="250" t="s">
        <v>297</v>
      </c>
      <c r="C6" s="251" t="s">
        <v>298</v>
      </c>
      <c r="D6" s="123"/>
      <c r="E6" s="252" t="s">
        <v>299</v>
      </c>
      <c r="F6" s="253"/>
      <c r="G6" s="253"/>
      <c r="H6" s="253"/>
      <c r="I6" s="253"/>
      <c r="J6" s="253"/>
      <c r="K6" s="253"/>
      <c r="L6" s="253"/>
      <c r="M6" s="253"/>
      <c r="N6" s="253"/>
      <c r="O6" s="253"/>
      <c r="P6" s="253"/>
      <c r="Q6" s="253"/>
      <c r="R6" s="253"/>
      <c r="S6" s="253"/>
      <c r="T6" s="254"/>
    </row>
    <row r="7" spans="2:20" ht="60.75" thickBot="1">
      <c r="B7" s="95" t="s">
        <v>300</v>
      </c>
      <c r="C7" s="249" t="s">
        <v>301</v>
      </c>
      <c r="E7" s="261"/>
      <c r="F7" s="262">
        <v>2023</v>
      </c>
      <c r="G7" s="262">
        <v>2024</v>
      </c>
      <c r="H7" s="262">
        <v>2025</v>
      </c>
      <c r="I7" s="262">
        <v>2026</v>
      </c>
      <c r="J7" s="262">
        <v>2027</v>
      </c>
      <c r="K7" s="262">
        <v>2028</v>
      </c>
      <c r="L7" s="262">
        <v>2029</v>
      </c>
      <c r="M7" s="262">
        <v>2030</v>
      </c>
      <c r="N7" s="262">
        <v>2031</v>
      </c>
      <c r="O7" s="262">
        <v>2032</v>
      </c>
      <c r="P7" s="262">
        <v>2033</v>
      </c>
      <c r="Q7" s="262">
        <v>2034</v>
      </c>
      <c r="R7" s="262">
        <v>2035</v>
      </c>
      <c r="S7" s="262">
        <v>2036</v>
      </c>
      <c r="T7" s="263">
        <v>2037</v>
      </c>
    </row>
    <row r="8" spans="2:20" ht="60">
      <c r="B8" s="97" t="s">
        <v>228</v>
      </c>
      <c r="C8" s="246" t="s">
        <v>302</v>
      </c>
      <c r="E8" s="182" t="s">
        <v>303</v>
      </c>
      <c r="F8" s="258">
        <f>(INDEX('EDB AMP'!$B$6:$AN$50,MATCH('EDB Capital Forecast'!F$7&amp;'EDB Capital Forecast'!$C$7,'EDB AMP'!$B$6:$B$50,0),MATCH('EDB Capital Forecast'!$B$12,'EDB AMP'!$B$6:$AN$6,0)))/1000</f>
        <v>1497.4896249999999</v>
      </c>
      <c r="G8" s="258">
        <f>(INDEX('EDB AMP'!$B$6:$AN$50,MATCH('EDB Capital Forecast'!G$7&amp;'EDB Capital Forecast'!$C$7,'EDB AMP'!$B$6:$B$50,0),MATCH('EDB Capital Forecast'!$B$12,'EDB AMP'!$B$6:$AN$6,0)))/1000</f>
        <v>1382.91975</v>
      </c>
      <c r="H8" s="258">
        <f>(INDEX('EDB AMP'!$B$6:$AN$50,MATCH('EDB Capital Forecast'!H$7&amp;'EDB Capital Forecast'!$C$7,'EDB AMP'!$B$6:$B$50,0),MATCH('EDB Capital Forecast'!$B$12,'EDB AMP'!$B$6:$AN$6,0)))/1000</f>
        <v>1263.1780000000001</v>
      </c>
      <c r="I8" s="258">
        <f>(INDEX('EDB AMP'!$B$6:$AN$50,MATCH('EDB Capital Forecast'!I$7&amp;'EDB Capital Forecast'!$C$7,'EDB AMP'!$B$6:$B$50,0),MATCH('EDB Capital Forecast'!$B$12,'EDB AMP'!$B$6:$AN$6,0)))/1000</f>
        <v>1317.4768750000001</v>
      </c>
      <c r="J8" s="258">
        <f>(INDEX('EDB AMP'!$B$6:$AN$50,MATCH('EDB Capital Forecast'!J$7&amp;'EDB Capital Forecast'!$C$7,'EDB AMP'!$B$6:$B$50,0),MATCH('EDB Capital Forecast'!$B$12,'EDB AMP'!$B$6:$AN$6,0)))/1000</f>
        <v>1316.224375</v>
      </c>
      <c r="K8" s="258">
        <f>(INDEX('EDB AMP'!$B$6:$AN$50,MATCH('EDB Capital Forecast'!K$7&amp;'EDB Capital Forecast'!$C$7,'EDB AMP'!$B$6:$B$50,0),MATCH('EDB Capital Forecast'!$B$12,'EDB AMP'!$B$6:$AN$6,0)))/1000</f>
        <v>1306.415125</v>
      </c>
      <c r="L8" s="258">
        <f>(INDEX('EDB AMP'!$B$6:$AN$50,MATCH('EDB Capital Forecast'!L$7&amp;'EDB Capital Forecast'!$C$7,'EDB AMP'!$B$6:$B$50,0),MATCH('EDB Capital Forecast'!$B$12,'EDB AMP'!$B$6:$AN$6,0)))/1000</f>
        <v>1304.927375</v>
      </c>
      <c r="M8" s="258">
        <f>(INDEX('EDB AMP'!$B$6:$AN$50,MATCH('EDB Capital Forecast'!M$7&amp;'EDB Capital Forecast'!$C$7,'EDB AMP'!$B$6:$B$50,0),MATCH('EDB Capital Forecast'!$B$12,'EDB AMP'!$B$6:$AN$6,0)))/1000</f>
        <v>1281.0973750000001</v>
      </c>
      <c r="N8" s="258">
        <f>(INDEX('EDB AMP'!$B$6:$AN$50,MATCH('EDB Capital Forecast'!N$7&amp;'EDB Capital Forecast'!$C$7,'EDB AMP'!$B$6:$B$50,0),MATCH('EDB Capital Forecast'!$B$12,'EDB AMP'!$B$6:$AN$6,0)))/1000</f>
        <v>1315.9871250000001</v>
      </c>
      <c r="O8" s="258">
        <f>(INDEX('EDB AMP'!$B$6:$AN$50,MATCH('EDB Capital Forecast'!O$7&amp;'EDB Capital Forecast'!$C$7,'EDB AMP'!$B$6:$B$50,0),MATCH('EDB Capital Forecast'!$B$12,'EDB AMP'!$B$6:$AN$6,0)))/1000</f>
        <v>1286.077</v>
      </c>
      <c r="P8" s="259">
        <f>_xlfn.FORECAST.LINEAR(P$7,I8:O8,$I$7:$O$7)</f>
        <v>1286.8876250000012</v>
      </c>
      <c r="Q8" s="259">
        <f>_xlfn.FORECAST.LINEAR(Q$7,$I$8:$O$8,$I$7:$O$7)</f>
        <v>1282.6022008928576</v>
      </c>
      <c r="R8" s="259">
        <f>_xlfn.FORECAST.LINEAR(R$7,$I$8:$O$8,$I$7:$O$7)</f>
        <v>1278.316776785714</v>
      </c>
      <c r="S8" s="259">
        <f>_xlfn.FORECAST.LINEAR(S$7,$I$8:$O$8,$I$7:$O$7)</f>
        <v>1274.0313526785721</v>
      </c>
      <c r="T8" s="260">
        <f>_xlfn.FORECAST.LINEAR(T$7,$I$8:$O$8,$I$7:$O$7)</f>
        <v>1269.7459285714285</v>
      </c>
    </row>
    <row r="9" spans="2:20" ht="75.75" thickBot="1">
      <c r="B9" s="247" t="s">
        <v>225</v>
      </c>
      <c r="C9" s="246" t="s">
        <v>304</v>
      </c>
      <c r="E9" s="4" t="s">
        <v>305</v>
      </c>
      <c r="F9" s="255">
        <f>(INDEX('EDB AMP'!$B$6:$AN$50,MATCH('EDB Capital Forecast'!F$7&amp;'EDB Capital Forecast'!$C$8,'EDB AMP'!$B$6:$B$50,0),MATCH('EDB Capital Forecast'!$B$12,'EDB AMP'!$B$6:$AN$6,0)))/1000+(INDEX('EDB AMP'!$B$6:$AN$50,MATCH('EDB Capital Forecast'!F$7&amp;'EDB Capital Forecast'!$C$9,'EDB AMP'!$B$6:$B$50,0),MATCH('EDB Capital Forecast'!$B$12,'EDB AMP'!$B$6:$AN$6,0)))/1000+(INDEX('EDB AMP'!$B$6:$AN$50,MATCH('EDB Capital Forecast'!F$7&amp;'EDB Capital Forecast'!$C$10,'EDB AMP'!$B$6:$B$50,0),MATCH('EDB Capital Forecast'!$B$12,'EDB AMP'!$B$6:$AN$6,0)))/1000</f>
        <v>720.77250000000004</v>
      </c>
      <c r="G9" s="255">
        <f>(INDEX('EDB AMP'!$B$6:$AN$50,MATCH('EDB Capital Forecast'!G$7&amp;'EDB Capital Forecast'!$C$8,'EDB AMP'!$B$6:$B$50,0),MATCH('EDB Capital Forecast'!$B$12,'EDB AMP'!$B$6:$AN$6,0)))/1000+(INDEX('EDB AMP'!$B$6:$AN$50,MATCH('EDB Capital Forecast'!G$7&amp;'EDB Capital Forecast'!$C$9,'EDB AMP'!$B$6:$B$50,0),MATCH('EDB Capital Forecast'!$B$12,'EDB AMP'!$B$6:$AN$6,0)))/1000+(INDEX('EDB AMP'!$B$6:$AN$50,MATCH('EDB Capital Forecast'!G$7&amp;'EDB Capital Forecast'!$C$10,'EDB AMP'!$B$6:$B$50,0),MATCH('EDB Capital Forecast'!$B$12,'EDB AMP'!$B$6:$AN$6,0)))/1000</f>
        <v>708.72131249999995</v>
      </c>
      <c r="H9" s="255">
        <f>(INDEX('EDB AMP'!$B$6:$AN$50,MATCH('EDB Capital Forecast'!H$7&amp;'EDB Capital Forecast'!$C$8,'EDB AMP'!$B$6:$B$50,0),MATCH('EDB Capital Forecast'!$B$12,'EDB AMP'!$B$6:$AN$6,0)))/1000+(INDEX('EDB AMP'!$B$6:$AN$50,MATCH('EDB Capital Forecast'!H$7&amp;'EDB Capital Forecast'!$C$9,'EDB AMP'!$B$6:$B$50,0),MATCH('EDB Capital Forecast'!$B$12,'EDB AMP'!$B$6:$AN$6,0)))/1000+(INDEX('EDB AMP'!$B$6:$AN$50,MATCH('EDB Capital Forecast'!H$7&amp;'EDB Capital Forecast'!$C$10,'EDB AMP'!$B$6:$B$50,0),MATCH('EDB Capital Forecast'!$B$12,'EDB AMP'!$B$6:$AN$6,0)))/1000</f>
        <v>657.7194296875</v>
      </c>
      <c r="I9" s="255">
        <f>(INDEX('EDB AMP'!$B$6:$AN$50,MATCH('EDB Capital Forecast'!I$7&amp;'EDB Capital Forecast'!$C$8,'EDB AMP'!$B$6:$B$50,0),MATCH('EDB Capital Forecast'!$B$12,'EDB AMP'!$B$6:$AN$6,0)))/1000+(INDEX('EDB AMP'!$B$6:$AN$50,MATCH('EDB Capital Forecast'!I$7&amp;'EDB Capital Forecast'!$C$9,'EDB AMP'!$B$6:$B$50,0),MATCH('EDB Capital Forecast'!$B$12,'EDB AMP'!$B$6:$AN$6,0)))/1000+(INDEX('EDB AMP'!$B$6:$AN$50,MATCH('EDB Capital Forecast'!I$7&amp;'EDB Capital Forecast'!$C$10,'EDB AMP'!$B$6:$B$50,0),MATCH('EDB Capital Forecast'!$B$12,'EDB AMP'!$B$6:$AN$6,0)))/1000</f>
        <v>667.35112499999991</v>
      </c>
      <c r="J9" s="255">
        <f>(INDEX('EDB AMP'!$B$6:$AN$50,MATCH('EDB Capital Forecast'!J$7&amp;'EDB Capital Forecast'!$C$8,'EDB AMP'!$B$6:$B$50,0),MATCH('EDB Capital Forecast'!$B$12,'EDB AMP'!$B$6:$AN$6,0)))/1000+(INDEX('EDB AMP'!$B$6:$AN$50,MATCH('EDB Capital Forecast'!J$7&amp;'EDB Capital Forecast'!$C$9,'EDB AMP'!$B$6:$B$50,0),MATCH('EDB Capital Forecast'!$B$12,'EDB AMP'!$B$6:$AN$6,0)))/1000+(INDEX('EDB AMP'!$B$6:$AN$50,MATCH('EDB Capital Forecast'!J$7&amp;'EDB Capital Forecast'!$C$10,'EDB AMP'!$B$6:$B$50,0),MATCH('EDB Capital Forecast'!$B$12,'EDB AMP'!$B$6:$AN$6,0)))/1000</f>
        <v>659.99507812499996</v>
      </c>
      <c r="K9" s="255">
        <f>(INDEX('EDB AMP'!$B$6:$AN$50,MATCH('EDB Capital Forecast'!K$7&amp;'EDB Capital Forecast'!$C$8,'EDB AMP'!$B$6:$B$50,0),MATCH('EDB Capital Forecast'!$B$12,'EDB AMP'!$B$6:$AN$6,0)))/1000+(INDEX('EDB AMP'!$B$6:$AN$50,MATCH('EDB Capital Forecast'!K$7&amp;'EDB Capital Forecast'!$C$9,'EDB AMP'!$B$6:$B$50,0),MATCH('EDB Capital Forecast'!$B$12,'EDB AMP'!$B$6:$AN$6,0)))/1000+(INDEX('EDB AMP'!$B$6:$AN$50,MATCH('EDB Capital Forecast'!K$7&amp;'EDB Capital Forecast'!$C$10,'EDB AMP'!$B$6:$B$50,0),MATCH('EDB Capital Forecast'!$B$12,'EDB AMP'!$B$6:$AN$6,0)))/1000</f>
        <v>639.81443749999994</v>
      </c>
      <c r="L9" s="255">
        <f>(INDEX('EDB AMP'!$B$6:$AN$50,MATCH('EDB Capital Forecast'!L$7&amp;'EDB Capital Forecast'!$C$8,'EDB AMP'!$B$6:$B$50,0),MATCH('EDB Capital Forecast'!$B$12,'EDB AMP'!$B$6:$AN$6,0)))/1000+(INDEX('EDB AMP'!$B$6:$AN$50,MATCH('EDB Capital Forecast'!L$7&amp;'EDB Capital Forecast'!$C$9,'EDB AMP'!$B$6:$B$50,0),MATCH('EDB Capital Forecast'!$B$12,'EDB AMP'!$B$6:$AN$6,0)))/1000+(INDEX('EDB AMP'!$B$6:$AN$50,MATCH('EDB Capital Forecast'!L$7&amp;'EDB Capital Forecast'!$C$10,'EDB AMP'!$B$6:$B$50,0),MATCH('EDB Capital Forecast'!$B$12,'EDB AMP'!$B$6:$AN$6,0)))/1000</f>
        <v>643.36887499999989</v>
      </c>
      <c r="M9" s="255">
        <f>(INDEX('EDB AMP'!$B$6:$AN$50,MATCH('EDB Capital Forecast'!M$7&amp;'EDB Capital Forecast'!$C$8,'EDB AMP'!$B$6:$B$50,0),MATCH('EDB Capital Forecast'!$B$12,'EDB AMP'!$B$6:$AN$6,0)))/1000+(INDEX('EDB AMP'!$B$6:$AN$50,MATCH('EDB Capital Forecast'!M$7&amp;'EDB Capital Forecast'!$C$9,'EDB AMP'!$B$6:$B$50,0),MATCH('EDB Capital Forecast'!$B$12,'EDB AMP'!$B$6:$AN$6,0)))/1000+(INDEX('EDB AMP'!$B$6:$AN$50,MATCH('EDB Capital Forecast'!M$7&amp;'EDB Capital Forecast'!$C$10,'EDB AMP'!$B$6:$B$50,0),MATCH('EDB Capital Forecast'!$B$12,'EDB AMP'!$B$6:$AN$6,0)))/1000</f>
        <v>637.55965624999999</v>
      </c>
      <c r="N9" s="255">
        <f>(INDEX('EDB AMP'!$B$6:$AN$50,MATCH('EDB Capital Forecast'!N$7&amp;'EDB Capital Forecast'!$C$8,'EDB AMP'!$B$6:$B$50,0),MATCH('EDB Capital Forecast'!$B$12,'EDB AMP'!$B$6:$AN$6,0)))/1000+(INDEX('EDB AMP'!$B$6:$AN$50,MATCH('EDB Capital Forecast'!N$7&amp;'EDB Capital Forecast'!$C$9,'EDB AMP'!$B$6:$B$50,0),MATCH('EDB Capital Forecast'!$B$12,'EDB AMP'!$B$6:$AN$6,0)))/1000+(INDEX('EDB AMP'!$B$6:$AN$50,MATCH('EDB Capital Forecast'!N$7&amp;'EDB Capital Forecast'!$C$10,'EDB AMP'!$B$6:$B$50,0),MATCH('EDB Capital Forecast'!$B$12,'EDB AMP'!$B$6:$AN$6,0)))/1000</f>
        <v>650.06485156250005</v>
      </c>
      <c r="O9" s="255">
        <f>(INDEX('EDB AMP'!$B$6:$AN$50,MATCH('EDB Capital Forecast'!O$7&amp;'EDB Capital Forecast'!$C$8,'EDB AMP'!$B$6:$B$50,0),MATCH('EDB Capital Forecast'!$B$12,'EDB AMP'!$B$6:$AN$6,0)))/1000+(INDEX('EDB AMP'!$B$6:$AN$50,MATCH('EDB Capital Forecast'!O$7&amp;'EDB Capital Forecast'!$C$9,'EDB AMP'!$B$6:$B$50,0),MATCH('EDB Capital Forecast'!$B$12,'EDB AMP'!$B$6:$AN$6,0)))/1000+(INDEX('EDB AMP'!$B$6:$AN$50,MATCH('EDB Capital Forecast'!O$7&amp;'EDB Capital Forecast'!$C$10,'EDB AMP'!$B$6:$B$50,0),MATCH('EDB Capital Forecast'!$B$12,'EDB AMP'!$B$6:$AN$6,0)))/1000</f>
        <v>626.13833593749996</v>
      </c>
      <c r="P9" s="256">
        <f>_xlfn.FORECAST.LINEAR(P$7,$I$9:$O$9,$I$7:$O$7)</f>
        <v>625.5055368303565</v>
      </c>
      <c r="Q9" s="256">
        <f>_xlfn.FORECAST.LINEAR(Q$7,$I$9:$O$9,$I$7:$O$7)</f>
        <v>620.30005106026874</v>
      </c>
      <c r="R9" s="256">
        <f>_xlfn.FORECAST.LINEAR(R$7,$I$9:$O$9,$I$7:$O$7)</f>
        <v>615.09456529017916</v>
      </c>
      <c r="S9" s="256">
        <f>_xlfn.FORECAST.LINEAR(S$7,$I$9:$O$9,$I$7:$O$7)</f>
        <v>609.88907952008958</v>
      </c>
      <c r="T9" s="257">
        <f>_xlfn.FORECAST.LINEAR(T$7,$I$9:$O$9,$I$7:$O$7)</f>
        <v>604.68359375</v>
      </c>
    </row>
    <row r="10" spans="2:20" ht="60.75" thickBot="1">
      <c r="B10" s="158" t="s">
        <v>223</v>
      </c>
      <c r="C10" s="248" t="s">
        <v>306</v>
      </c>
    </row>
    <row r="11" spans="2:20"/>
    <row r="12" spans="2:20">
      <c r="B12" s="124" t="s">
        <v>213</v>
      </c>
    </row>
    <row r="13" spans="2:20"/>
    <row r="14" spans="2:20"/>
    <row r="15" spans="2:20"/>
    <row r="16" spans="2:20"/>
    <row r="17"/>
    <row r="18"/>
    <row r="19"/>
    <row r="20"/>
    <row r="21"/>
    <row r="22"/>
    <row r="23"/>
    <row r="24"/>
    <row r="25"/>
    <row r="26"/>
    <row r="27"/>
    <row r="28"/>
    <row r="29"/>
    <row r="30"/>
    <row r="31"/>
    <row r="32"/>
    <row r="33"/>
  </sheetData>
  <mergeCells count="2">
    <mergeCell ref="L5:M5"/>
    <mergeCell ref="I5:J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8C8DB-B117-44A4-BE59-45622A9B9122}">
  <dimension ref="C5:P41"/>
  <sheetViews>
    <sheetView topLeftCell="A8" workbookViewId="0">
      <selection activeCell="G41" sqref="G41"/>
    </sheetView>
  </sheetViews>
  <sheetFormatPr defaultRowHeight="15"/>
  <cols>
    <col min="3" max="3" width="29.85546875" bestFit="1" customWidth="1"/>
    <col min="4" max="16" width="19.28515625" customWidth="1"/>
    <col min="18" max="18" width="29.85546875" bestFit="1" customWidth="1"/>
  </cols>
  <sheetData>
    <row r="5" spans="3:16">
      <c r="C5" t="s">
        <v>307</v>
      </c>
      <c r="D5" s="292"/>
    </row>
    <row r="6" spans="3:16" ht="30">
      <c r="C6" s="299" t="s">
        <v>122</v>
      </c>
      <c r="D6" s="300" t="s">
        <v>276</v>
      </c>
      <c r="E6" s="300" t="s">
        <v>308</v>
      </c>
      <c r="F6" s="300" t="s">
        <v>309</v>
      </c>
      <c r="G6" s="300" t="s">
        <v>310</v>
      </c>
      <c r="H6" s="300" t="s">
        <v>311</v>
      </c>
      <c r="I6" s="300" t="s">
        <v>312</v>
      </c>
      <c r="J6" s="300" t="s">
        <v>313</v>
      </c>
      <c r="K6" s="300" t="s">
        <v>314</v>
      </c>
      <c r="L6" s="300" t="s">
        <v>315</v>
      </c>
      <c r="M6" s="300" t="s">
        <v>316</v>
      </c>
      <c r="N6" s="300" t="s">
        <v>317</v>
      </c>
      <c r="O6" s="300" t="s">
        <v>318</v>
      </c>
      <c r="P6" s="300" t="s">
        <v>319</v>
      </c>
    </row>
    <row r="7" spans="3:16">
      <c r="C7" s="301" t="s">
        <v>129</v>
      </c>
      <c r="D7" s="302">
        <v>1004.3733333333333</v>
      </c>
      <c r="E7" s="302">
        <v>1115.1500000000001</v>
      </c>
      <c r="F7" s="302">
        <v>1059.9533333333334</v>
      </c>
      <c r="G7" s="302">
        <v>948.55333333333328</v>
      </c>
      <c r="H7" s="302">
        <v>892.82333333333338</v>
      </c>
      <c r="I7" s="302">
        <v>1004.3733333333333</v>
      </c>
      <c r="J7" s="302">
        <v>1004.3733333333333</v>
      </c>
      <c r="K7" s="302">
        <v>1004.3733333333333</v>
      </c>
      <c r="L7" s="302">
        <v>1004.3733333333333</v>
      </c>
      <c r="M7" s="302">
        <v>1004.3733333333333</v>
      </c>
      <c r="N7" s="302">
        <v>1004.3733333333333</v>
      </c>
      <c r="O7" s="302">
        <v>1004.3733333333333</v>
      </c>
      <c r="P7" s="302">
        <v>1004.3733333333333</v>
      </c>
    </row>
    <row r="8" spans="3:16">
      <c r="C8" s="301" t="s">
        <v>130</v>
      </c>
      <c r="D8" s="302">
        <v>1606.9946666666667</v>
      </c>
      <c r="E8" s="302">
        <v>1784.24</v>
      </c>
      <c r="F8" s="302">
        <v>1695.9280000000001</v>
      </c>
      <c r="G8" s="302">
        <v>1517.6880000000001</v>
      </c>
      <c r="H8" s="302">
        <v>1428.5173333333332</v>
      </c>
      <c r="I8" s="302">
        <v>1606.9946666666667</v>
      </c>
      <c r="J8" s="302">
        <v>1606.9946666666667</v>
      </c>
      <c r="K8" s="302">
        <v>1606.9946666666667</v>
      </c>
      <c r="L8" s="302">
        <v>1606.9946666666667</v>
      </c>
      <c r="M8" s="302">
        <v>1606.9946666666667</v>
      </c>
      <c r="N8" s="302">
        <v>1606.9946666666667</v>
      </c>
      <c r="O8" s="302">
        <v>1606.9946666666667</v>
      </c>
      <c r="P8" s="302">
        <v>1606.9946666666667</v>
      </c>
    </row>
    <row r="9" spans="3:16">
      <c r="C9" s="301" t="s">
        <v>131</v>
      </c>
      <c r="D9" s="302">
        <v>894.73333333333335</v>
      </c>
      <c r="E9" s="302">
        <v>996.06333333333339</v>
      </c>
      <c r="F9" s="302">
        <v>946.00666666666666</v>
      </c>
      <c r="G9" s="302">
        <v>842.55</v>
      </c>
      <c r="H9" s="302">
        <v>791.24</v>
      </c>
      <c r="I9" s="302">
        <v>894.73333333333335</v>
      </c>
      <c r="J9" s="302">
        <v>894.73333333333335</v>
      </c>
      <c r="K9" s="302">
        <v>894.73333333333335</v>
      </c>
      <c r="L9" s="302">
        <v>894.73333333333335</v>
      </c>
      <c r="M9" s="302">
        <v>894.73333333333335</v>
      </c>
      <c r="N9" s="302">
        <v>894.73333333333335</v>
      </c>
      <c r="O9" s="302">
        <v>894.73333333333335</v>
      </c>
      <c r="P9" s="302">
        <v>894.73333333333335</v>
      </c>
    </row>
    <row r="10" spans="3:16">
      <c r="C10" s="301" t="s">
        <v>132</v>
      </c>
      <c r="D10" s="302">
        <v>2065.4885714285715</v>
      </c>
      <c r="E10" s="302">
        <v>2294.6771428571428</v>
      </c>
      <c r="F10" s="302">
        <v>2180.0828571428569</v>
      </c>
      <c r="G10" s="302">
        <v>1950.8971428571429</v>
      </c>
      <c r="H10" s="302">
        <v>1836.3028571428572</v>
      </c>
      <c r="I10" s="302">
        <v>2065.4885714285715</v>
      </c>
      <c r="J10" s="302">
        <v>2065.4885714285715</v>
      </c>
      <c r="K10" s="302">
        <v>2065.4885714285715</v>
      </c>
      <c r="L10" s="302">
        <v>2065.4885714285715</v>
      </c>
      <c r="M10" s="302">
        <v>2065.4885714285715</v>
      </c>
      <c r="N10" s="302">
        <v>2065.4885714285715</v>
      </c>
      <c r="O10" s="302">
        <v>2065.4885714285715</v>
      </c>
      <c r="P10" s="302">
        <v>2065.4885714285715</v>
      </c>
    </row>
    <row r="11" spans="3:16">
      <c r="C11" s="301" t="s">
        <v>133</v>
      </c>
      <c r="D11" s="302">
        <v>1032.1314285714286</v>
      </c>
      <c r="E11" s="302">
        <v>1146.6571428571428</v>
      </c>
      <c r="F11" s="302">
        <v>1089.3942857142856</v>
      </c>
      <c r="G11" s="302">
        <v>974.87</v>
      </c>
      <c r="H11" s="302">
        <v>917.60714285714289</v>
      </c>
      <c r="I11" s="302">
        <v>1032.1314285714286</v>
      </c>
      <c r="J11" s="302">
        <v>1032.1314285714286</v>
      </c>
      <c r="K11" s="302">
        <v>1032.1314285714286</v>
      </c>
      <c r="L11" s="302">
        <v>1032.1314285714286</v>
      </c>
      <c r="M11" s="302">
        <v>1032.1314285714286</v>
      </c>
      <c r="N11" s="302">
        <v>1032.1314285714286</v>
      </c>
      <c r="O11" s="302">
        <v>1032.1314285714286</v>
      </c>
      <c r="P11" s="302">
        <v>1032.1314285714286</v>
      </c>
    </row>
    <row r="12" spans="3:16">
      <c r="C12" s="301" t="s">
        <v>134</v>
      </c>
      <c r="D12" s="302">
        <v>2065.4914285714285</v>
      </c>
      <c r="E12" s="302">
        <v>2294.6742857142858</v>
      </c>
      <c r="F12" s="302">
        <v>2180.0857142857144</v>
      </c>
      <c r="G12" s="302">
        <v>1950.8971428571429</v>
      </c>
      <c r="H12" s="302">
        <v>1836.3028571428572</v>
      </c>
      <c r="I12" s="302">
        <v>2065.4914285714285</v>
      </c>
      <c r="J12" s="302">
        <v>2065.4914285714285</v>
      </c>
      <c r="K12" s="302">
        <v>2065.4914285714285</v>
      </c>
      <c r="L12" s="302">
        <v>2065.4914285714285</v>
      </c>
      <c r="M12" s="302">
        <v>2065.4914285714285</v>
      </c>
      <c r="N12" s="302">
        <v>2065.4914285714285</v>
      </c>
      <c r="O12" s="302">
        <v>2065.4914285714285</v>
      </c>
      <c r="P12" s="302">
        <v>2065.4914285714285</v>
      </c>
    </row>
    <row r="13" spans="3:16">
      <c r="C13" s="303" t="s">
        <v>91</v>
      </c>
      <c r="D13" s="304">
        <f>SUM(D7:D12)</f>
        <v>8669.2127619047606</v>
      </c>
      <c r="E13" s="304">
        <v>9631.4619047619053</v>
      </c>
      <c r="F13" s="304">
        <v>9151.4508571428578</v>
      </c>
      <c r="G13" s="304">
        <v>8185.4556190476196</v>
      </c>
      <c r="H13" s="304">
        <f>SUM(H7:H12)</f>
        <v>7702.7935238095233</v>
      </c>
      <c r="I13" s="304">
        <f>SUM(I7:I12)</f>
        <v>8669.2127619047606</v>
      </c>
      <c r="J13" s="304">
        <f t="shared" ref="J13:P13" si="0">SUM(J7:J12)</f>
        <v>8669.2127619047606</v>
      </c>
      <c r="K13" s="304">
        <f t="shared" si="0"/>
        <v>8669.2127619047606</v>
      </c>
      <c r="L13" s="304">
        <f t="shared" si="0"/>
        <v>8669.2127619047606</v>
      </c>
      <c r="M13" s="304">
        <f t="shared" si="0"/>
        <v>8669.2127619047606</v>
      </c>
      <c r="N13" s="304">
        <f t="shared" si="0"/>
        <v>8669.2127619047606</v>
      </c>
      <c r="O13" s="304">
        <f t="shared" si="0"/>
        <v>8669.2127619047606</v>
      </c>
      <c r="P13" s="304">
        <f t="shared" si="0"/>
        <v>8669.2127619047606</v>
      </c>
    </row>
    <row r="15" spans="3:16">
      <c r="C15" s="298" t="s">
        <v>320</v>
      </c>
    </row>
    <row r="16" spans="3:16" ht="30">
      <c r="C16" s="293" t="s">
        <v>321</v>
      </c>
      <c r="D16" s="294" t="s">
        <v>322</v>
      </c>
      <c r="E16" s="294" t="s">
        <v>323</v>
      </c>
      <c r="F16" s="294" t="s">
        <v>324</v>
      </c>
      <c r="G16" s="294" t="s">
        <v>325</v>
      </c>
    </row>
    <row r="17" spans="3:7">
      <c r="C17" s="295" t="s">
        <v>276</v>
      </c>
      <c r="D17" s="296">
        <v>0.03</v>
      </c>
      <c r="E17" s="296">
        <v>0.03</v>
      </c>
      <c r="F17" s="296">
        <v>0.01</v>
      </c>
      <c r="G17" s="296">
        <v>0</v>
      </c>
    </row>
    <row r="18" spans="3:7">
      <c r="C18" s="295" t="s">
        <v>312</v>
      </c>
      <c r="D18" s="296">
        <v>0.05</v>
      </c>
      <c r="E18" s="296">
        <v>0.03</v>
      </c>
      <c r="F18" s="296">
        <v>0.01</v>
      </c>
      <c r="G18" s="296">
        <v>0</v>
      </c>
    </row>
    <row r="19" spans="3:7">
      <c r="C19" s="295" t="s">
        <v>313</v>
      </c>
      <c r="D19" s="296">
        <v>0.01</v>
      </c>
      <c r="E19" s="296">
        <v>0.03</v>
      </c>
      <c r="F19" s="296">
        <v>0.01</v>
      </c>
      <c r="G19" s="296">
        <v>0</v>
      </c>
    </row>
    <row r="20" spans="3:7">
      <c r="C20" s="295" t="s">
        <v>314</v>
      </c>
      <c r="D20" s="296">
        <v>0.03</v>
      </c>
      <c r="E20" s="296">
        <v>0.05</v>
      </c>
      <c r="F20" s="296">
        <v>0.01</v>
      </c>
      <c r="G20" s="296">
        <v>0</v>
      </c>
    </row>
    <row r="21" spans="3:7">
      <c r="C21" s="295" t="s">
        <v>315</v>
      </c>
      <c r="D21" s="296">
        <v>0.03</v>
      </c>
      <c r="E21" s="296">
        <v>0.01</v>
      </c>
      <c r="F21" s="296">
        <v>0.01</v>
      </c>
      <c r="G21" s="296">
        <v>0</v>
      </c>
    </row>
    <row r="22" spans="3:7">
      <c r="C22" s="295" t="s">
        <v>316</v>
      </c>
      <c r="D22" s="296">
        <v>0.03</v>
      </c>
      <c r="E22" s="296">
        <v>0.03</v>
      </c>
      <c r="F22" s="296">
        <v>0.05</v>
      </c>
      <c r="G22" s="296">
        <v>0</v>
      </c>
    </row>
    <row r="23" spans="3:7">
      <c r="C23" s="295" t="s">
        <v>317</v>
      </c>
      <c r="D23" s="296">
        <v>0.03</v>
      </c>
      <c r="E23" s="296">
        <v>0.03</v>
      </c>
      <c r="F23" s="297">
        <v>2.5000000000000001E-3</v>
      </c>
      <c r="G23" s="296">
        <v>0</v>
      </c>
    </row>
    <row r="24" spans="3:7">
      <c r="C24" s="295" t="s">
        <v>318</v>
      </c>
      <c r="D24" s="296">
        <v>0.03</v>
      </c>
      <c r="E24" s="296">
        <v>0.03</v>
      </c>
      <c r="F24" s="296">
        <v>0.01</v>
      </c>
      <c r="G24" s="296">
        <v>0.1</v>
      </c>
    </row>
    <row r="25" spans="3:7">
      <c r="C25" s="295" t="s">
        <v>319</v>
      </c>
      <c r="D25" s="296">
        <v>0.03</v>
      </c>
      <c r="E25" s="296">
        <v>0.03</v>
      </c>
      <c r="F25" s="296">
        <v>0.01</v>
      </c>
      <c r="G25" s="296">
        <v>0.2</v>
      </c>
    </row>
    <row r="27" spans="3:7" ht="45">
      <c r="C27" s="293" t="s">
        <v>326</v>
      </c>
      <c r="E27" s="294" t="s">
        <v>327</v>
      </c>
    </row>
    <row r="28" spans="3:7">
      <c r="C28" s="295" t="s">
        <v>276</v>
      </c>
      <c r="E28" s="316">
        <v>0</v>
      </c>
    </row>
    <row r="29" spans="3:7">
      <c r="C29" s="295" t="s">
        <v>308</v>
      </c>
      <c r="E29" s="316">
        <v>-0.05</v>
      </c>
    </row>
    <row r="30" spans="3:7">
      <c r="C30" s="295" t="s">
        <v>309</v>
      </c>
      <c r="E30" s="316">
        <v>-0.1</v>
      </c>
    </row>
    <row r="31" spans="3:7">
      <c r="C31" s="295" t="s">
        <v>310</v>
      </c>
      <c r="E31" s="316">
        <v>-0.15</v>
      </c>
    </row>
    <row r="32" spans="3:7">
      <c r="C32" s="295" t="s">
        <v>311</v>
      </c>
      <c r="E32" s="316">
        <v>-0.2</v>
      </c>
    </row>
    <row r="33" spans="3:5">
      <c r="C33" s="295" t="s">
        <v>276</v>
      </c>
      <c r="E33" s="316">
        <v>-0.25</v>
      </c>
    </row>
    <row r="34" spans="3:5">
      <c r="C34" s="295" t="s">
        <v>312</v>
      </c>
      <c r="E34" s="316">
        <v>-0.3</v>
      </c>
    </row>
    <row r="35" spans="3:5">
      <c r="C35" s="295" t="s">
        <v>313</v>
      </c>
    </row>
    <row r="36" spans="3:5">
      <c r="C36" s="295" t="s">
        <v>314</v>
      </c>
    </row>
    <row r="37" spans="3:5">
      <c r="C37" s="295" t="s">
        <v>315</v>
      </c>
    </row>
    <row r="38" spans="3:5">
      <c r="C38" s="295" t="s">
        <v>316</v>
      </c>
    </row>
    <row r="39" spans="3:5">
      <c r="C39" s="295" t="s">
        <v>317</v>
      </c>
    </row>
    <row r="40" spans="3:5">
      <c r="C40" s="295" t="s">
        <v>318</v>
      </c>
    </row>
    <row r="41" spans="3:5">
      <c r="C41" s="295" t="s">
        <v>319</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4" id="{E12A6677-94D1-43B8-9EAA-EB141657E6E0}">
            <x14:iconSet iconSet="3Triangles">
              <x14:cfvo type="percent">
                <xm:f>0</xm:f>
              </x14:cfvo>
              <x14:cfvo type="percent">
                <xm:f>33</xm:f>
              </x14:cfvo>
              <x14:cfvo type="percent">
                <xm:f>67</xm:f>
              </x14:cfvo>
            </x14:iconSet>
          </x14:cfRule>
          <xm:sqref>D17:D25</xm:sqref>
        </x14:conditionalFormatting>
        <x14:conditionalFormatting xmlns:xm="http://schemas.microsoft.com/office/excel/2006/main">
          <x14:cfRule type="iconSet" priority="5" id="{547D0C87-B5AE-4509-B54C-C2FE67152589}">
            <x14:iconSet iconSet="3Triangles">
              <x14:cfvo type="percent">
                <xm:f>0</xm:f>
              </x14:cfvo>
              <x14:cfvo type="percent">
                <xm:f>33</xm:f>
              </x14:cfvo>
              <x14:cfvo type="percent">
                <xm:f>67</xm:f>
              </x14:cfvo>
            </x14:iconSet>
          </x14:cfRule>
          <xm:sqref>D18:D25</xm:sqref>
        </x14:conditionalFormatting>
        <x14:conditionalFormatting xmlns:xm="http://schemas.microsoft.com/office/excel/2006/main">
          <x14:cfRule type="iconSet" priority="3" id="{34AD72D0-1E24-42AB-8E5F-7FA33B7B79E9}">
            <x14:iconSet iconSet="3Triangles">
              <x14:cfvo type="percent">
                <xm:f>0</xm:f>
              </x14:cfvo>
              <x14:cfvo type="percent">
                <xm:f>33</xm:f>
              </x14:cfvo>
              <x14:cfvo type="percent">
                <xm:f>67</xm:f>
              </x14:cfvo>
            </x14:iconSet>
          </x14:cfRule>
          <xm:sqref>E17:E25</xm:sqref>
        </x14:conditionalFormatting>
        <x14:conditionalFormatting xmlns:xm="http://schemas.microsoft.com/office/excel/2006/main">
          <x14:cfRule type="iconSet" priority="2" id="{02D0095C-6F94-4E3D-B967-3DCEA35E0115}">
            <x14:iconSet iconSet="3Triangles">
              <x14:cfvo type="percent">
                <xm:f>0</xm:f>
              </x14:cfvo>
              <x14:cfvo type="num">
                <xm:f>0.01</xm:f>
              </x14:cfvo>
              <x14:cfvo type="num" gte="0">
                <xm:f>0.01</xm:f>
              </x14:cfvo>
            </x14:iconSet>
          </x14:cfRule>
          <xm:sqref>F17:F25</xm:sqref>
        </x14:conditionalFormatting>
        <x14:conditionalFormatting xmlns:xm="http://schemas.microsoft.com/office/excel/2006/main">
          <x14:cfRule type="iconSet" priority="1" id="{36FBBFAD-06D0-48D2-94D2-EB411F2E0EEC}">
            <x14:iconSet iconSet="3Triangles">
              <x14:cfvo type="percent">
                <xm:f>0</xm:f>
              </x14:cfvo>
              <x14:cfvo type="num">
                <xm:f>0</xm:f>
              </x14:cfvo>
              <x14:cfvo type="num" gte="0">
                <xm:f>0</xm:f>
              </x14:cfvo>
            </x14:iconSet>
          </x14:cfRule>
          <xm:sqref>G17:G25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activity xmlns="70761194-623b-4751-a0da-29ad6551f95e">Mitigation analysis</Subactivity>
    <Activity xmlns="70761194-623b-4751-a0da-29ad6551f95e">Programmes, Evidence, Tools</Activity>
    <_dlc_DocId xmlns="e963e69f-3f58-4e6f-b74a-87e86ca2e125">ZRPJAS3TEE2M-1019338261-1675</_dlc_DocId>
    <Function xmlns="70761194-623b-4751-a0da-29ad6551f95e">Programmes and Projects</Function>
    <Case xmlns="70761194-623b-4751-a0da-29ad6551f95e">Buildings, Industry and Energy</Case>
    <AggregationStatus xmlns="a9df0e0e-9b5b-47bc-81c1-d190dfb54f87">Normal</AggregationStatus>
    <_dlc_DocIdUrl xmlns="e963e69f-3f58-4e6f-b74a-87e86ca2e125">
      <Url>https://climatechangegovt.sharepoint.com/sites/HeatIndPower/_layouts/15/DocIdRedir.aspx?ID=ZRPJAS3TEE2M-1019338261-1675</Url>
      <Description>ZRPJAS3TEE2M-1019338261-1675</Description>
    </_dlc_DocIdUrl>
    <PraText1 xmlns="a9df0e0e-9b5b-47bc-81c1-d190dfb54f87" xsi:nil="true"/>
    <Year xmlns="70761194-623b-4751-a0da-29ad6551f95e" xsi:nil="true"/>
    <OTDocID xmlns="3e227461-2e38-4fc1-8fe1-91b4cddf1c1d" xsi:nil="true"/>
    <OTCreatedBy xmlns="3e227461-2e38-4fc1-8fe1-91b4cddf1c1d" xsi:nil="true"/>
    <CategoryName xmlns="70761194-623b-4751-a0da-29ad6551f95e" xsi:nil="true"/>
    <CategoryValue xmlns="70761194-623b-4751-a0da-29ad6551f95e" xsi:nil="true"/>
    <Narrative xmlns="a9df0e0e-9b5b-47bc-81c1-d190dfb54f87" xsi:nil="true"/>
    <PraText5 xmlns="a9df0e0e-9b5b-47bc-81c1-d190dfb54f87" xsi:nil="true"/>
    <PRAType xmlns="70761194-623b-4751-a0da-29ad6551f95e" xsi:nil="true"/>
    <OTModifiedBy xmlns="3e227461-2e38-4fc1-8fe1-91b4cddf1c1d" xsi:nil="true"/>
    <PraDate3 xmlns="a9df0e0e-9b5b-47bc-81c1-d190dfb54f87" xsi:nil="true"/>
    <PraDateTrigger xmlns="a9df0e0e-9b5b-47bc-81c1-d190dfb54f87" xsi:nil="true"/>
    <Project xmlns="70761194-623b-4751-a0da-29ad6551f95e" xsi:nil="true"/>
    <PraText4 xmlns="a9df0e0e-9b5b-47bc-81c1-d190dfb54f87" xsi:nil="true"/>
    <LegacyMetadata xmlns="3e227461-2e38-4fc1-8fe1-91b4cddf1c1d" xsi:nil="true"/>
    <PraDateDisposal xmlns="a9df0e0e-9b5b-47bc-81c1-d190dfb54f87" xsi:nil="true"/>
    <PraDate2 xmlns="a9df0e0e-9b5b-47bc-81c1-d190dfb54f87" xsi:nil="true"/>
    <PraText3 xmlns="a9df0e0e-9b5b-47bc-81c1-d190dfb54f87" xsi:nil="true"/>
    <DocumentType xmlns="02bffcbe-7cf8-467d-a91b-a3e0dbcae01e" xsi:nil="true"/>
    <AggregationNarrative xmlns="70761194-623b-4751-a0da-29ad6551f95e" xsi:nil="true"/>
    <PraDate1 xmlns="a9df0e0e-9b5b-47bc-81c1-d190dfb54f87" xsi:nil="true"/>
    <PraText2 xmlns="a9df0e0e-9b5b-47bc-81c1-d190dfb54f8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ord" ma:contentTypeID="0x0101001297F296736A10479ED2053E1203CB030021261FBC013EA74E8115460F7A67F0BE" ma:contentTypeVersion="145" ma:contentTypeDescription="Create a new document." ma:contentTypeScope="" ma:versionID="40ea35b256aacb2d6d67d4540bf1bcaf">
  <xsd:schema xmlns:xsd="http://www.w3.org/2001/XMLSchema" xmlns:xs="http://www.w3.org/2001/XMLSchema" xmlns:p="http://schemas.microsoft.com/office/2006/metadata/properties" xmlns:ns2="e963e69f-3f58-4e6f-b74a-87e86ca2e125" xmlns:ns3="02bffcbe-7cf8-467d-a91b-a3e0dbcae01e" xmlns:ns4="a9df0e0e-9b5b-47bc-81c1-d190dfb54f87" xmlns:ns5="70761194-623b-4751-a0da-29ad6551f95e" xmlns:ns6="3e227461-2e38-4fc1-8fe1-91b4cddf1c1d" xmlns:ns7="99c4f765-73c2-4b41-8c0f-b448edc5a553" targetNamespace="http://schemas.microsoft.com/office/2006/metadata/properties" ma:root="true" ma:fieldsID="39050275f1f900ce1910a4973b206990" ns2:_="" ns3:_="" ns4:_="" ns5:_="" ns6:_="" ns7:_="">
    <xsd:import namespace="e963e69f-3f58-4e6f-b74a-87e86ca2e125"/>
    <xsd:import namespace="02bffcbe-7cf8-467d-a91b-a3e0dbcae01e"/>
    <xsd:import namespace="a9df0e0e-9b5b-47bc-81c1-d190dfb54f87"/>
    <xsd:import namespace="70761194-623b-4751-a0da-29ad6551f95e"/>
    <xsd:import namespace="3e227461-2e38-4fc1-8fe1-91b4cddf1c1d"/>
    <xsd:import namespace="99c4f765-73c2-4b41-8c0f-b448edc5a553"/>
    <xsd:element name="properties">
      <xsd:complexType>
        <xsd:sequence>
          <xsd:element name="documentManagement">
            <xsd:complexType>
              <xsd:all>
                <xsd:element ref="ns2:_dlc_DocId" minOccurs="0"/>
                <xsd:element ref="ns2:_dlc_DocIdUrl" minOccurs="0"/>
                <xsd:element ref="ns2:_dlc_DocIdPersistId" minOccurs="0"/>
                <xsd:element ref="ns3:DocumentType" minOccurs="0"/>
                <xsd:element ref="ns4:Narrative" minOccurs="0"/>
                <xsd:element ref="ns5:Case" minOccurs="0"/>
                <xsd:element ref="ns6:OTDocID" minOccurs="0"/>
                <xsd:element ref="ns6:OTModifiedBy" minOccurs="0"/>
                <xsd:element ref="ns6:OTCreatedBy" minOccurs="0"/>
                <xsd:element ref="ns6:LegacyMetadata" minOccurs="0"/>
                <xsd:element ref="ns4:PraText4" minOccurs="0"/>
                <xsd:element ref="ns4:PraText5" minOccurs="0"/>
                <xsd:element ref="ns4:PraDate1" minOccurs="0"/>
                <xsd:element ref="ns4:PraDate2" minOccurs="0"/>
                <xsd:element ref="ns4:PraDate3" minOccurs="0"/>
                <xsd:element ref="ns4:PraDateTrigger" minOccurs="0"/>
                <xsd:element ref="ns4:PraDateDisposal" minOccurs="0"/>
                <xsd:element ref="ns5:Activity" minOccurs="0"/>
                <xsd:element ref="ns5:Function" minOccurs="0"/>
                <xsd:element ref="ns5:Subactivity" minOccurs="0"/>
                <xsd:element ref="ns5:Year" minOccurs="0"/>
                <xsd:element ref="ns5:Project" minOccurs="0"/>
                <xsd:element ref="ns5:AggregationNarrative" minOccurs="0"/>
                <xsd:element ref="ns5:PRAType" minOccurs="0"/>
                <xsd:element ref="ns5:CategoryName" minOccurs="0"/>
                <xsd:element ref="ns5:CategoryValue" minOccurs="0"/>
                <xsd:element ref="ns4:AggregationStatus" minOccurs="0"/>
                <xsd:element ref="ns4:PraText1" minOccurs="0"/>
                <xsd:element ref="ns4:PraText2" minOccurs="0"/>
                <xsd:element ref="ns4:PraText3" minOccurs="0"/>
                <xsd:element ref="ns7:MediaServiceMetadata" minOccurs="0"/>
                <xsd:element ref="ns7:MediaServiceFastMetadata" minOccurs="0"/>
                <xsd:element ref="ns7:MediaServiceAutoKeyPoints" minOccurs="0"/>
                <xsd:element ref="ns7:MediaServiceKeyPoints" minOccurs="0"/>
                <xsd:element ref="ns7:MediaServiceAutoTags" minOccurs="0"/>
                <xsd:element ref="ns7:MediaServiceOCR" minOccurs="0"/>
                <xsd:element ref="ns7:MediaServiceGenerationTime" minOccurs="0"/>
                <xsd:element ref="ns7:MediaServiceEventHashCode" minOccurs="0"/>
                <xsd:element ref="ns2:SharedWithUsers" minOccurs="0"/>
                <xsd:element ref="ns2:SharedWithDetails" minOccurs="0"/>
                <xsd:element ref="ns7:MediaServiceObjectDetectorVersion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63e69f-3f58-4e6f-b74a-87e86ca2e12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4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bffcbe-7cf8-467d-a91b-a3e0dbcae01e" elementFormDefault="qualified">
    <xsd:import namespace="http://schemas.microsoft.com/office/2006/documentManagement/types"/>
    <xsd:import namespace="http://schemas.microsoft.com/office/infopath/2007/PartnerControls"/>
    <xsd:element name="DocumentType" ma:index="11" nillable="true" ma:displayName="Document Type" ma:description="Specify the document type to help refine search and to classify the document" ma:format="Dropdown" ma:internalName="DocumentType" ma:readOnly="false">
      <xsd:simpleType>
        <xsd:restriction base="dms:Choice">
          <xsd:enumeration value="APPLICATION, certificate, consent related"/>
          <xsd:enumeration value="CONTRACT, Variation, Agreement"/>
          <xsd:enumeration value="CORRESPONDENCE, Memo, Filenote, Email"/>
          <xsd:enumeration value="DRAWING, Plan, Map"/>
          <xsd:enumeration value="EMPLOYMENT related"/>
          <xsd:enumeration value="FINANCIAL related"/>
          <xsd:enumeration value="KNOWLEDGE article"/>
          <xsd:enumeration value="MEETING related"/>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schema>
  <xsd:schema xmlns:xsd="http://www.w3.org/2001/XMLSchema" xmlns:xs="http://www.w3.org/2001/XMLSchema" xmlns:dms="http://schemas.microsoft.com/office/2006/documentManagement/types" xmlns:pc="http://schemas.microsoft.com/office/infopath/2007/PartnerControls" targetNamespace="a9df0e0e-9b5b-47bc-81c1-d190dfb54f87" elementFormDefault="qualified">
    <xsd:import namespace="http://schemas.microsoft.com/office/2006/documentManagement/types"/>
    <xsd:import namespace="http://schemas.microsoft.com/office/infopath/2007/PartnerControls"/>
    <xsd:element name="Narrative" ma:index="12" nillable="true" ma:displayName="Narrative" ma:internalName="Narrative0" ma:readOnly="false">
      <xsd:simpleType>
        <xsd:restriction base="dms:Note">
          <xsd:maxLength value="255"/>
        </xsd:restriction>
      </xsd:simpleType>
    </xsd:element>
    <xsd:element name="PraText4" ma:index="18" nillable="true" ma:displayName="PRA Text 4" ma:hidden="true" ma:internalName="PraText40" ma:readOnly="false">
      <xsd:simpleType>
        <xsd:restriction base="dms:Text">
          <xsd:maxLength value="255"/>
        </xsd:restriction>
      </xsd:simpleType>
    </xsd:element>
    <xsd:element name="PraText5" ma:index="19" nillable="true" ma:displayName="PRA Text 5" ma:hidden="true" ma:internalName="PraText50" ma:readOnly="false">
      <xsd:simpleType>
        <xsd:restriction base="dms:Text">
          <xsd:maxLength value="255"/>
        </xsd:restriction>
      </xsd:simpleType>
    </xsd:element>
    <xsd:element name="PraDate1" ma:index="20" nillable="true" ma:displayName="PRA Date 1" ma:format="DateTime" ma:hidden="true" ma:internalName="PraDate1" ma:readOnly="false">
      <xsd:simpleType>
        <xsd:restriction base="dms:DateTime"/>
      </xsd:simpleType>
    </xsd:element>
    <xsd:element name="PraDate2" ma:index="21" nillable="true" ma:displayName="PRA Date 2" ma:format="DateTime" ma:hidden="true" ma:internalName="PraDate2" ma:readOnly="false">
      <xsd:simpleType>
        <xsd:restriction base="dms:DateTime"/>
      </xsd:simpleType>
    </xsd:element>
    <xsd:element name="PraDate3" ma:index="22" nillable="true" ma:displayName="PRA Date 3" ma:format="DateTime" ma:hidden="true" ma:internalName="PraDate3" ma:readOnly="false">
      <xsd:simpleType>
        <xsd:restriction base="dms:DateTime"/>
      </xsd:simpleType>
    </xsd:element>
    <xsd:element name="PraDateTrigger" ma:index="23" nillable="true" ma:displayName="PRA Date Trigger" ma:format="DateTime" ma:hidden="true" ma:internalName="PraDateTrigger" ma:readOnly="false">
      <xsd:simpleType>
        <xsd:restriction base="dms:DateTime"/>
      </xsd:simpleType>
    </xsd:element>
    <xsd:element name="PraDateDisposal" ma:index="24" nillable="true" ma:displayName="PRA Date Disposal" ma:format="DateTime" ma:hidden="true" ma:internalName="PraDateDisposal0" ma:readOnly="false">
      <xsd:simpleType>
        <xsd:restriction base="dms:DateTime"/>
      </xsd:simpleType>
    </xsd:element>
    <xsd:element name="AggregationStatus" ma:index="34" nillable="true" ma:displayName="Aggregation Status" ma:default="Normal" ma:format="Dropdown" ma:hidden="true" ma:internalName="AggregationStatus0"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aText1" ma:index="35" nillable="true" ma:displayName="PRA Text 1" ma:hidden="true" ma:internalName="PraText10" ma:readOnly="false">
      <xsd:simpleType>
        <xsd:restriction base="dms:Text">
          <xsd:maxLength value="255"/>
        </xsd:restriction>
      </xsd:simpleType>
    </xsd:element>
    <xsd:element name="PraText2" ma:index="36" nillable="true" ma:displayName="PRA Text 2" ma:hidden="true" ma:internalName="PraText20" ma:readOnly="false">
      <xsd:simpleType>
        <xsd:restriction base="dms:Text">
          <xsd:maxLength value="255"/>
        </xsd:restriction>
      </xsd:simpleType>
    </xsd:element>
    <xsd:element name="PraText3" ma:index="37" nillable="true" ma:displayName="PRA Text 3" ma:hidden="true" ma:internalName="PraText30"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761194-623b-4751-a0da-29ad6551f95e" elementFormDefault="qualified">
    <xsd:import namespace="http://schemas.microsoft.com/office/2006/documentManagement/types"/>
    <xsd:import namespace="http://schemas.microsoft.com/office/infopath/2007/PartnerControls"/>
    <xsd:element name="Case" ma:index="13" nillable="true" ma:displayName="Case" ma:default="Buildings, Industry and Energy" ma:format="Dropdown" ma:hidden="true" ma:internalName="Case" ma:readOnly="false">
      <xsd:simpleType>
        <xsd:restriction base="dms:Choice">
          <xsd:enumeration value="Buildings, Industry and Energy"/>
        </xsd:restriction>
      </xsd:simpleType>
    </xsd:element>
    <xsd:element name="Activity" ma:index="25" nillable="true" ma:displayName="Activity" ma:default="Programmes, Evidence, Tools" ma:hidden="true" ma:internalName="Activity" ma:readOnly="false">
      <xsd:simpleType>
        <xsd:restriction base="dms:Text">
          <xsd:maxLength value="255"/>
        </xsd:restriction>
      </xsd:simpleType>
    </xsd:element>
    <xsd:element name="Function" ma:index="26" nillable="true" ma:displayName="Function" ma:default="Programmes and Projects" ma:format="Dropdown" ma:hidden="true" ma:internalName="Function" ma:readOnly="false">
      <xsd:simpleType>
        <xsd:union memberTypes="dms:Text">
          <xsd:simpleType>
            <xsd:restriction base="dms:Choice">
              <xsd:enumeration value="Programmes and Projects"/>
            </xsd:restriction>
          </xsd:simpleType>
        </xsd:union>
      </xsd:simpleType>
    </xsd:element>
    <xsd:element name="Subactivity" ma:index="27" nillable="true" ma:displayName="Subactivity" ma:default="NA" ma:format="Dropdown" ma:hidden="true" ma:internalName="Subactivity" ma:readOnly="false">
      <xsd:simpleType>
        <xsd:union memberTypes="dms:Text">
          <xsd:simpleType>
            <xsd:restriction base="dms:Choice">
              <xsd:enumeration value="NA"/>
            </xsd:restriction>
          </xsd:simpleType>
        </xsd:union>
      </xsd:simpleType>
    </xsd:element>
    <xsd:element name="Year" ma:index="28" nillable="true" ma:displayName="Year" ma:format="Dropdown" ma:hidden="true" ma:internalName="Year" ma:readOnly="false">
      <xsd:simpleType>
        <xsd:restriction base="dms:Choice">
          <xsd:enumeration value="2019"/>
          <xsd:enumeration value="2020"/>
          <xsd:enumeration value="2021"/>
          <xsd:enumeration value="2022"/>
          <xsd:enumeration value="2023"/>
        </xsd:restriction>
      </xsd:simpleType>
    </xsd:element>
    <xsd:element name="Project" ma:index="29" nillable="true" ma:displayName="Project" ma:hidden="true" ma:internalName="Project" ma:readOnly="false">
      <xsd:simpleType>
        <xsd:restriction base="dms:Text">
          <xsd:maxLength value="255"/>
        </xsd:restriction>
      </xsd:simpleType>
    </xsd:element>
    <xsd:element name="AggregationNarrative" ma:index="30" nillable="true" ma:displayName="Aggregation Narrative" ma:hidden="true" ma:internalName="AggregationNarrative" ma:readOnly="false">
      <xsd:simpleType>
        <xsd:restriction base="dms:Text">
          <xsd:maxLength value="255"/>
        </xsd:restriction>
      </xsd:simpleType>
    </xsd:element>
    <xsd:element name="PRAType" ma:index="31" nillable="true" ma:displayName="PRA Type" ma:hidden="true" ma:internalName="PRAType" ma:readOnly="false">
      <xsd:simpleType>
        <xsd:restriction base="dms:Text">
          <xsd:maxLength value="255"/>
        </xsd:restriction>
      </xsd:simpleType>
    </xsd:element>
    <xsd:element name="CategoryName" ma:index="32" nillable="true" ma:displayName="Category Name" ma:hidden="true" ma:internalName="CategoryName" ma:readOnly="false">
      <xsd:simpleType>
        <xsd:restriction base="dms:Text">
          <xsd:maxLength value="255"/>
        </xsd:restriction>
      </xsd:simpleType>
    </xsd:element>
    <xsd:element name="CategoryValue" ma:index="33" nillable="true" ma:displayName="Category Value" ma:hidden="true" ma:internalName="Category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227461-2e38-4fc1-8fe1-91b4cddf1c1d" elementFormDefault="qualified">
    <xsd:import namespace="http://schemas.microsoft.com/office/2006/documentManagement/types"/>
    <xsd:import namespace="http://schemas.microsoft.com/office/infopath/2007/PartnerControls"/>
    <xsd:element name="OTDocID" ma:index="14" nillable="true" ma:displayName="OTDocID" ma:format="Dropdown" ma:internalName="OTDocID" ma:readOnly="false">
      <xsd:simpleType>
        <xsd:restriction base="dms:Text">
          <xsd:maxLength value="255"/>
        </xsd:restriction>
      </xsd:simpleType>
    </xsd:element>
    <xsd:element name="OTModifiedBy" ma:index="15" nillable="true" ma:displayName="OTModifiedBy" ma:format="Dropdown" ma:internalName="OTModifiedBy" ma:readOnly="false">
      <xsd:simpleType>
        <xsd:restriction base="dms:Text">
          <xsd:maxLength value="255"/>
        </xsd:restriction>
      </xsd:simpleType>
    </xsd:element>
    <xsd:element name="OTCreatedBy" ma:index="16" nillable="true" ma:displayName="OTCreatedBy" ma:format="Dropdown" ma:internalName="OTCreatedBy" ma:readOnly="false">
      <xsd:simpleType>
        <xsd:restriction base="dms:Text">
          <xsd:maxLength value="255"/>
        </xsd:restriction>
      </xsd:simpleType>
    </xsd:element>
    <xsd:element name="LegacyMetadata" ma:index="17" nillable="true" ma:displayName="LegacyMetadata" ma:format="Dropdown" ma:internalName="LegacyMeta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c4f765-73c2-4b41-8c0f-b448edc5a553" elementFormDefault="qualified">
    <xsd:import namespace="http://schemas.microsoft.com/office/2006/documentManagement/types"/>
    <xsd:import namespace="http://schemas.microsoft.com/office/infopath/2007/PartnerControls"/>
    <xsd:element name="MediaServiceMetadata" ma:index="38" nillable="true" ma:displayName="MediaServiceMetadata" ma:hidden="true" ma:internalName="MediaServiceMetadata" ma:readOnly="true">
      <xsd:simpleType>
        <xsd:restriction base="dms:Note"/>
      </xsd:simpleType>
    </xsd:element>
    <xsd:element name="MediaServiceFastMetadata" ma:index="39" nillable="true" ma:displayName="MediaServiceFastMetadata" ma:hidden="true" ma:internalName="MediaServiceFastMetadata" ma:readOnly="true">
      <xsd:simpleType>
        <xsd:restriction base="dms:Note"/>
      </xsd:simpleType>
    </xsd:element>
    <xsd:element name="MediaServiceAutoKeyPoints" ma:index="40" nillable="true" ma:displayName="MediaServiceAutoKeyPoints" ma:hidden="true" ma:internalName="MediaServiceAutoKeyPoints" ma:readOnly="true">
      <xsd:simpleType>
        <xsd:restriction base="dms:Note"/>
      </xsd:simpleType>
    </xsd:element>
    <xsd:element name="MediaServiceKeyPoints" ma:index="41" nillable="true" ma:displayName="KeyPoints" ma:internalName="MediaServiceKeyPoints" ma:readOnly="true">
      <xsd:simpleType>
        <xsd:restriction base="dms:Note">
          <xsd:maxLength value="255"/>
        </xsd:restriction>
      </xsd:simpleType>
    </xsd:element>
    <xsd:element name="MediaServiceAutoTags" ma:index="42" nillable="true" ma:displayName="Tags" ma:internalName="MediaServiceAutoTags" ma:readOnly="true">
      <xsd:simpleType>
        <xsd:restriction base="dms:Text"/>
      </xsd:simpleType>
    </xsd:element>
    <xsd:element name="MediaServiceOCR" ma:index="43" nillable="true" ma:displayName="Extracted Text" ma:internalName="MediaServiceOCR" ma:readOnly="true">
      <xsd:simpleType>
        <xsd:restriction base="dms:Note">
          <xsd:maxLength value="255"/>
        </xsd:restriction>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D014FD-B574-476C-8783-9563A9F3E94D}"/>
</file>

<file path=customXml/itemProps2.xml><?xml version="1.0" encoding="utf-8"?>
<ds:datastoreItem xmlns:ds="http://schemas.openxmlformats.org/officeDocument/2006/customXml" ds:itemID="{A0C1DD41-C1F0-406F-831E-2A84F4FE5A80}"/>
</file>

<file path=customXml/itemProps3.xml><?xml version="1.0" encoding="utf-8"?>
<ds:datastoreItem xmlns:ds="http://schemas.openxmlformats.org/officeDocument/2006/customXml" ds:itemID="{718C77FA-6196-485F-9095-E1FC12F79D6A}"/>
</file>

<file path=customXml/itemProps4.xml><?xml version="1.0" encoding="utf-8"?>
<ds:datastoreItem xmlns:ds="http://schemas.openxmlformats.org/officeDocument/2006/customXml" ds:itemID="{9A695371-72B2-4293-B130-E9133DA964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 Somera</dc:creator>
  <cp:keywords/>
  <dc:description/>
  <cp:lastModifiedBy/>
  <cp:revision/>
  <dcterms:created xsi:type="dcterms:W3CDTF">2023-09-06T02:12:45Z</dcterms:created>
  <dcterms:modified xsi:type="dcterms:W3CDTF">2024-04-08T23:10:08Z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0x0101001297F296736A10479ED2053E1203CB030021261FBC013EA74E8115460F7A67F0BE</vt:lpwstr>
  </property>
  <property fmtid="{D5CDD505-2E9C-101B-9397-08002B2CF9AE}" pid="3" name="_dlc_DocIdItemGuid">
    <vt:lpwstr>08f272d4-8f31-4d8a-b002-5c2d9b3a4434</vt:lpwstr>
  </property>
</Properties>
</file>