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2.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3.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omments3.xml" ContentType="application/vnd.openxmlformats-officedocument.spreadsheetml.comments+xml"/>
  <Override PartName="/xl/threadedComments/threadedComment2.xml" ContentType="application/vnd.ms-excel.threadedcomments+xml"/>
  <Override PartName="/xl/comments4.xml" ContentType="application/vnd.openxmlformats-officedocument.spreadsheetml.comments+xml"/>
  <Override PartName="/xl/drawings/drawing4.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5.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6.xml" ContentType="application/vnd.openxmlformats-officedocument.drawing+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11/relationships/webextensiontaskpanes" Target="xl/webextensions/taskpanes.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4"/>
  <workbookPr codeName="ThisWorkbook" defaultThemeVersion="166925"/>
  <mc:AlternateContent xmlns:mc="http://schemas.openxmlformats.org/markup-compatibility/2006">
    <mc:Choice Requires="x15">
      <x15ac:absPath xmlns:x15ac="http://schemas.microsoft.com/office/spreadsheetml/2010/11/ac" url="https://climatechangegovt.sharepoint.com/sites/2050Target/Shared Documents/Analysis/Contribute analysis/"/>
    </mc:Choice>
  </mc:AlternateContent>
  <xr:revisionPtr revIDLastSave="0" documentId="8_{DFF27564-6F50-4A67-9641-98EB035CF9B5}" xr6:coauthVersionLast="47" xr6:coauthVersionMax="47" xr10:uidLastSave="{00000000-0000-0000-0000-000000000000}"/>
  <bookViews>
    <workbookView xWindow="-120" yWindow="-120" windowWidth="29040" windowHeight="15840" xr2:uid="{A012D050-4DC0-4D4D-94A5-18848EC9289D}"/>
  </bookViews>
  <sheets>
    <sheet name="Readme" sheetId="61" r:id="rId1"/>
    <sheet name="AR6 Pathways" sheetId="1" r:id="rId2"/>
    <sheet name="Capacity" sheetId="51" r:id="rId3"/>
    <sheet name="Equal per capita" sheetId="23" r:id="rId4"/>
    <sheet name="Current warming CH4" sheetId="53" r:id="rId5"/>
    <sheet name="Population World" sheetId="19" r:id="rId6"/>
    <sheet name="NZ Pop hist" sheetId="21" r:id="rId7"/>
    <sheet name="NZ Pop proj" sheetId="22" r:id="rId8"/>
    <sheet name="GDP WB PPP" sheetId="28" r:id="rId9"/>
    <sheet name="GDP WB MER" sheetId="26" r:id="rId10"/>
    <sheet name="1990-2050 Central estimate AR5" sheetId="55" r:id="rId11"/>
    <sheet name="Scenario Totals" sheetId="54" r:id="rId12"/>
    <sheet name="Biogenic CH4 NZ" sheetId="32" r:id="rId13"/>
    <sheet name="Demonstration path data" sheetId="42" r:id="rId14"/>
    <sheet name="GWPs" sheetId="18" r:id="rId15"/>
    <sheet name="NET CO2" sheetId="10" r:id="rId16"/>
    <sheet name="CO2 E+IP" sheetId="8" r:id="rId17"/>
    <sheet name="CO2 AFOLU" sheetId="7" r:id="rId18"/>
    <sheet name="CO2 OTHER" sheetId="9" r:id="rId19"/>
    <sheet name="CH4 TOTAL" sheetId="5" r:id="rId20"/>
    <sheet name="CH4 AFOLU" sheetId="4" r:id="rId21"/>
    <sheet name="CH4 WASTE" sheetId="6" r:id="rId22"/>
    <sheet name="N2O AFOLU" sheetId="12" r:id="rId23"/>
    <sheet name="N2O ENERGY" sheetId="13" r:id="rId24"/>
    <sheet name="N2O IP" sheetId="14" r:id="rId25"/>
    <sheet name="N2O TOTAL" sheetId="15" r:id="rId26"/>
    <sheet name="HFCs TOTAL" sheetId="11" r:id="rId27"/>
    <sheet name="PFCs TOTAL" sheetId="16" r:id="rId28"/>
    <sheet name="SF6 TOTAL" sheetId="17" r:id="rId29"/>
  </sheets>
  <externalReferences>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s>
  <definedNames>
    <definedName name="____W.O.R.K.B.O.O.K..C.O.N.T.E.N.T.S____">#REF!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516</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DLX1.INC">#REF!</definedName>
    <definedName name="_DLX2.INC">#REF!</definedName>
    <definedName name="_DLX3.INC">#REF!</definedName>
    <definedName name="_Regression_Int" hidden="1">1</definedName>
    <definedName name="a" hidden="1">{"DSBT",#N/A,FALSE,"DSBT";"CASHPAY",#N/A,FALSE,"CASHPAY"}</definedName>
    <definedName name="aa" hidden="1">{"DSBT",#N/A,FALSE,"DSBT";"CASHPAY",#N/A,FALSE,"CASHPAY"}</definedName>
    <definedName name="adsf" hidden="1">{"ESTIMATES",#N/A,FALSE,"CASH"}</definedName>
    <definedName name="af" hidden="1">{"CASH BALANCING",#N/A,FALSE,"CASH";"CASH REPORT",#N/A,FALSE,"CASH"}</definedName>
    <definedName name="agegroup5yr">#REF!</definedName>
    <definedName name="agegroup5yr2">#REF!</definedName>
    <definedName name="AgegroupFemales">#REF!</definedName>
    <definedName name="Agegroupfemales2">#REF!</definedName>
    <definedName name="agegroupMales">#REF!</definedName>
    <definedName name="Agegroupmales2">#REF!</definedName>
    <definedName name="agegroupTotal">#REF!</definedName>
    <definedName name="agegroupTotal2">#REF!</definedName>
    <definedName name="allages">#REF!</definedName>
    <definedName name="allages2">#REF!</definedName>
    <definedName name="allCountries">[1]Sheet9!$O$4:$P$178</definedName>
    <definedName name="Annex_A">[2]Rcpt08!#REF!</definedName>
    <definedName name="Annex_B">[2]Rcpt08!#REF!</definedName>
    <definedName name="Annex_E">#REF!</definedName>
    <definedName name="Annex_F">#REF!</definedName>
    <definedName name="Assumptions_Paper">'[3]Database Codes'!$A$8:$A$24</definedName>
    <definedName name="averageage_DF">#REF!</definedName>
    <definedName name="averageage_pine">#REF!</definedName>
    <definedName name="averageCO2_DF">#REF!</definedName>
    <definedName name="averageCO2_pine">#REF!</definedName>
    <definedName name="banks_ED">#REF!</definedName>
    <definedName name="borrowings">#REF!</definedName>
    <definedName name="Budget_2011_Categories">'[3]Database Codes'!$A$28:$A$35</definedName>
    <definedName name="Budget_2011_Funding_Source">'[3]Database Codes'!$A$39:$A$40</definedName>
    <definedName name="C_to_CO2">#REF!</definedName>
    <definedName name="Ccodes">[1]EER!$A$3:$B$74</definedName>
    <definedName name="CHF">'[4]note 19'!#REF!</definedName>
    <definedName name="CO_Macro_Drivers_TL" localSheetId="13">'Demonstration path data'!$D$7</definedName>
    <definedName name="CO2_ha_radiata">#REF!</definedName>
    <definedName name="Copyrange1">#REF!</definedName>
    <definedName name="Copyrange10">#REF!</definedName>
    <definedName name="Copyrange11">#REF!</definedName>
    <definedName name="Copyrange12">#REF!</definedName>
    <definedName name="Copyrange13">#REF!</definedName>
    <definedName name="Copyrange14">#REF!</definedName>
    <definedName name="Copyrange15">#REF!</definedName>
    <definedName name="Copyrange16">#REF!</definedName>
    <definedName name="Copyrange17">#REF!</definedName>
    <definedName name="Copyrange18">#REF!</definedName>
    <definedName name="Copyrange19">#REF!</definedName>
    <definedName name="Copyrange2">#REF!</definedName>
    <definedName name="Copyrange20">#REF!</definedName>
    <definedName name="Copyrange21">#REF!</definedName>
    <definedName name="Copyrange22">#REF!</definedName>
    <definedName name="Copyrange23">#REF!</definedName>
    <definedName name="Copyrange24">#REF!</definedName>
    <definedName name="Copyrange25">#REF!</definedName>
    <definedName name="Copyrange26">#REF!</definedName>
    <definedName name="Copyrange27">#REF!</definedName>
    <definedName name="Copyrange28">#REF!</definedName>
    <definedName name="Copyrange29">#REF!</definedName>
    <definedName name="Copyrange3">#REF!</definedName>
    <definedName name="Copyrange30">#REF!</definedName>
    <definedName name="Copyrange31">#REF!</definedName>
    <definedName name="Copyrange32">#REF!</definedName>
    <definedName name="Copyrange33">#REF!</definedName>
    <definedName name="Copyrange34">#REF!</definedName>
    <definedName name="Copyrange35">#REF!</definedName>
    <definedName name="Copyrange36">#REF!</definedName>
    <definedName name="Copyrange37">#REF!</definedName>
    <definedName name="Copyrange38">#REF!</definedName>
    <definedName name="Copyrange39">#REF!</definedName>
    <definedName name="Copyrange4">#REF!</definedName>
    <definedName name="Copyrange40">#REF!</definedName>
    <definedName name="Copyrange41">#REF!</definedName>
    <definedName name="Copyrange42">#REF!</definedName>
    <definedName name="Copyrange43">#REF!</definedName>
    <definedName name="Copyrange44">#REF!</definedName>
    <definedName name="Copyrange45">#REF!</definedName>
    <definedName name="Copyrange46">#REF!</definedName>
    <definedName name="Copyrange47">#REF!</definedName>
    <definedName name="Copyrange48">#REF!</definedName>
    <definedName name="Copyrange49">#REF!</definedName>
    <definedName name="Copyrange5">#REF!</definedName>
    <definedName name="Copyrange50">#REF!</definedName>
    <definedName name="Copyrange51">#REF!</definedName>
    <definedName name="Copyrange52">#REF!</definedName>
    <definedName name="Copyrange53">#REF!</definedName>
    <definedName name="Copyrange54">#REF!</definedName>
    <definedName name="Copyrange55">#REF!</definedName>
    <definedName name="Copyrange56">#REF!</definedName>
    <definedName name="Copyrange57">#REF!</definedName>
    <definedName name="Copyrange58">#REF!</definedName>
    <definedName name="Copyrange59">#REF!</definedName>
    <definedName name="Copyrange6">#REF!</definedName>
    <definedName name="Copyrange60">#REF!</definedName>
    <definedName name="Copyrange61">#REF!</definedName>
    <definedName name="Copyrange62">#REF!</definedName>
    <definedName name="Copyrange63">#REF!</definedName>
    <definedName name="Copyrange64">#REF!</definedName>
    <definedName name="Copyrange65">#REF!</definedName>
    <definedName name="Copyrange66">#REF!</definedName>
    <definedName name="Copyrange67">#REF!</definedName>
    <definedName name="Copyrange68">#REF!</definedName>
    <definedName name="Copyrange7">#REF!</definedName>
    <definedName name="Copyrange8">#REF!</definedName>
    <definedName name="Copyrange9">#REF!</definedName>
    <definedName name="corrmatrix">'[5]@RISK parameters'!#REF!</definedName>
    <definedName name="cos_last1">OFFSET([6]Graphing!$D$3,[6]Graphing!$E$21,0,[6]Graphing!$E$23,1)</definedName>
    <definedName name="cos_last2">OFFSET([6]Graphing!$E$3,[6]Graphing!$E$21,0,[6]Graphing!$E$23,1)</definedName>
    <definedName name="cos_now">OFFSET([6]Graphing!$C$3,[6]Graphing!$E$21,0,[6]Graphing!$E$23,1)</definedName>
    <definedName name="CRF_4_KP_I_A.1.1_Doc">#REF!</definedName>
    <definedName name="CRF_4_KP_I_A.2.1_Doc">#REF!</definedName>
    <definedName name="CRF_4_KP_I_A.2_Doc">#REF!</definedName>
    <definedName name="CRF_4_KP_I_B.1.1_Doc">#REF!</definedName>
    <definedName name="CRF_4_KP_I_B.1.3_Doc">#REF!</definedName>
    <definedName name="CRF_Table3.B_a_s2_Add">#REF!</definedName>
    <definedName name="CRF_Table7_Main">#REF!</definedName>
    <definedName name="Cur_Dump_Res_Out" localSheetId="13">'Demonstration path data'!#REF!</definedName>
    <definedName name="curr_ver">#REF!</definedName>
    <definedName name="d" hidden="1">{"CASH BALANCING",#N/A,FALSE,"CASH";"CASH REPORT",#N/A,FALSE,"CASH"}</definedName>
    <definedName name="data">[7]Data!#REF!</definedName>
    <definedName name="data_CAB">#REF!</definedName>
    <definedName name="data_compare">#REF!</definedName>
    <definedName name="data_ED">#REF!</definedName>
    <definedName name="data_FDCAB_hist">#REF!</definedName>
    <definedName name="data_FDCAB_hist_all">#REF!</definedName>
    <definedName name="data_FDCAB_new">#REF!</definedName>
    <definedName name="data_FDFI_hist">#REF!</definedName>
    <definedName name="data_FDFI_hist_all">#REF!</definedName>
    <definedName name="data_FDFI_new">#REF!</definedName>
    <definedName name="data_FI">#REF!</definedName>
    <definedName name="data_INPUT">#REF!</definedName>
    <definedName name="data_new_fiscaldata_cab">'[8]Fiscal Data - CAB New'!$A$61:$N$397</definedName>
    <definedName name="data_new_fiscaldata_FI">'[8]Fiscal Data - FI New'!$A$47:$N$400</definedName>
    <definedName name="data_SCEN">#REF!</definedName>
    <definedName name="data_shocks_scen">#REF!</definedName>
    <definedName name="data_TD">#REF!</definedName>
    <definedName name="data_TD_unused">#REF!</definedName>
    <definedName name="dates_CAB">#REF!</definedName>
    <definedName name="dates_compare_max">IF(#REF!="On",#REF!,#REF!)</definedName>
    <definedName name="dates_compare_min">IF(#REF!="On",#REF!,#REF!)</definedName>
    <definedName name="dates_ED">#REF!</definedName>
    <definedName name="dates_ED_max">IF(#REF!="On",#REF!,#REF!)</definedName>
    <definedName name="dates_ED_min">IF(#REF!="On",#REF!,#REF!)</definedName>
    <definedName name="dates_FDCAB">#REF!</definedName>
    <definedName name="dates_FDCAB_max">IF(#REF!="On",#REF!,#REF!)</definedName>
    <definedName name="dates_FDCAB_min">IF(#REF!="On",#REF!,#REF!)</definedName>
    <definedName name="dates_FDFI">#REF!</definedName>
    <definedName name="dates_FDFI_max">IF(#REF!="On",#REF!,#REF!)</definedName>
    <definedName name="dates_FDFI_min">IF(#REF!="On",#REF!,#REF!)</definedName>
    <definedName name="dates_FI">#REF!</definedName>
    <definedName name="dates_forecast_max">#REF!</definedName>
    <definedName name="dates_forecast_min">#REF!</definedName>
    <definedName name="dates_INPUT">[9]Inputs!$I$36:$CI$36</definedName>
    <definedName name="dates_master_max">IF(#REF!="On",#REF!,#REF!)</definedName>
    <definedName name="dates_master_min">IF(#REF!="On",#REF!,#REF!)</definedName>
    <definedName name="dates_results_max">IF(#REF!="On",#REF!,#REF!)</definedName>
    <definedName name="dates_results_min">IF(#REF!="On",#REF!,#REF!)</definedName>
    <definedName name="dates_SCEN">#REF!</definedName>
    <definedName name="dates_SCEN_max">IF(#REF!="On",#REF!,#REF!)</definedName>
    <definedName name="dates_SCEN_min">IF(#REF!="On",#REF!,#REF!)</definedName>
    <definedName name="dates_shocks_scen">#REF!</definedName>
    <definedName name="dates_TD">#REF!</definedName>
    <definedName name="dates_TD_max">IF(#REF!="On",#REF!,#REF!)</definedName>
    <definedName name="dates_TD_min">IF(#REF!="On",#REF!,#REF!)</definedName>
    <definedName name="dd" hidden="1">{"CASH BALANCING",#N/A,FALSE,"CASH";"CASH REPORT",#N/A,FALSE,"CASH"}</definedName>
    <definedName name="de" hidden="1">{"CASH BALANCING",#N/A,FALSE,"CASH";"CASH REPORT",#N/A,FALSE,"CASH"}</definedName>
    <definedName name="Decision_Point">'[3]Database Codes'!#REF!</definedName>
    <definedName name="deflate">'[10]Other assets - normal'!$A$4</definedName>
    <definedName name="DEM">'[4]note 19'!#REF!</definedName>
    <definedName name="dfd" hidden="1">{"CASH BALANCING",#N/A,FALSE,"CASH";"CASH REPORT",#N/A,FALSE,"CASH"}</definedName>
    <definedName name="digits">#REF!</definedName>
    <definedName name="dir_core">#REF!</definedName>
    <definedName name="dir_econ">#REF!</definedName>
    <definedName name="dir_fcast_bank">#REF!</definedName>
    <definedName name="dir_fiscal">#REF!</definedName>
    <definedName name="dir_FRdata">#REF!</definedName>
    <definedName name="dir_rbnz_bank">#REF!</definedName>
    <definedName name="dir_tax">#REF!</definedName>
    <definedName name="dir_util">#REF!</definedName>
    <definedName name="DLX1.USE">[11]ChartData!#REF!</definedName>
    <definedName name="dsfza" hidden="1">{"DISPAG1",#N/A,FALSE,"DISBURSE";"DISPAG2",#N/A,FALSE,"DISBURSE";"ACTDIS",#N/A,FALSE,"DISBURSE";"ACTOUT",#N/A,FALSE,"DISBURSE";"TOTDIFF",#N/A,FALSE,"DISBURSE";"REVDIS",#N/A,FALSE,"DISBURSE"}</definedName>
    <definedName name="EERcpiCnty">[1]Sheet9!$B$3:$B$79</definedName>
    <definedName name="eerCPInew">[1]Sheet9!$K$3:$K$87</definedName>
    <definedName name="fcast_bank">#REF!</definedName>
    <definedName name="fd" hidden="1">{"DSBT",#N/A,FALSE,"DSBT";"CASHPAY",#N/A,FALSE,"CASHPAY"}</definedName>
    <definedName name="fdasfd" hidden="1">{"ESTIMATES",#N/A,FALSE,"CASH"}</definedName>
    <definedName name="fdf" hidden="1">{"CASH BALANCING",#N/A,FALSE,"CASH";"CASH REPORT",#N/A,FALSE,"CASH"}</definedName>
    <definedName name="fed" hidden="1">{"DISPAG1",#N/A,FALSE,"DISBURSE";"DISPAG2",#N/A,FALSE,"DISBURSE";"ACTDIS",#N/A,FALSE,"DISBURSE";"ACTOUT",#N/A,FALSE,"DISBURSE";"TOTDIFF",#N/A,FALSE,"DISBURSE";"REVDIS",#N/A,FALSE,"DISBURSE"}</definedName>
    <definedName name="ff" hidden="1">{"CASH BALANCING",#N/A,FALSE,"CASH";"CASH REPORT",#N/A,FALSE,"CASH"}</definedName>
    <definedName name="fnamecur">[2]Assumptions!$D$3</definedName>
    <definedName name="folder_calcs">#REF!</definedName>
    <definedName name="folder_pub">#REF!</definedName>
    <definedName name="Forest_type">#REF!</definedName>
    <definedName name="fyrlast">[2]Assumptions!$E$5</definedName>
    <definedName name="g">#REF!</definedName>
    <definedName name="GBP">'[4]note 19'!#REF!</definedName>
    <definedName name="GDP_type">#REF!</definedName>
    <definedName name="Glob_pop">[12]GWPs!$L$3</definedName>
    <definedName name="Glob_pop_2019">[13]POP!$Q$28</definedName>
    <definedName name="Glob_POP_2030">[13]POP!$F$2</definedName>
    <definedName name="Glob_pop_2050">[13]POP!$H$2</definedName>
    <definedName name="GOV">'[4]note 19'!#REF!</definedName>
    <definedName name="gross_CO2_in_2050">#REF!</definedName>
    <definedName name="gross_CO2_in_2100">#REF!</definedName>
    <definedName name="gsdfr">[2]Rcpt08!#REF!</definedName>
    <definedName name="GWP">#REF!</definedName>
    <definedName name="GWP_CF4">GWPs!$F$30</definedName>
    <definedName name="GWP_CH4_AR4">GWPs!$C$7</definedName>
    <definedName name="GWP_CH4_AR5">GWPs!$D$7</definedName>
    <definedName name="GWP_CH4_AR5_conversion">#REF!</definedName>
    <definedName name="GWP_CH4_conversion">#REF!</definedName>
    <definedName name="GWP_Fgas_conversion">#REF!</definedName>
    <definedName name="GWP_HFC134a">GWPs!$F$15</definedName>
    <definedName name="GWP_Methane">GWPs!$F$7</definedName>
    <definedName name="GWP_N2O">GWPs!$F$8</definedName>
    <definedName name="GWP_N2O_AR4" localSheetId="13">#REF!</definedName>
    <definedName name="GWP_N2O_AR4">GWPs!$C$8</definedName>
    <definedName name="GWP_N2O_AR5">GWPs!$D$8</definedName>
    <definedName name="GWP_N2O_AR5_conversion">#REF!</definedName>
    <definedName name="GWP_N2O_conversion">#REF!</definedName>
    <definedName name="GWP_NO2_AR5_conversion">#REF!</definedName>
    <definedName name="GWP_SF6">GWPs!$F$41</definedName>
    <definedName name="harvestpercent_SC_DF">#REF!</definedName>
    <definedName name="harvestpercent_SC_pine">#REF!</definedName>
    <definedName name="IADemopath">#REF!</definedName>
    <definedName name="id_ED">#REF!</definedName>
    <definedName name="index_CAB">#REF!</definedName>
    <definedName name="index_compare">#REF!</definedName>
    <definedName name="index_ED">#REF!</definedName>
    <definedName name="index_FDCAB">#REF!</definedName>
    <definedName name="index_FDFI">#REF!</definedName>
    <definedName name="index_FI">#REF!</definedName>
    <definedName name="index_INPUT">#REF!</definedName>
    <definedName name="index_SCEN">#REF!</definedName>
    <definedName name="index_shocks_scen">#REF!</definedName>
    <definedName name="index_TD">#REF!</definedName>
    <definedName name="inf">'[10]Bond v rental housing'!$B$6</definedName>
    <definedName name="init">'[10]Tax gap'!$B$3</definedName>
    <definedName name="int">#REF!</definedName>
    <definedName name="JPY">'[4]note 19'!#REF!</definedName>
    <definedName name="lambda">#REF!</definedName>
    <definedName name="lkl">#REF!</definedName>
    <definedName name="LO_Afforestation_TL" localSheetId="13">'Demonstration path data'!#REF!</definedName>
    <definedName name="LO_Agri_CH4_TL" localSheetId="13">'Demonstration path data'!#REF!</definedName>
    <definedName name="LO_Agri_N20_TL" localSheetId="13">'Demonstration path data'!#REF!</definedName>
    <definedName name="LO_AgriGas_TL" localSheetId="13">'Demonstration path data'!#REF!</definedName>
    <definedName name="LO_Deforestation_TL" localSheetId="13">'Demonstration path data'!#REF!</definedName>
    <definedName name="LO_Forest_Emissions_TL" localSheetId="13">'Demonstration path data'!#REF!</definedName>
    <definedName name="LO_GHG_Agri_Sector_TL" localSheetId="13">'Demonstration path data'!#REF!</definedName>
    <definedName name="load_ED">#REF!</definedName>
    <definedName name="load_FD_fcast">#REF!</definedName>
    <definedName name="load_FD_hist">#REF!</definedName>
    <definedName name="load_TD">#REF!</definedName>
    <definedName name="LOCAL_MYSQL_DATE_FORMAT" localSheetId="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2" localSheetId="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okups">[14]Display!$A$2:$B$18</definedName>
    <definedName name="meta_ED">#REF!</definedName>
    <definedName name="month">#REF!</definedName>
    <definedName name="nBR">'[10]Bond v rental housing'!$B$3</definedName>
    <definedName name="New_Fig1" hidden="1">{"CASH BALANCING",#N/A,FALSE,"CASH";"CASH REPORT",#N/A,FALSE,"CASH"}</definedName>
    <definedName name="new_ver">#REF!</definedName>
    <definedName name="ninf">#REF!</definedName>
    <definedName name="nRC">'[10]Bond v rental housing'!$B$5</definedName>
    <definedName name="nRet">'[10]Tax gap'!$B$4</definedName>
    <definedName name="nRR">'[10]Bond v rental housing'!$B$4</definedName>
    <definedName name="NvsASD">"V1999-07-31"</definedName>
    <definedName name="NvsAutoDrillOk">"VN"</definedName>
    <definedName name="NvsElapsedTime">0.0000799768531578593</definedName>
    <definedName name="NvsEndTime">37831.507665162</definedName>
    <definedName name="NvsLayoutType">"M3"</definedName>
    <definedName name="NvsPanelEffdt">"V1999-07-27"</definedName>
    <definedName name="NvsPanelSetid">"VSHARE"</definedName>
    <definedName name="NvsReqBU">"VMEL01"</definedName>
    <definedName name="NvsReqBUOnly">"VY"</definedName>
    <definedName name="NvsTransLed">"VN"</definedName>
    <definedName name="NvsTreeASD">"V1999-07-31"</definedName>
    <definedName name="NvsValTbl.SCENARIO">"BD_SCENARIO_TBL"</definedName>
    <definedName name="NZ_emissions_2021_2030_with_current_policies">'[13]equal capacity to pay'!$AU$31</definedName>
    <definedName name="NZ_GDPshare_MER">[13]GDP!$R$11</definedName>
    <definedName name="NZ_pop_2019">[13]POP!$Q$26</definedName>
    <definedName name="NZ_pop_2021">[13]POP!$S$5</definedName>
    <definedName name="NZ_pop_2021_2030">[13]POP!$S$19</definedName>
    <definedName name="NZ_pop_frac">[13]POP!$S$22</definedName>
    <definedName name="oxidation">'[15]Other parameters'!$B$12</definedName>
    <definedName name="Pal_Workbook_GUID" hidden="1">"9AP16616LWPZUH5ABK5MW346"</definedName>
    <definedName name="PalisadeReportWorkbookCreatedBy">"AtRisk"</definedName>
    <definedName name="param_compare_db">#REF!</definedName>
    <definedName name="param_compare_fcastvers">#REF!</definedName>
    <definedName name="param_compare_numseries">#REF!</definedName>
    <definedName name="param_compare_startdate">#REF!</definedName>
    <definedName name="Pasterange1">#REF!</definedName>
    <definedName name="Pasterange10">#REF!</definedName>
    <definedName name="Pasterange11">#REF!</definedName>
    <definedName name="Pasterange12">#REF!</definedName>
    <definedName name="Pasterange13">#REF!</definedName>
    <definedName name="Pasterange14">#REF!</definedName>
    <definedName name="Pasterange15">#REF!</definedName>
    <definedName name="Pasterange16">#REF!</definedName>
    <definedName name="Pasterange17">#REF!</definedName>
    <definedName name="Pasterange18">#REF!</definedName>
    <definedName name="Pasterange19">#REF!</definedName>
    <definedName name="Pasterange2">#REF!</definedName>
    <definedName name="Pasterange20">#REF!</definedName>
    <definedName name="Pasterange21">#REF!</definedName>
    <definedName name="Pasterange22">#REF!</definedName>
    <definedName name="Pasterange23">#REF!</definedName>
    <definedName name="Pasterange24">#REF!</definedName>
    <definedName name="Pasterange25">#REF!</definedName>
    <definedName name="Pasterange26">#REF!</definedName>
    <definedName name="Pasterange27">#REF!</definedName>
    <definedName name="Pasterange28">#REF!</definedName>
    <definedName name="Pasterange29">#REF!</definedName>
    <definedName name="Pasterange3">#REF!</definedName>
    <definedName name="Pasterange30">#REF!</definedName>
    <definedName name="Pasterange31">#REF!</definedName>
    <definedName name="Pasterange32">#REF!</definedName>
    <definedName name="Pasterange33">#REF!</definedName>
    <definedName name="Pasterange34">#REF!</definedName>
    <definedName name="Pasterange35">#REF!</definedName>
    <definedName name="Pasterange36">#REF!</definedName>
    <definedName name="Pasterange37">#REF!</definedName>
    <definedName name="Pasterange38">#REF!</definedName>
    <definedName name="Pasterange39">#REF!</definedName>
    <definedName name="Pasterange4">#REF!</definedName>
    <definedName name="Pasterange40">#REF!</definedName>
    <definedName name="Pasterange41">#REF!</definedName>
    <definedName name="Pasterange42">#REF!</definedName>
    <definedName name="Pasterange43">#REF!</definedName>
    <definedName name="Pasterange44">#REF!</definedName>
    <definedName name="Pasterange45">#REF!</definedName>
    <definedName name="Pasterange46">#REF!</definedName>
    <definedName name="Pasterange47">#REF!</definedName>
    <definedName name="Pasterange48">#REF!</definedName>
    <definedName name="Pasterange49">#REF!</definedName>
    <definedName name="Pasterange5">#REF!</definedName>
    <definedName name="Pasterange50">#REF!</definedName>
    <definedName name="Pasterange51">#REF!</definedName>
    <definedName name="Pasterange52">#REF!</definedName>
    <definedName name="Pasterange53">#REF!</definedName>
    <definedName name="Pasterange54">#REF!</definedName>
    <definedName name="Pasterange55">#REF!</definedName>
    <definedName name="Pasterange56">#REF!</definedName>
    <definedName name="Pasterange57">#REF!</definedName>
    <definedName name="Pasterange58">#REF!</definedName>
    <definedName name="Pasterange59">#REF!</definedName>
    <definedName name="Pasterange6">#REF!</definedName>
    <definedName name="Pasterange60">#REF!</definedName>
    <definedName name="Pasterange61">#REF!</definedName>
    <definedName name="Pasterange62">#REF!</definedName>
    <definedName name="Pasterange63">#REF!</definedName>
    <definedName name="Pasterange64">#REF!</definedName>
    <definedName name="Pasterange65">#REF!</definedName>
    <definedName name="Pasterange66">#REF!</definedName>
    <definedName name="Pasterange67">#REF!</definedName>
    <definedName name="Pasterange68">#REF!</definedName>
    <definedName name="Pasterange7">#REF!</definedName>
    <definedName name="Pasterange8">#REF!</definedName>
    <definedName name="Pasterange9">#REF!</definedName>
    <definedName name="path_control">#REF!</definedName>
    <definedName name="path_eviewsdatapull">#REF!</definedName>
    <definedName name="path_pub">#REF!</definedName>
    <definedName name="pft_now">OFFSET([2]Graphing!$L$3,[2]Graphing!$E$25,0,[2]Graphing!$E$27,1)</definedName>
    <definedName name="Print_Area_MI">[16]Receipts!#REF!</definedName>
    <definedName name="_xlnm.Print_Titles" localSheetId="7">'NZ Pop proj'!$1:$7</definedName>
    <definedName name="propbiomassremoved_DF">#REF!</definedName>
    <definedName name="propbiomassremoved_pine">#REF!</definedName>
    <definedName name="quarterended">#REF!</definedName>
    <definedName name="quarterended2">#REF!</definedName>
    <definedName name="RBN">'[4]note 19'!#REF!</definedName>
    <definedName name="rbnz_bank">#REF!</definedName>
    <definedName name="rcc">#REF!</definedName>
    <definedName name="rec_last1">OFFSET([6]Graphing!$J$3,[6]Graphing!$E$21,0,[6]Graphing!$E$23,1)</definedName>
    <definedName name="rec_last2">OFFSET([6]Graphing!$K$3,[6]Graphing!$E$21,0,[6]Graphing!$E$23,1)</definedName>
    <definedName name="rec_now">OFFSET([6]Graphing!$I$3,[6]Graphing!$E$21,0,[6]Graphing!$E$23,1)</definedName>
    <definedName name="replantlag_DF">#REF!</definedName>
    <definedName name="replantlag_pine">#REF!</definedName>
    <definedName name="rev_last1">OFFSET([6]Graphing!$G$3,[6]Graphing!$E$21,0,[6]Graphing!$E$23,1)</definedName>
    <definedName name="rev_last2">OFFSET([6]Graphing!$H$3,[6]Graphing!$E$21,0,[6]Graphing!$E$23,1)</definedName>
    <definedName name="rev_now">OFFSET([6]Graphing!$F$3,[6]Graphing!$E$21,0,[6]Graphing!$E$23,1)</definedName>
    <definedName name="RFRR">'[10]Nordic @ 17.5'!$O$184</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5</definedName>
    <definedName name="RiskMinimizeOnStart" hidden="1">FALSE</definedName>
    <definedName name="RiskMonitorConvergence" hidden="1">FALSE</definedName>
    <definedName name="RiskMultipleCPUSupportEnabled" hidden="1">TRUE</definedName>
    <definedName name="RiskNumIterations" hidden="1">500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 hidden="1">{"CASH BALANCING",#N/A,FALSE,"CASH";"CASH REPORT",#N/A,FALSE,"CASH"}</definedName>
    <definedName name="risks2" hidden="1">{"CASH BALANCING",#N/A,FALSE,"CASH";"CASH REPORT",#N/A,FALSE,"CASH"}</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otationlength_DF">#REF!</definedName>
    <definedName name="rotationlength_pine">#REF!</definedName>
    <definedName name="rr">#REF!</definedName>
    <definedName name="s" hidden="1">{"CASH BALANCING",#N/A,FALSE,"CASH";"CASH REPORT",#N/A,FALSE,"CASH"}</definedName>
    <definedName name="Scale">1000</definedName>
    <definedName name="Scenario">#REF!</definedName>
    <definedName name="Scenario_1">#REF!</definedName>
    <definedName name="Scenario_2">#REF!</definedName>
    <definedName name="Scenario_3">#REF!</definedName>
    <definedName name="scenario_select">#REF!</definedName>
    <definedName name="Scn_ID" localSheetId="13">'Demonstration path data'!$A$1</definedName>
    <definedName name="sheet_CAB">#REF!</definedName>
    <definedName name="sheet_FI">#REF!</definedName>
    <definedName name="sheet_INPUT">#REF!</definedName>
    <definedName name="sss">'[17]note 19'!#REF!</definedName>
    <definedName name="start">'[10]Bond v rental housing'!$B$7</definedName>
    <definedName name="start_ED">#REF!</definedName>
    <definedName name="Summary">#REF!</definedName>
    <definedName name="switch_ED">#REF!</definedName>
    <definedName name="tags_FDCAB_hist">#REF!</definedName>
    <definedName name="tags_FDCAB_new">#REF!</definedName>
    <definedName name="tags_FDFI_hist">#REF!</definedName>
    <definedName name="tags_FDFI_new">#REF!</definedName>
    <definedName name="tags_new_fiscaldata_CAB">'[8]Fiscal Data - CAB New'!$D$61:$D$405</definedName>
    <definedName name="tags_new_fiscaldata_FI">'[8]Fiscal Data - FI New'!$D$47:$D$400</definedName>
    <definedName name="target_adjustment">#REF!</definedName>
    <definedName name="target_diff_high">'[13]Summary results'!$J$2</definedName>
    <definedName name="target_diff_low">'[13]Summary results'!$J$1</definedName>
    <definedName name="tax_doc_num">#REF!</definedName>
    <definedName name="tax_doc_ver">#REF!</definedName>
    <definedName name="TBills">'[4]note 19'!#REF!</definedName>
    <definedName name="tC">3.666667</definedName>
    <definedName name="tdisc">'[10]40% saving'!$B$10</definedName>
    <definedName name="TEMPLATE">[2]Rcpt08!#REF!</definedName>
    <definedName name="TemplateB">[2]Rcpt08!#REF!</definedName>
    <definedName name="TemplateC">#REF!</definedName>
    <definedName name="Title">'NZ Pop proj'!$T$9</definedName>
    <definedName name="Titletable1">#REF!</definedName>
    <definedName name="Titletable2">#REF!</definedName>
    <definedName name="Titletable3">#REF!</definedName>
    <definedName name="tlow">#REF!</definedName>
    <definedName name="TO_FleetEntry_TL" localSheetId="13">'Demonstration path data'!#REF!</definedName>
    <definedName name="TO_FleetExit_TL" localSheetId="13">'Demonstration path data'!#REF!</definedName>
    <definedName name="TO_FleetNum_TL" localSheetId="13">'Demonstration path data'!#REF!</definedName>
    <definedName name="TO_Freight_ModeShare_TL" localSheetId="13">'Demonstration path data'!#REF!</definedName>
    <definedName name="TO_ICE_Emissions_Eff_TL" localSheetId="13">'Demonstration path data'!#REF!</definedName>
    <definedName name="TO_Pkt_TL" localSheetId="13">'Demonstration path data'!#REF!</definedName>
    <definedName name="TO_Vkt_Light_HouseComm_TL" localSheetId="13">'Demonstration path data'!#REF!</definedName>
    <definedName name="Tstats">[18]Tablz!$A$2:$B$31</definedName>
    <definedName name="ULCcty">[1]Sheet9!$E$3:$E$25</definedName>
    <definedName name="USD">'[4]note 19'!#REF!</definedName>
    <definedName name="wfwr" hidden="1">{"CASH BALANCING",#N/A,FALSE,"CASH";"CASH REPORT",#N/A,FALSE,"CASH"}</definedName>
    <definedName name="wfwr2" hidden="1">{"CASH BALANCING",#N/A,FALSE,"CASH";"CASH REPORT",#N/A,FALSE,"CASH"}</definedName>
    <definedName name="WO_AnDigest_TL" localSheetId="13">'Demonstration path data'!#REF!</definedName>
    <definedName name="WO_BoilFuel_TL" localSheetId="13">'Demonstration path data'!#REF!</definedName>
    <definedName name="WO_Cat_Total_TL" localSheetId="13">'Demonstration path data'!#REF!</definedName>
    <definedName name="WO_Comp_TL" localSheetId="13">'Demonstration path data'!#REF!</definedName>
    <definedName name="WO_Gen_LflType_TL" localSheetId="13">'Demonstration path data'!#REF!</definedName>
    <definedName name="WO_Gen_WstType_TL" localSheetId="13">'Demonstration path data'!#REF!</definedName>
    <definedName name="WO_GHG_Total_TL" localSheetId="13">'Demonstration path data'!#REF!</definedName>
    <definedName name="WO_Lfl_Type_TL" localSheetId="13">'Demonstration path data'!#REF!</definedName>
    <definedName name="WO_Lfl_WstType_TL" localSheetId="13">'Demonstration path data'!#REF!</definedName>
    <definedName name="WO_Recycle_TL" localSheetId="13">'Demonstration path data'!#REF!</definedName>
    <definedName name="WO_Solid_CH4_Split_TL" localSheetId="13">'Demonstration path data'!#REF!</definedName>
    <definedName name="wrn.CASH._.REPORT." hidden="1">{"CASH BALANCING",#N/A,FALSE,"CASH";"CASH REPORT",#N/A,FALSE,"CASH"}</definedName>
    <definedName name="wrn.CASH._.SCHEDULE." hidden="1">{"DSBT",#N/A,FALSE,"DSBT";"CASHPAY",#N/A,FALSE,"CASHPAY"}</definedName>
    <definedName name="wrn.CASHDR._.PORT." hidden="1">{"CASH BALANCING",#N/A,FALSE,"CASH";"CASH REPORT",#N/A,FALSE,"CASH"}</definedName>
    <definedName name="wrn.DISBURSE." hidden="1">{"DISPAG1",#N/A,FALSE,"DISBURSE";"DISPAG2",#N/A,FALSE,"DISBURSE";"ACTDIS",#N/A,FALSE,"DISBURSE";"ACTOUT",#N/A,FALSE,"DISBURSE";"TOTDIFF",#N/A,FALSE,"DISBURSE";"REVDIS",#N/A,FALSE,"DISBURSE"}</definedName>
    <definedName name="wrn.FMRB." hidden="1">{"ESTIMATES",#N/A,FALSE,"CASH"}</definedName>
    <definedName name="x">#REF!</definedName>
    <definedName name="x_axis">OFFSET([6]Graphing!$B$3,[6]Graphing!$E$21,0,[6]Graphing!$E$23,1)</definedName>
    <definedName name="XEU">'[4]note 19'!#REF!</definedName>
    <definedName name="XO_Avg_Household_Elec_Bills_TL" localSheetId="13">'Demonstration path data'!#REF!</definedName>
    <definedName name="XO_Avg_Household_Gas_Bills_TL" localSheetId="13">'Demonstration path data'!#REF!</definedName>
    <definedName name="XO_Biomass_STL" localSheetId="13">'Demonstration path data'!#REF!</definedName>
    <definedName name="XO_CH4_CCCSum_TL" localSheetId="13">'Demonstration path data'!#REF!</definedName>
    <definedName name="XO_CH4_Sum_TL" localSheetId="13">'Demonstration path data'!#REF!</definedName>
    <definedName name="XO_Combustion_emissions_by_fuel_TL" localSheetId="13">'Demonstration path data'!#REF!</definedName>
    <definedName name="XO_Cons_Elec_Price_FullyVar_TL" localSheetId="13">'Demonstration path data'!#REF!</definedName>
    <definedName name="XO_Elec_Demand_Detail_TL" localSheetId="13">'Demonstration path data'!#REF!</definedName>
    <definedName name="XO_En_plus_IPPU_GHG_HIP_Split_TL" localSheetId="13">'Demonstration path data'!#REF!</definedName>
    <definedName name="XO_ETS_by_sector_TL" localSheetId="13">'Demonstration path data'!#REF!</definedName>
    <definedName name="XO_ETS_Total_by_gas_TL" localSheetId="13">'Demonstration path data'!#REF!</definedName>
    <definedName name="XO_EV_Propn_Entry_TL" localSheetId="13">'Demonstration path data'!#REF!</definedName>
    <definedName name="XO_EV_Propn_Veh_TL" localSheetId="13">'Demonstration path data'!#REF!</definedName>
    <definedName name="XO_EV_Propn_vkt_TL" localSheetId="13">'Demonstration path data'!#REF!</definedName>
    <definedName name="XO_FoodProc_InputEn_TL" localSheetId="13">'Demonstration path data'!#REF!</definedName>
    <definedName name="XO_Fuel_Dem_Coal_TL" localSheetId="13">'Demonstration path data'!#REF!</definedName>
    <definedName name="XO_Fuel_Dem_Gas_TL" localSheetId="13">'Demonstration path data'!#REF!</definedName>
    <definedName name="XO_Fuel_Dem_Oil_noBIO_TL" localSheetId="13">'Demonstration path data'!#REF!</definedName>
    <definedName name="XO_Fuel_Dem_Oil_TL" localSheetId="13">'Demonstration path data'!#REF!</definedName>
    <definedName name="XO_Fugitive_TL" localSheetId="13">'Demonstration path data'!#REF!</definedName>
    <definedName name="XO_Gas_Field_Prodn_TL" localSheetId="13">'Demonstration path data'!#REF!</definedName>
    <definedName name="XO_Gas_Price_Res_BreakdoTL" localSheetId="13">'Demonstration path data'!#REF!</definedName>
    <definedName name="XO_Gen_Emissions_Intensity_TL" localSheetId="13">'Demonstration path data'!#REF!</definedName>
    <definedName name="XO_Gen_Fuel_TWh_TL" localSheetId="13">'Demonstration path data'!#REF!</definedName>
    <definedName name="XO_Gen_TWh_TL" localSheetId="13">'Demonstration path data'!#REF!</definedName>
    <definedName name="XO_GenFuel_PJ_TL" localSheetId="13">'Demonstration path data'!#REF!</definedName>
    <definedName name="XO_GHG_EnInd_TL" localSheetId="13">'Demonstration path data'!#REF!</definedName>
    <definedName name="XO_GHG_GenFuel_TL" localSheetId="13">'Demonstration path data'!#REF!</definedName>
    <definedName name="XO_GHG_RCA_TL" localSheetId="13">'Demonstration path data'!#REF!</definedName>
    <definedName name="XO_GHG_Sum_TL" localSheetId="13">'Demonstration path data'!$D$39</definedName>
    <definedName name="XO_GHG_Tpt_Dom_TL" localSheetId="13">'Demonstration path data'!#REF!</definedName>
    <definedName name="XO_GHG_Tpt_Mode_Post_SynFuel_TL" localSheetId="13">'Demonstration path data'!#REF!</definedName>
    <definedName name="XO_GHG_Tpt_Mode_Pre_SynFuel_TL" localSheetId="13">'Demonstration path data'!#REF!</definedName>
    <definedName name="XO_IPPU_TL" localSheetId="13">'Demonstration path data'!#REF!</definedName>
    <definedName name="XO_Lnd_Output_TL" localSheetId="13">'Demonstration path data'!#REF!</definedName>
    <definedName name="XO_LndArea_Delta_TL" localSheetId="13">'Demonstration path data'!#REF!</definedName>
    <definedName name="XO_LndArea_TL" localSheetId="13">'Demonstration path data'!#REF!</definedName>
    <definedName name="XO_ManCon_GHG_En_TL" localSheetId="13">'Demonstration path data'!#REF!</definedName>
    <definedName name="XO_non_bio_gas_split_TL" localSheetId="13">'Demonstration path data'!#REF!</definedName>
    <definedName name="XO_NonCH4_CCCSum_TL" localSheetId="13">'Demonstration path data'!#REF!</definedName>
    <definedName name="XO_NonCH4_Sum_TL" localSheetId="13">'Demonstration path data'!#REF!</definedName>
    <definedName name="XO_Pgen_Type_Emissions_TL" localSheetId="13">'Demonstration path data'!#REF!</definedName>
    <definedName name="XO_PRICE_ENERGY_TL" localSheetId="13">'Demonstration path data'!#REF!</definedName>
    <definedName name="XO_RCA_Tariff_ComponenTL" localSheetId="13">'Demonstration path data'!#REF!</definedName>
    <definedName name="XO_REG_FP_ELEC_TL" localSheetId="13">'Demonstration path data'!#REF!</definedName>
    <definedName name="XO_Sector_by_gas_TL" localSheetId="13">'Demonstration path data'!$D$49</definedName>
    <definedName name="XO_StockNum_TL" localSheetId="13">'Demonstration path data'!#REF!</definedName>
    <definedName name="XO_synFuelBlendprop_TL" localSheetId="13">'Demonstration path data'!#REF!</definedName>
    <definedName name="XO_TFC_TL" localSheetId="13">'Demonstration path data'!#REF!</definedName>
    <definedName name="XO_TPES_TL" localSheetId="13">'Demonstration path data'!#REF!</definedName>
    <definedName name="XO_Tpt_Fossil_PJ_TL" localSheetId="13">'Demonstration path data'!#REF!</definedName>
    <definedName name="XO_Vkt_Mode_Fuel_TL" localSheetId="13">'Demonstration path data'!#REF!</definedName>
    <definedName name="XXX" localSheetId="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XXX"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yearended">#REF!</definedName>
    <definedName name="yearended2">#REF!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8" i="51" l="1"/>
  <c r="K58" i="51" s="1"/>
  <c r="D44" i="51"/>
  <c r="E44" i="51" s="1"/>
  <c r="F44" i="51" s="1"/>
  <c r="G44" i="51" s="1"/>
  <c r="H44" i="51" s="1"/>
  <c r="I44" i="51" s="1"/>
  <c r="K41" i="51"/>
  <c r="K40" i="51"/>
  <c r="K39" i="51"/>
  <c r="K38" i="51"/>
  <c r="K37" i="51"/>
  <c r="K36" i="51"/>
  <c r="K35" i="51"/>
  <c r="K34" i="51"/>
  <c r="D34" i="51"/>
  <c r="E34" i="51" s="1"/>
  <c r="F34" i="51" s="1"/>
  <c r="G34" i="51" s="1"/>
  <c r="H34" i="51" s="1"/>
  <c r="L54" i="51"/>
  <c r="M54" i="51" s="1"/>
  <c r="N54" i="51" s="1"/>
  <c r="O54" i="51" s="1"/>
  <c r="P54" i="51" s="1"/>
  <c r="Q54" i="51" s="1"/>
  <c r="P34" i="51" l="1"/>
  <c r="I34" i="51"/>
  <c r="Q34" i="51" s="1"/>
  <c r="O34" i="51"/>
  <c r="N34" i="51"/>
  <c r="L34" i="51"/>
  <c r="M34" i="51"/>
  <c r="D54" i="51" l="1"/>
  <c r="E54" i="51" s="1"/>
  <c r="F54" i="51" s="1"/>
  <c r="G54" i="51" s="1"/>
  <c r="H54" i="51" s="1"/>
  <c r="I54" i="51" s="1"/>
  <c r="AK71" i="1" l="1"/>
  <c r="F102" i="19"/>
  <c r="F101" i="19"/>
  <c r="R58" i="1" l="1"/>
  <c r="G108" i="15" l="1"/>
  <c r="H108" i="15"/>
  <c r="I108" i="15"/>
  <c r="J108" i="15"/>
  <c r="K108" i="15"/>
  <c r="L108" i="15"/>
  <c r="M108" i="15"/>
  <c r="N108" i="15"/>
  <c r="O108" i="15"/>
  <c r="P108" i="15"/>
  <c r="Q108" i="15"/>
  <c r="R108" i="15"/>
  <c r="S108" i="15"/>
  <c r="T108" i="15"/>
  <c r="U108" i="15"/>
  <c r="V108" i="15"/>
  <c r="W108" i="15"/>
  <c r="X108" i="15"/>
  <c r="Y108" i="15"/>
  <c r="Z108" i="15"/>
  <c r="AA108" i="15"/>
  <c r="AB108" i="15"/>
  <c r="AC108" i="15"/>
  <c r="AD108" i="15"/>
  <c r="F108" i="15"/>
  <c r="AD106" i="17"/>
  <c r="AC106" i="17"/>
  <c r="AB106" i="17"/>
  <c r="AA106" i="17"/>
  <c r="Z106" i="17"/>
  <c r="Y106" i="17"/>
  <c r="X106" i="17"/>
  <c r="W106" i="17"/>
  <c r="V106" i="17"/>
  <c r="U106" i="17"/>
  <c r="T106" i="17"/>
  <c r="S106" i="17"/>
  <c r="R106" i="17"/>
  <c r="Q106" i="17"/>
  <c r="P106" i="17"/>
  <c r="O106" i="17"/>
  <c r="N106" i="17"/>
  <c r="M106" i="17"/>
  <c r="L106" i="17"/>
  <c r="K106" i="17"/>
  <c r="J106" i="17"/>
  <c r="I106" i="17"/>
  <c r="H106" i="17"/>
  <c r="G106" i="17"/>
  <c r="F106" i="17"/>
  <c r="AD105" i="17"/>
  <c r="AC105" i="17"/>
  <c r="AB105" i="17"/>
  <c r="AA105" i="17"/>
  <c r="Z105" i="17"/>
  <c r="Y105" i="17"/>
  <c r="X105" i="17"/>
  <c r="W105" i="17"/>
  <c r="V105" i="17"/>
  <c r="U105" i="17"/>
  <c r="T105" i="17"/>
  <c r="S105" i="17"/>
  <c r="R105" i="17"/>
  <c r="Q105" i="17"/>
  <c r="P105" i="17"/>
  <c r="O105" i="17"/>
  <c r="N105" i="17"/>
  <c r="M105" i="17"/>
  <c r="L105" i="17"/>
  <c r="K105" i="17"/>
  <c r="J105" i="17"/>
  <c r="I105" i="17"/>
  <c r="H105" i="17"/>
  <c r="G105" i="17"/>
  <c r="F105" i="17"/>
  <c r="AD104" i="17"/>
  <c r="AC104" i="17"/>
  <c r="AB104" i="17"/>
  <c r="AA104" i="17"/>
  <c r="Z104" i="17"/>
  <c r="Y104" i="17"/>
  <c r="X104" i="17"/>
  <c r="W104" i="17"/>
  <c r="V104" i="17"/>
  <c r="U104" i="17"/>
  <c r="T104" i="17"/>
  <c r="S104" i="17"/>
  <c r="R104" i="17"/>
  <c r="Q104" i="17"/>
  <c r="P104" i="17"/>
  <c r="O104" i="17"/>
  <c r="N104" i="17"/>
  <c r="M104" i="17"/>
  <c r="L104" i="17"/>
  <c r="K104" i="17"/>
  <c r="J104" i="17"/>
  <c r="I104" i="17"/>
  <c r="H104" i="17"/>
  <c r="G104" i="17"/>
  <c r="F104" i="17"/>
  <c r="AD106" i="16"/>
  <c r="AC106" i="16"/>
  <c r="AB106" i="16"/>
  <c r="AA106" i="16"/>
  <c r="Z106" i="16"/>
  <c r="Y106" i="16"/>
  <c r="X106" i="16"/>
  <c r="W106" i="16"/>
  <c r="V106" i="16"/>
  <c r="U106" i="16"/>
  <c r="T106" i="16"/>
  <c r="S106" i="16"/>
  <c r="R106" i="16"/>
  <c r="Q106" i="16"/>
  <c r="P106" i="16"/>
  <c r="O106" i="16"/>
  <c r="N106" i="16"/>
  <c r="M106" i="16"/>
  <c r="L106" i="16"/>
  <c r="K106" i="16"/>
  <c r="J106" i="16"/>
  <c r="I106" i="16"/>
  <c r="H106" i="16"/>
  <c r="G106" i="16"/>
  <c r="F106" i="16"/>
  <c r="AD105" i="16"/>
  <c r="AC105" i="16"/>
  <c r="AB105" i="16"/>
  <c r="AA105" i="16"/>
  <c r="Z105" i="16"/>
  <c r="Y105" i="16"/>
  <c r="X105" i="16"/>
  <c r="W105" i="16"/>
  <c r="V105" i="16"/>
  <c r="U105" i="16"/>
  <c r="T105" i="16"/>
  <c r="S105" i="16"/>
  <c r="R105" i="16"/>
  <c r="Q105" i="16"/>
  <c r="P105" i="16"/>
  <c r="O105" i="16"/>
  <c r="N105" i="16"/>
  <c r="M105" i="16"/>
  <c r="L105" i="16"/>
  <c r="K105" i="16"/>
  <c r="J105" i="16"/>
  <c r="I105" i="16"/>
  <c r="H105" i="16"/>
  <c r="G105" i="16"/>
  <c r="F105" i="16"/>
  <c r="AD104" i="16"/>
  <c r="AC104" i="16"/>
  <c r="AB104" i="16"/>
  <c r="AA104" i="16"/>
  <c r="Z104" i="16"/>
  <c r="Y104" i="16"/>
  <c r="X104" i="16"/>
  <c r="W104" i="16"/>
  <c r="V104" i="16"/>
  <c r="U104" i="16"/>
  <c r="T104" i="16"/>
  <c r="S104" i="16"/>
  <c r="R104" i="16"/>
  <c r="Q104" i="16"/>
  <c r="P104" i="16"/>
  <c r="O104" i="16"/>
  <c r="N104" i="16"/>
  <c r="M104" i="16"/>
  <c r="L104" i="16"/>
  <c r="K104" i="16"/>
  <c r="J104" i="16"/>
  <c r="I104" i="16"/>
  <c r="H104" i="16"/>
  <c r="G104" i="16"/>
  <c r="F104" i="16"/>
  <c r="AD106" i="11"/>
  <c r="AC106" i="11"/>
  <c r="AB106" i="11"/>
  <c r="AA106" i="11"/>
  <c r="Z106" i="11"/>
  <c r="Y106" i="11"/>
  <c r="X106" i="11"/>
  <c r="W106" i="11"/>
  <c r="V106" i="11"/>
  <c r="U106" i="11"/>
  <c r="T106" i="11"/>
  <c r="S106" i="11"/>
  <c r="R106" i="11"/>
  <c r="Q106" i="11"/>
  <c r="P106" i="11"/>
  <c r="O106" i="11"/>
  <c r="N106" i="11"/>
  <c r="M106" i="11"/>
  <c r="L106" i="11"/>
  <c r="K106" i="11"/>
  <c r="J106" i="11"/>
  <c r="I106" i="11"/>
  <c r="H106" i="11"/>
  <c r="G106" i="11"/>
  <c r="F106" i="11"/>
  <c r="AD105" i="11"/>
  <c r="AC105" i="11"/>
  <c r="AB105" i="11"/>
  <c r="AA105" i="11"/>
  <c r="Z105" i="11"/>
  <c r="Y105" i="11"/>
  <c r="X105" i="11"/>
  <c r="W105" i="11"/>
  <c r="V105" i="11"/>
  <c r="U105" i="11"/>
  <c r="T105" i="11"/>
  <c r="S105" i="11"/>
  <c r="R105" i="11"/>
  <c r="Q105" i="11"/>
  <c r="P105" i="11"/>
  <c r="O105" i="11"/>
  <c r="N105" i="11"/>
  <c r="M105" i="11"/>
  <c r="L105" i="11"/>
  <c r="K105" i="11"/>
  <c r="J105" i="11"/>
  <c r="I105" i="11"/>
  <c r="H105" i="11"/>
  <c r="G105" i="11"/>
  <c r="F105" i="11"/>
  <c r="AD104" i="11"/>
  <c r="AC104" i="11"/>
  <c r="AB104" i="11"/>
  <c r="AA104" i="11"/>
  <c r="Z104" i="11"/>
  <c r="Y104" i="11"/>
  <c r="X104" i="11"/>
  <c r="W104" i="11"/>
  <c r="V104" i="11"/>
  <c r="U104" i="11"/>
  <c r="T104" i="11"/>
  <c r="S104" i="11"/>
  <c r="R104" i="11"/>
  <c r="Q104" i="11"/>
  <c r="P104" i="11"/>
  <c r="O104" i="11"/>
  <c r="N104" i="11"/>
  <c r="M104" i="11"/>
  <c r="L104" i="11"/>
  <c r="K104" i="11"/>
  <c r="J104" i="11"/>
  <c r="I104" i="11"/>
  <c r="H104" i="11"/>
  <c r="G104" i="11"/>
  <c r="F104" i="11"/>
  <c r="AD106" i="15"/>
  <c r="AC106" i="15"/>
  <c r="AB106" i="15"/>
  <c r="AA106" i="15"/>
  <c r="Z106" i="15"/>
  <c r="Y106" i="15"/>
  <c r="X106" i="15"/>
  <c r="W106" i="15"/>
  <c r="V106" i="15"/>
  <c r="U106" i="15"/>
  <c r="T106" i="15"/>
  <c r="S106" i="15"/>
  <c r="R106" i="15"/>
  <c r="Q106" i="15"/>
  <c r="P106" i="15"/>
  <c r="O106" i="15"/>
  <c r="N106" i="15"/>
  <c r="M106" i="15"/>
  <c r="L106" i="15"/>
  <c r="K106" i="15"/>
  <c r="J106" i="15"/>
  <c r="I106" i="15"/>
  <c r="H106" i="15"/>
  <c r="G106" i="15"/>
  <c r="F106" i="15"/>
  <c r="AD105" i="15"/>
  <c r="AC105" i="15"/>
  <c r="AB105" i="15"/>
  <c r="AA105" i="15"/>
  <c r="Z105" i="15"/>
  <c r="Y105" i="15"/>
  <c r="X105" i="15"/>
  <c r="W105" i="15"/>
  <c r="V105" i="15"/>
  <c r="U105" i="15"/>
  <c r="T105" i="15"/>
  <c r="S105" i="15"/>
  <c r="R105" i="15"/>
  <c r="Q105" i="15"/>
  <c r="P105" i="15"/>
  <c r="O105" i="15"/>
  <c r="N105" i="15"/>
  <c r="M105" i="15"/>
  <c r="L105" i="15"/>
  <c r="K105" i="15"/>
  <c r="J105" i="15"/>
  <c r="I105" i="15"/>
  <c r="H105" i="15"/>
  <c r="G105" i="15"/>
  <c r="F105" i="15"/>
  <c r="AD104" i="15"/>
  <c r="AC104" i="15"/>
  <c r="AB104" i="15"/>
  <c r="AA104" i="15"/>
  <c r="Z104" i="15"/>
  <c r="Y104" i="15"/>
  <c r="X104" i="15"/>
  <c r="W104" i="15"/>
  <c r="V104" i="15"/>
  <c r="U104" i="15"/>
  <c r="T104" i="15"/>
  <c r="S104" i="15"/>
  <c r="R104" i="15"/>
  <c r="Q104" i="15"/>
  <c r="P104" i="15"/>
  <c r="O104" i="15"/>
  <c r="N104" i="15"/>
  <c r="M104" i="15"/>
  <c r="L104" i="15"/>
  <c r="K104" i="15"/>
  <c r="J104" i="15"/>
  <c r="I104" i="15"/>
  <c r="H104" i="15"/>
  <c r="G104" i="15"/>
  <c r="F104" i="15"/>
  <c r="AD106" i="14"/>
  <c r="AC106" i="14"/>
  <c r="AB106" i="14"/>
  <c r="AA106" i="14"/>
  <c r="Z106" i="14"/>
  <c r="Y106" i="14"/>
  <c r="X106" i="14"/>
  <c r="W106" i="14"/>
  <c r="V106" i="14"/>
  <c r="U106" i="14"/>
  <c r="T106" i="14"/>
  <c r="S106" i="14"/>
  <c r="R106" i="14"/>
  <c r="Q106" i="14"/>
  <c r="P106" i="14"/>
  <c r="O106" i="14"/>
  <c r="N106" i="14"/>
  <c r="M106" i="14"/>
  <c r="L106" i="14"/>
  <c r="K106" i="14"/>
  <c r="J106" i="14"/>
  <c r="I106" i="14"/>
  <c r="H106" i="14"/>
  <c r="G106" i="14"/>
  <c r="F106" i="14"/>
  <c r="AD105" i="14"/>
  <c r="AC105" i="14"/>
  <c r="AB105" i="14"/>
  <c r="AA105" i="14"/>
  <c r="Z105" i="14"/>
  <c r="Y105" i="14"/>
  <c r="X105" i="14"/>
  <c r="W105" i="14"/>
  <c r="V105" i="14"/>
  <c r="U105" i="14"/>
  <c r="T105" i="14"/>
  <c r="S105" i="14"/>
  <c r="R105" i="14"/>
  <c r="Q105" i="14"/>
  <c r="P105" i="14"/>
  <c r="O105" i="14"/>
  <c r="N105" i="14"/>
  <c r="M105" i="14"/>
  <c r="L105" i="14"/>
  <c r="K105" i="14"/>
  <c r="J105" i="14"/>
  <c r="I105" i="14"/>
  <c r="H105" i="14"/>
  <c r="G105" i="14"/>
  <c r="F105" i="14"/>
  <c r="AD104" i="14"/>
  <c r="AC104" i="14"/>
  <c r="AB104" i="14"/>
  <c r="AA104" i="14"/>
  <c r="Z104" i="14"/>
  <c r="Y104" i="14"/>
  <c r="X104" i="14"/>
  <c r="W104" i="14"/>
  <c r="V104" i="14"/>
  <c r="U104" i="14"/>
  <c r="T104" i="14"/>
  <c r="S104" i="14"/>
  <c r="R104" i="14"/>
  <c r="Q104" i="14"/>
  <c r="P104" i="14"/>
  <c r="O104" i="14"/>
  <c r="N104" i="14"/>
  <c r="M104" i="14"/>
  <c r="L104" i="14"/>
  <c r="K104" i="14"/>
  <c r="J104" i="14"/>
  <c r="I104" i="14"/>
  <c r="H104" i="14"/>
  <c r="G104" i="14"/>
  <c r="F104" i="14"/>
  <c r="AD106" i="13"/>
  <c r="AC106" i="13"/>
  <c r="AB106" i="13"/>
  <c r="AA106" i="13"/>
  <c r="Z106" i="13"/>
  <c r="Y106" i="13"/>
  <c r="X106" i="13"/>
  <c r="W106" i="13"/>
  <c r="V106" i="13"/>
  <c r="U106" i="13"/>
  <c r="T106" i="13"/>
  <c r="S106" i="13"/>
  <c r="R106" i="13"/>
  <c r="Q106" i="13"/>
  <c r="P106" i="13"/>
  <c r="O106" i="13"/>
  <c r="N106" i="13"/>
  <c r="M106" i="13"/>
  <c r="L106" i="13"/>
  <c r="K106" i="13"/>
  <c r="J106" i="13"/>
  <c r="I106" i="13"/>
  <c r="H106" i="13"/>
  <c r="G106" i="13"/>
  <c r="F106" i="13"/>
  <c r="AD105" i="13"/>
  <c r="AC105" i="13"/>
  <c r="AB105" i="13"/>
  <c r="AA105" i="13"/>
  <c r="Z105" i="13"/>
  <c r="Y105" i="13"/>
  <c r="X105" i="13"/>
  <c r="W105" i="13"/>
  <c r="V105" i="13"/>
  <c r="U105" i="13"/>
  <c r="T105" i="13"/>
  <c r="S105" i="13"/>
  <c r="R105" i="13"/>
  <c r="Q105" i="13"/>
  <c r="P105" i="13"/>
  <c r="O105" i="13"/>
  <c r="N105" i="13"/>
  <c r="M105" i="13"/>
  <c r="L105" i="13"/>
  <c r="K105" i="13"/>
  <c r="J105" i="13"/>
  <c r="I105" i="13"/>
  <c r="H105" i="13"/>
  <c r="G105" i="13"/>
  <c r="F105" i="13"/>
  <c r="AD104" i="13"/>
  <c r="AC104" i="13"/>
  <c r="AB104" i="13"/>
  <c r="AA104" i="13"/>
  <c r="Z104" i="13"/>
  <c r="Y104" i="13"/>
  <c r="X104" i="13"/>
  <c r="W104" i="13"/>
  <c r="V104" i="13"/>
  <c r="U104" i="13"/>
  <c r="T104" i="13"/>
  <c r="S104" i="13"/>
  <c r="R104" i="13"/>
  <c r="Q104" i="13"/>
  <c r="P104" i="13"/>
  <c r="O104" i="13"/>
  <c r="N104" i="13"/>
  <c r="M104" i="13"/>
  <c r="L104" i="13"/>
  <c r="K104" i="13"/>
  <c r="J104" i="13"/>
  <c r="I104" i="13"/>
  <c r="H104" i="13"/>
  <c r="G104" i="13"/>
  <c r="F104" i="13"/>
  <c r="AD106" i="12"/>
  <c r="AC106" i="12"/>
  <c r="AB106" i="12"/>
  <c r="AA106" i="12"/>
  <c r="Z106" i="12"/>
  <c r="Y106" i="12"/>
  <c r="X106" i="12"/>
  <c r="W106" i="12"/>
  <c r="V106" i="12"/>
  <c r="U106" i="12"/>
  <c r="T106" i="12"/>
  <c r="S106" i="12"/>
  <c r="R106" i="12"/>
  <c r="Q106" i="12"/>
  <c r="P106" i="12"/>
  <c r="O106" i="12"/>
  <c r="N106" i="12"/>
  <c r="M106" i="12"/>
  <c r="L106" i="12"/>
  <c r="K106" i="12"/>
  <c r="J106" i="12"/>
  <c r="I106" i="12"/>
  <c r="H106" i="12"/>
  <c r="G106" i="12"/>
  <c r="F106" i="12"/>
  <c r="AD105" i="12"/>
  <c r="AC105" i="12"/>
  <c r="AB105" i="12"/>
  <c r="AA105" i="12"/>
  <c r="Z105" i="12"/>
  <c r="Y105" i="12"/>
  <c r="X105" i="12"/>
  <c r="W105" i="12"/>
  <c r="V105" i="12"/>
  <c r="U105" i="12"/>
  <c r="T105" i="12"/>
  <c r="S105" i="12"/>
  <c r="R105" i="12"/>
  <c r="Q105" i="12"/>
  <c r="P105" i="12"/>
  <c r="O105" i="12"/>
  <c r="N105" i="12"/>
  <c r="M105" i="12"/>
  <c r="L105" i="12"/>
  <c r="K105" i="12"/>
  <c r="J105" i="12"/>
  <c r="I105" i="12"/>
  <c r="H105" i="12"/>
  <c r="G105" i="12"/>
  <c r="F105" i="12"/>
  <c r="AD104" i="12"/>
  <c r="AC104" i="12"/>
  <c r="AB104" i="12"/>
  <c r="AA104" i="12"/>
  <c r="Z104" i="12"/>
  <c r="Y104" i="12"/>
  <c r="X104" i="12"/>
  <c r="W104" i="12"/>
  <c r="V104" i="12"/>
  <c r="U104" i="12"/>
  <c r="T104" i="12"/>
  <c r="S104" i="12"/>
  <c r="R104" i="12"/>
  <c r="Q104" i="12"/>
  <c r="P104" i="12"/>
  <c r="O104" i="12"/>
  <c r="N104" i="12"/>
  <c r="M104" i="12"/>
  <c r="L104" i="12"/>
  <c r="K104" i="12"/>
  <c r="J104" i="12"/>
  <c r="I104" i="12"/>
  <c r="H104" i="12"/>
  <c r="G104" i="12"/>
  <c r="F104" i="12"/>
  <c r="AD106" i="6"/>
  <c r="AC106" i="6"/>
  <c r="AB106" i="6"/>
  <c r="AA106" i="6"/>
  <c r="Z106" i="6"/>
  <c r="Y106" i="6"/>
  <c r="X106" i="6"/>
  <c r="W106" i="6"/>
  <c r="V106" i="6"/>
  <c r="U106" i="6"/>
  <c r="T106" i="6"/>
  <c r="S106" i="6"/>
  <c r="R106" i="6"/>
  <c r="Q106" i="6"/>
  <c r="P106" i="6"/>
  <c r="O106" i="6"/>
  <c r="N106" i="6"/>
  <c r="M106" i="6"/>
  <c r="L106" i="6"/>
  <c r="K106" i="6"/>
  <c r="J106" i="6"/>
  <c r="I106" i="6"/>
  <c r="H106" i="6"/>
  <c r="G106" i="6"/>
  <c r="F106" i="6"/>
  <c r="AD105" i="6"/>
  <c r="AC105" i="6"/>
  <c r="AB105" i="6"/>
  <c r="AA105" i="6"/>
  <c r="Z105" i="6"/>
  <c r="Y105" i="6"/>
  <c r="X105" i="6"/>
  <c r="W105" i="6"/>
  <c r="V105" i="6"/>
  <c r="U105" i="6"/>
  <c r="T105" i="6"/>
  <c r="S105" i="6"/>
  <c r="R105" i="6"/>
  <c r="Q105" i="6"/>
  <c r="P105" i="6"/>
  <c r="O105" i="6"/>
  <c r="N105" i="6"/>
  <c r="M105" i="6"/>
  <c r="L105" i="6"/>
  <c r="K105" i="6"/>
  <c r="J105" i="6"/>
  <c r="I105" i="6"/>
  <c r="H105" i="6"/>
  <c r="G105" i="6"/>
  <c r="F105" i="6"/>
  <c r="AD104" i="6"/>
  <c r="AC104" i="6"/>
  <c r="AB104" i="6"/>
  <c r="AA104" i="6"/>
  <c r="Z104" i="6"/>
  <c r="Y104" i="6"/>
  <c r="X104" i="6"/>
  <c r="W104" i="6"/>
  <c r="V104" i="6"/>
  <c r="U104" i="6"/>
  <c r="T104" i="6"/>
  <c r="S104" i="6"/>
  <c r="R104" i="6"/>
  <c r="Q104" i="6"/>
  <c r="P104" i="6"/>
  <c r="O104" i="6"/>
  <c r="N104" i="6"/>
  <c r="M104" i="6"/>
  <c r="L104" i="6"/>
  <c r="K104" i="6"/>
  <c r="J104" i="6"/>
  <c r="I104" i="6"/>
  <c r="H104" i="6"/>
  <c r="G104" i="6"/>
  <c r="F104" i="6"/>
  <c r="AD106" i="4"/>
  <c r="AC106" i="4"/>
  <c r="AB106" i="4"/>
  <c r="AA106" i="4"/>
  <c r="Z106" i="4"/>
  <c r="Y106" i="4"/>
  <c r="X106" i="4"/>
  <c r="W106" i="4"/>
  <c r="V106" i="4"/>
  <c r="U106" i="4"/>
  <c r="T106" i="4"/>
  <c r="S106" i="4"/>
  <c r="R106" i="4"/>
  <c r="Q106" i="4"/>
  <c r="P106" i="4"/>
  <c r="O106" i="4"/>
  <c r="N106" i="4"/>
  <c r="M106" i="4"/>
  <c r="L106" i="4"/>
  <c r="K106" i="4"/>
  <c r="J106" i="4"/>
  <c r="I106" i="4"/>
  <c r="H106" i="4"/>
  <c r="G106" i="4"/>
  <c r="F106" i="4"/>
  <c r="AD105" i="4"/>
  <c r="AC105" i="4"/>
  <c r="AB105" i="4"/>
  <c r="AA105" i="4"/>
  <c r="Z105" i="4"/>
  <c r="Y105" i="4"/>
  <c r="X105" i="4"/>
  <c r="W105" i="4"/>
  <c r="V105" i="4"/>
  <c r="U105" i="4"/>
  <c r="T105" i="4"/>
  <c r="S105" i="4"/>
  <c r="R105" i="4"/>
  <c r="Q105" i="4"/>
  <c r="P105" i="4"/>
  <c r="O105" i="4"/>
  <c r="N105" i="4"/>
  <c r="M105" i="4"/>
  <c r="L105" i="4"/>
  <c r="K105" i="4"/>
  <c r="J105" i="4"/>
  <c r="I105" i="4"/>
  <c r="H105" i="4"/>
  <c r="G105" i="4"/>
  <c r="F105" i="4"/>
  <c r="AD104" i="4"/>
  <c r="AC104" i="4"/>
  <c r="AB104" i="4"/>
  <c r="AA104" i="4"/>
  <c r="Z104" i="4"/>
  <c r="Y104" i="4"/>
  <c r="X104" i="4"/>
  <c r="W104" i="4"/>
  <c r="V104" i="4"/>
  <c r="U104" i="4"/>
  <c r="T104" i="4"/>
  <c r="S104" i="4"/>
  <c r="R104" i="4"/>
  <c r="Q104" i="4"/>
  <c r="P104" i="4"/>
  <c r="O104" i="4"/>
  <c r="N104" i="4"/>
  <c r="M104" i="4"/>
  <c r="L104" i="4"/>
  <c r="K104" i="4"/>
  <c r="J104" i="4"/>
  <c r="I104" i="4"/>
  <c r="H104" i="4"/>
  <c r="G104" i="4"/>
  <c r="F104" i="4"/>
  <c r="AD106" i="9"/>
  <c r="AC106" i="9"/>
  <c r="AB106" i="9"/>
  <c r="AA106" i="9"/>
  <c r="Z106" i="9"/>
  <c r="Y106" i="9"/>
  <c r="X106" i="9"/>
  <c r="W106" i="9"/>
  <c r="V106" i="9"/>
  <c r="U106" i="9"/>
  <c r="T106" i="9"/>
  <c r="S106" i="9"/>
  <c r="R106" i="9"/>
  <c r="Q106" i="9"/>
  <c r="P106" i="9"/>
  <c r="O106" i="9"/>
  <c r="N106" i="9"/>
  <c r="M106" i="9"/>
  <c r="L106" i="9"/>
  <c r="K106" i="9"/>
  <c r="J106" i="9"/>
  <c r="I106" i="9"/>
  <c r="H106" i="9"/>
  <c r="G106" i="9"/>
  <c r="F106" i="9"/>
  <c r="AD105" i="9"/>
  <c r="AC105" i="9"/>
  <c r="AB105" i="9"/>
  <c r="AA105" i="9"/>
  <c r="Z105" i="9"/>
  <c r="Y105" i="9"/>
  <c r="X105" i="9"/>
  <c r="W105" i="9"/>
  <c r="V105" i="9"/>
  <c r="U105" i="9"/>
  <c r="T105" i="9"/>
  <c r="S105" i="9"/>
  <c r="R105" i="9"/>
  <c r="Q105" i="9"/>
  <c r="P105" i="9"/>
  <c r="O105" i="9"/>
  <c r="N105" i="9"/>
  <c r="M105" i="9"/>
  <c r="L105" i="9"/>
  <c r="K105" i="9"/>
  <c r="J105" i="9"/>
  <c r="I105" i="9"/>
  <c r="H105" i="9"/>
  <c r="G105" i="9"/>
  <c r="F105" i="9"/>
  <c r="AD104" i="9"/>
  <c r="AC104" i="9"/>
  <c r="AB104" i="9"/>
  <c r="AA104" i="9"/>
  <c r="Z104" i="9"/>
  <c r="Y104" i="9"/>
  <c r="X104" i="9"/>
  <c r="W104" i="9"/>
  <c r="V104" i="9"/>
  <c r="U104" i="9"/>
  <c r="T104" i="9"/>
  <c r="S104" i="9"/>
  <c r="R104" i="9"/>
  <c r="Q104" i="9"/>
  <c r="P104" i="9"/>
  <c r="O104" i="9"/>
  <c r="N104" i="9"/>
  <c r="M104" i="9"/>
  <c r="L104" i="9"/>
  <c r="K104" i="9"/>
  <c r="J104" i="9"/>
  <c r="I104" i="9"/>
  <c r="H104" i="9"/>
  <c r="G104" i="9"/>
  <c r="F104" i="9"/>
  <c r="AD106" i="7"/>
  <c r="AC106" i="7"/>
  <c r="AB106" i="7"/>
  <c r="AA106" i="7"/>
  <c r="Z106" i="7"/>
  <c r="Y106" i="7"/>
  <c r="X106" i="7"/>
  <c r="W106" i="7"/>
  <c r="V106" i="7"/>
  <c r="U106" i="7"/>
  <c r="T106" i="7"/>
  <c r="S106" i="7"/>
  <c r="R106" i="7"/>
  <c r="Q106" i="7"/>
  <c r="P106" i="7"/>
  <c r="O106" i="7"/>
  <c r="N106" i="7"/>
  <c r="M106" i="7"/>
  <c r="L106" i="7"/>
  <c r="K106" i="7"/>
  <c r="J106" i="7"/>
  <c r="I106" i="7"/>
  <c r="H106" i="7"/>
  <c r="G106" i="7"/>
  <c r="F106" i="7"/>
  <c r="AD105" i="7"/>
  <c r="AC105" i="7"/>
  <c r="AB105" i="7"/>
  <c r="AA105" i="7"/>
  <c r="Z105" i="7"/>
  <c r="Y105" i="7"/>
  <c r="X105" i="7"/>
  <c r="W105" i="7"/>
  <c r="V105" i="7"/>
  <c r="U105" i="7"/>
  <c r="T105" i="7"/>
  <c r="S105" i="7"/>
  <c r="R105" i="7"/>
  <c r="Q105" i="7"/>
  <c r="P105" i="7"/>
  <c r="O105" i="7"/>
  <c r="N105" i="7"/>
  <c r="M105" i="7"/>
  <c r="L105" i="7"/>
  <c r="K105" i="7"/>
  <c r="J105" i="7"/>
  <c r="I105" i="7"/>
  <c r="H105" i="7"/>
  <c r="G105" i="7"/>
  <c r="F105" i="7"/>
  <c r="AD104" i="7"/>
  <c r="AC104" i="7"/>
  <c r="AB104" i="7"/>
  <c r="AA104" i="7"/>
  <c r="Z104" i="7"/>
  <c r="Y104" i="7"/>
  <c r="X104" i="7"/>
  <c r="W104" i="7"/>
  <c r="V104" i="7"/>
  <c r="U104" i="7"/>
  <c r="T104" i="7"/>
  <c r="S104" i="7"/>
  <c r="R104" i="7"/>
  <c r="Q104" i="7"/>
  <c r="P104" i="7"/>
  <c r="O104" i="7"/>
  <c r="N104" i="7"/>
  <c r="M104" i="7"/>
  <c r="L104" i="7"/>
  <c r="K104" i="7"/>
  <c r="J104" i="7"/>
  <c r="I104" i="7"/>
  <c r="H104" i="7"/>
  <c r="G104" i="7"/>
  <c r="F104" i="7"/>
  <c r="AD106" i="8"/>
  <c r="AC106" i="8"/>
  <c r="AB106" i="8"/>
  <c r="AA106" i="8"/>
  <c r="Z106" i="8"/>
  <c r="Y106" i="8"/>
  <c r="X106" i="8"/>
  <c r="W106" i="8"/>
  <c r="V106" i="8"/>
  <c r="U106" i="8"/>
  <c r="T106" i="8"/>
  <c r="S106" i="8"/>
  <c r="R106" i="8"/>
  <c r="Q106" i="8"/>
  <c r="P106" i="8"/>
  <c r="O106" i="8"/>
  <c r="N106" i="8"/>
  <c r="M106" i="8"/>
  <c r="L106" i="8"/>
  <c r="K106" i="8"/>
  <c r="J106" i="8"/>
  <c r="I106" i="8"/>
  <c r="H106" i="8"/>
  <c r="G106" i="8"/>
  <c r="F106" i="8"/>
  <c r="AD105" i="8"/>
  <c r="AC105" i="8"/>
  <c r="AB105" i="8"/>
  <c r="AA105" i="8"/>
  <c r="Z105" i="8"/>
  <c r="Y105" i="8"/>
  <c r="X105" i="8"/>
  <c r="W105" i="8"/>
  <c r="V105" i="8"/>
  <c r="U105" i="8"/>
  <c r="T105" i="8"/>
  <c r="S105" i="8"/>
  <c r="R105" i="8"/>
  <c r="Q105" i="8"/>
  <c r="P105" i="8"/>
  <c r="O105" i="8"/>
  <c r="N105" i="8"/>
  <c r="M105" i="8"/>
  <c r="L105" i="8"/>
  <c r="K105" i="8"/>
  <c r="J105" i="8"/>
  <c r="I105" i="8"/>
  <c r="H105" i="8"/>
  <c r="G105" i="8"/>
  <c r="F105" i="8"/>
  <c r="AD104" i="8"/>
  <c r="AC104" i="8"/>
  <c r="AB104" i="8"/>
  <c r="AA104" i="8"/>
  <c r="Z104" i="8"/>
  <c r="Y104" i="8"/>
  <c r="X104" i="8"/>
  <c r="W104" i="8"/>
  <c r="V104" i="8"/>
  <c r="U104" i="8"/>
  <c r="T104" i="8"/>
  <c r="S104" i="8"/>
  <c r="R104" i="8"/>
  <c r="Q104" i="8"/>
  <c r="P104" i="8"/>
  <c r="O104" i="8"/>
  <c r="N104" i="8"/>
  <c r="M104" i="8"/>
  <c r="L104" i="8"/>
  <c r="K104" i="8"/>
  <c r="J104" i="8"/>
  <c r="I104" i="8"/>
  <c r="H104" i="8"/>
  <c r="G104" i="8"/>
  <c r="F104" i="8"/>
  <c r="AD106" i="10"/>
  <c r="AC106" i="10"/>
  <c r="AB106" i="10"/>
  <c r="AA106" i="10"/>
  <c r="Z106" i="10"/>
  <c r="Y106" i="10"/>
  <c r="X106" i="10"/>
  <c r="W106" i="10"/>
  <c r="V106" i="10"/>
  <c r="U106" i="10"/>
  <c r="T106" i="10"/>
  <c r="S106" i="10"/>
  <c r="R106" i="10"/>
  <c r="Q106" i="10"/>
  <c r="P106" i="10"/>
  <c r="O106" i="10"/>
  <c r="N106" i="10"/>
  <c r="M106" i="10"/>
  <c r="L106" i="10"/>
  <c r="K106" i="10"/>
  <c r="J106" i="10"/>
  <c r="I106" i="10"/>
  <c r="H106" i="10"/>
  <c r="G106" i="10"/>
  <c r="F106" i="10"/>
  <c r="AD105" i="10"/>
  <c r="AC105" i="10"/>
  <c r="AB105" i="10"/>
  <c r="AA105" i="10"/>
  <c r="Z105" i="10"/>
  <c r="Y105" i="10"/>
  <c r="X105" i="10"/>
  <c r="W105" i="10"/>
  <c r="V105" i="10"/>
  <c r="U105" i="10"/>
  <c r="T105" i="10"/>
  <c r="S105" i="10"/>
  <c r="R105" i="10"/>
  <c r="Q105" i="10"/>
  <c r="P105" i="10"/>
  <c r="O105" i="10"/>
  <c r="N105" i="10"/>
  <c r="M105" i="10"/>
  <c r="L105" i="10"/>
  <c r="K105" i="10"/>
  <c r="J105" i="10"/>
  <c r="I105" i="10"/>
  <c r="H105" i="10"/>
  <c r="G105" i="10"/>
  <c r="F105" i="10"/>
  <c r="AD104" i="10"/>
  <c r="AC104" i="10"/>
  <c r="AB104" i="10"/>
  <c r="AA104" i="10"/>
  <c r="Z104" i="10"/>
  <c r="Y104" i="10"/>
  <c r="X104" i="10"/>
  <c r="W104" i="10"/>
  <c r="V104" i="10"/>
  <c r="U104" i="10"/>
  <c r="T104" i="10"/>
  <c r="S104" i="10"/>
  <c r="R104" i="10"/>
  <c r="Q104" i="10"/>
  <c r="P104" i="10"/>
  <c r="O104" i="10"/>
  <c r="N104" i="10"/>
  <c r="M104" i="10"/>
  <c r="L104" i="10"/>
  <c r="K104" i="10"/>
  <c r="J104" i="10"/>
  <c r="I104" i="10"/>
  <c r="H104" i="10"/>
  <c r="G104" i="10"/>
  <c r="F104" i="10"/>
  <c r="G104" i="5"/>
  <c r="H104" i="5"/>
  <c r="I104" i="5"/>
  <c r="J104" i="5"/>
  <c r="K104" i="5"/>
  <c r="L104" i="5"/>
  <c r="M104" i="5"/>
  <c r="N104" i="5"/>
  <c r="O104" i="5"/>
  <c r="P104" i="5"/>
  <c r="Q104" i="5"/>
  <c r="R104" i="5"/>
  <c r="S104" i="5"/>
  <c r="T104" i="5"/>
  <c r="U104" i="5"/>
  <c r="V104" i="5"/>
  <c r="W104" i="5"/>
  <c r="X104" i="5"/>
  <c r="Y104" i="5"/>
  <c r="Z104" i="5"/>
  <c r="AA104" i="5"/>
  <c r="AB104" i="5"/>
  <c r="AC104" i="5"/>
  <c r="AD104" i="5"/>
  <c r="G105" i="5"/>
  <c r="H105" i="5"/>
  <c r="I105" i="5"/>
  <c r="J105" i="5"/>
  <c r="K105" i="5"/>
  <c r="L105" i="5"/>
  <c r="M105" i="5"/>
  <c r="N105" i="5"/>
  <c r="O105" i="5"/>
  <c r="P105" i="5"/>
  <c r="Q105" i="5"/>
  <c r="R105" i="5"/>
  <c r="S105" i="5"/>
  <c r="T105" i="5"/>
  <c r="U105" i="5"/>
  <c r="V105" i="5"/>
  <c r="W105" i="5"/>
  <c r="X105" i="5"/>
  <c r="Y105" i="5"/>
  <c r="Z105" i="5"/>
  <c r="AA105" i="5"/>
  <c r="AB105" i="5"/>
  <c r="AC105" i="5"/>
  <c r="AD105" i="5"/>
  <c r="G106" i="5"/>
  <c r="H106" i="5"/>
  <c r="I106" i="5"/>
  <c r="J106" i="5"/>
  <c r="K106" i="5"/>
  <c r="L106" i="5"/>
  <c r="M106" i="5"/>
  <c r="N106" i="5"/>
  <c r="O106" i="5"/>
  <c r="P106" i="5"/>
  <c r="Q106" i="5"/>
  <c r="R106" i="5"/>
  <c r="S106" i="5"/>
  <c r="T106" i="5"/>
  <c r="U106" i="5"/>
  <c r="V106" i="5"/>
  <c r="W106" i="5"/>
  <c r="X106" i="5"/>
  <c r="Y106" i="5"/>
  <c r="Z106" i="5"/>
  <c r="AA106" i="5"/>
  <c r="AB106" i="5"/>
  <c r="AC106" i="5"/>
  <c r="AD106" i="5"/>
  <c r="F106" i="5"/>
  <c r="F105" i="5"/>
  <c r="F104" i="5"/>
  <c r="K100" i="9"/>
  <c r="S101" i="19" l="1"/>
  <c r="T101" i="19"/>
  <c r="U101" i="19"/>
  <c r="V101" i="19"/>
  <c r="W101" i="19"/>
  <c r="X101" i="19"/>
  <c r="Y101" i="19"/>
  <c r="Z101" i="19"/>
  <c r="AA101" i="19"/>
  <c r="AB101" i="19"/>
  <c r="AC101" i="19"/>
  <c r="AD101" i="19"/>
  <c r="S102" i="19"/>
  <c r="T102" i="19"/>
  <c r="U102" i="19"/>
  <c r="V102" i="19"/>
  <c r="W102" i="19"/>
  <c r="X102" i="19"/>
  <c r="Y102" i="19"/>
  <c r="Z102" i="19"/>
  <c r="AA102" i="19"/>
  <c r="AB102" i="19"/>
  <c r="AC102" i="19"/>
  <c r="AD102" i="19"/>
  <c r="S103" i="19"/>
  <c r="T103" i="19"/>
  <c r="U103" i="19"/>
  <c r="V103" i="19"/>
  <c r="W103" i="19"/>
  <c r="X103" i="19"/>
  <c r="Y103" i="19"/>
  <c r="Z103" i="19"/>
  <c r="AA103" i="19"/>
  <c r="AB103" i="19"/>
  <c r="AC103" i="19"/>
  <c r="AD103" i="19"/>
  <c r="G101" i="19"/>
  <c r="H101" i="19"/>
  <c r="I101" i="19"/>
  <c r="J101" i="19"/>
  <c r="K101" i="19"/>
  <c r="L101" i="19"/>
  <c r="M101" i="19"/>
  <c r="N101" i="19"/>
  <c r="O101" i="19"/>
  <c r="P101" i="19"/>
  <c r="Q101" i="19"/>
  <c r="R101" i="19"/>
  <c r="G102" i="19"/>
  <c r="H102" i="19"/>
  <c r="I102" i="19"/>
  <c r="J102" i="19"/>
  <c r="K102" i="19"/>
  <c r="L102" i="19"/>
  <c r="M102" i="19"/>
  <c r="N102" i="19"/>
  <c r="O102" i="19"/>
  <c r="P102" i="19"/>
  <c r="Q102" i="19"/>
  <c r="R102" i="19"/>
  <c r="G103" i="19"/>
  <c r="H103" i="19"/>
  <c r="I103" i="19"/>
  <c r="J103" i="19"/>
  <c r="K103" i="19"/>
  <c r="L103" i="19"/>
  <c r="M103" i="19"/>
  <c r="N103" i="19"/>
  <c r="O103" i="19"/>
  <c r="P103" i="19"/>
  <c r="Q103" i="19"/>
  <c r="R103" i="19"/>
  <c r="F103" i="19"/>
  <c r="BP264" i="26" l="1"/>
  <c r="C89" i="51" l="1"/>
  <c r="C87" i="51"/>
  <c r="C12" i="51" l="1"/>
  <c r="C13" i="51"/>
  <c r="M58" i="1"/>
  <c r="N58" i="1"/>
  <c r="O58" i="1"/>
  <c r="M16" i="1"/>
  <c r="K15" i="1"/>
  <c r="H12" i="1"/>
  <c r="G4" i="1"/>
  <c r="G10" i="1"/>
  <c r="J17" i="1"/>
  <c r="F8" i="1"/>
  <c r="O9" i="1"/>
  <c r="H18" i="1"/>
  <c r="J16" i="1"/>
  <c r="K9" i="1"/>
  <c r="I13" i="1"/>
  <c r="J4" i="1"/>
  <c r="J15" i="1"/>
  <c r="H7" i="1"/>
  <c r="O17" i="1"/>
  <c r="O5" i="1"/>
  <c r="N7" i="1"/>
  <c r="I4" i="1"/>
  <c r="G20" i="1"/>
  <c r="N4" i="1"/>
  <c r="K20" i="1"/>
  <c r="M20" i="1"/>
  <c r="I11" i="1"/>
  <c r="F18" i="1"/>
  <c r="I16" i="1"/>
  <c r="H5" i="1"/>
  <c r="G5" i="1"/>
  <c r="F4" i="1"/>
  <c r="K16" i="1"/>
  <c r="P57" i="1"/>
  <c r="N11" i="1"/>
  <c r="L7" i="1"/>
  <c r="O12" i="1"/>
  <c r="F17" i="1"/>
  <c r="L16" i="1"/>
  <c r="J11" i="1"/>
  <c r="G8" i="1"/>
  <c r="N20" i="1"/>
  <c r="O19" i="1"/>
  <c r="L14" i="1"/>
  <c r="P55" i="1"/>
  <c r="O7" i="1"/>
  <c r="F12" i="1"/>
  <c r="I19" i="1"/>
  <c r="M19" i="1"/>
  <c r="O4" i="1"/>
  <c r="G12" i="1"/>
  <c r="H20" i="1"/>
  <c r="G6" i="1"/>
  <c r="K19" i="1"/>
  <c r="L12" i="1"/>
  <c r="I15" i="1"/>
  <c r="F9" i="1"/>
  <c r="I8" i="1"/>
  <c r="J8" i="1"/>
  <c r="M21" i="1"/>
  <c r="H17" i="1"/>
  <c r="L9" i="1"/>
  <c r="M13" i="1"/>
  <c r="N18" i="1"/>
  <c r="J10" i="1"/>
  <c r="J18" i="1"/>
  <c r="N8" i="1"/>
  <c r="I5" i="1"/>
  <c r="L13" i="1"/>
  <c r="O14" i="1"/>
  <c r="F7" i="1"/>
  <c r="O20" i="1"/>
  <c r="I20" i="1"/>
  <c r="M8" i="1"/>
  <c r="K4" i="1"/>
  <c r="I17" i="1"/>
  <c r="I6" i="1"/>
  <c r="H14" i="1"/>
  <c r="G15" i="1"/>
  <c r="G18" i="1"/>
  <c r="N9" i="1"/>
  <c r="L17" i="1"/>
  <c r="N10" i="1"/>
  <c r="F20" i="1"/>
  <c r="M12" i="1"/>
  <c r="G13" i="1"/>
  <c r="K5" i="1"/>
  <c r="I18" i="1"/>
  <c r="M17" i="1"/>
  <c r="M10" i="1"/>
  <c r="L11" i="1"/>
  <c r="J13" i="1"/>
  <c r="L6" i="1"/>
  <c r="K10" i="1"/>
  <c r="K14" i="1"/>
  <c r="J20" i="1"/>
  <c r="J6" i="1"/>
  <c r="O11" i="1"/>
  <c r="M5" i="1"/>
  <c r="J12" i="1"/>
  <c r="M11" i="1"/>
  <c r="F10" i="1"/>
  <c r="H21" i="1"/>
  <c r="O15" i="1"/>
  <c r="I10" i="1"/>
  <c r="L19" i="1"/>
  <c r="N5" i="1"/>
  <c r="O13" i="1"/>
  <c r="M7" i="1"/>
  <c r="F14" i="1"/>
  <c r="I21" i="1"/>
  <c r="N17" i="1"/>
  <c r="K17" i="1"/>
  <c r="H4" i="1"/>
  <c r="O6" i="1"/>
  <c r="N16" i="1"/>
  <c r="H6" i="1"/>
  <c r="G7" i="1"/>
  <c r="H11" i="1"/>
  <c r="L8" i="1"/>
  <c r="G21" i="1"/>
  <c r="I7" i="1"/>
  <c r="H13" i="1"/>
  <c r="K11" i="1"/>
  <c r="J5" i="1"/>
  <c r="M9" i="1"/>
  <c r="J9" i="1"/>
  <c r="G14" i="1"/>
  <c r="K12" i="1"/>
  <c r="K21" i="1"/>
  <c r="M4" i="1"/>
  <c r="K6" i="1"/>
  <c r="H16" i="1"/>
  <c r="F19" i="1"/>
  <c r="H10" i="1"/>
  <c r="M14" i="1"/>
  <c r="I14" i="1"/>
  <c r="F6" i="1"/>
  <c r="N14" i="1"/>
  <c r="F13" i="1"/>
  <c r="N12" i="1"/>
  <c r="G9" i="1"/>
  <c r="L20" i="1"/>
  <c r="L5" i="1"/>
  <c r="F16" i="1"/>
  <c r="O8" i="1"/>
  <c r="F5" i="1"/>
  <c r="N13" i="1"/>
  <c r="K7" i="1"/>
  <c r="M15" i="1"/>
  <c r="K18" i="1"/>
  <c r="H19" i="1"/>
  <c r="F21" i="1"/>
  <c r="N15" i="1"/>
  <c r="J14" i="1"/>
  <c r="L10" i="1"/>
  <c r="J19" i="1"/>
  <c r="N6" i="1"/>
  <c r="G11" i="1"/>
  <c r="O16" i="1"/>
  <c r="L21" i="1"/>
  <c r="M6" i="1"/>
  <c r="H15" i="1"/>
  <c r="J21" i="1"/>
  <c r="J7" i="1"/>
  <c r="G16" i="1"/>
  <c r="F15" i="1"/>
  <c r="G17" i="1"/>
  <c r="K8" i="1"/>
  <c r="K13" i="1"/>
  <c r="M18" i="1"/>
  <c r="L15" i="1"/>
  <c r="N21" i="1"/>
  <c r="O10" i="1"/>
  <c r="L4" i="1"/>
  <c r="F11" i="1"/>
  <c r="L18" i="1"/>
  <c r="I9" i="1"/>
  <c r="O18" i="1"/>
  <c r="N19" i="1"/>
  <c r="O21" i="1"/>
  <c r="I12" i="1"/>
  <c r="H8" i="1"/>
  <c r="H9" i="1"/>
  <c r="G19" i="1"/>
  <c r="H29" i="23" l="1"/>
  <c r="C117" i="51" l="1"/>
  <c r="C88" i="51"/>
  <c r="C116" i="51" s="1"/>
  <c r="C85" i="51"/>
  <c r="C113" i="51" s="1"/>
  <c r="C55" i="51" s="1"/>
  <c r="K55" i="51" s="1"/>
  <c r="BF5" i="32"/>
  <c r="AX5" i="32"/>
  <c r="AP5" i="32"/>
  <c r="BL3" i="32"/>
  <c r="BL5" i="32" s="1"/>
  <c r="BK3" i="32"/>
  <c r="BK5" i="32" s="1"/>
  <c r="BJ3" i="32"/>
  <c r="BJ5" i="32" s="1"/>
  <c r="BI3" i="32"/>
  <c r="BI5" i="32" s="1"/>
  <c r="BH3" i="32"/>
  <c r="BH5" i="32" s="1"/>
  <c r="BG3" i="32"/>
  <c r="BG5" i="32" s="1"/>
  <c r="BF3" i="32"/>
  <c r="BE3" i="32"/>
  <c r="BE5" i="32" s="1"/>
  <c r="BD3" i="32"/>
  <c r="BD5" i="32" s="1"/>
  <c r="BC3" i="32"/>
  <c r="BC5" i="32" s="1"/>
  <c r="BB3" i="32"/>
  <c r="BB5" i="32" s="1"/>
  <c r="BA3" i="32"/>
  <c r="BA5" i="32" s="1"/>
  <c r="AZ3" i="32"/>
  <c r="AZ5" i="32" s="1"/>
  <c r="AY3" i="32"/>
  <c r="AY5" i="32" s="1"/>
  <c r="AX3" i="32"/>
  <c r="AW3" i="32"/>
  <c r="AW5" i="32" s="1"/>
  <c r="AV3" i="32"/>
  <c r="AV5" i="32" s="1"/>
  <c r="AU3" i="32"/>
  <c r="AU5" i="32" s="1"/>
  <c r="AT3" i="32"/>
  <c r="AT5" i="32" s="1"/>
  <c r="AS3" i="32"/>
  <c r="AS5" i="32" s="1"/>
  <c r="AR3" i="32"/>
  <c r="AR5" i="32" s="1"/>
  <c r="AQ3" i="32"/>
  <c r="AQ5" i="32" s="1"/>
  <c r="AP3" i="32"/>
  <c r="AO3" i="32"/>
  <c r="AO5" i="32" s="1"/>
  <c r="AN3" i="32"/>
  <c r="AN5" i="32" s="1"/>
  <c r="AM3" i="32"/>
  <c r="AM5" i="32" s="1"/>
  <c r="AL3" i="32"/>
  <c r="AL5" i="32" s="1"/>
  <c r="AK3" i="32"/>
  <c r="AK5" i="32" s="1"/>
  <c r="AJ3" i="32"/>
  <c r="AJ5" i="32" s="1"/>
  <c r="AJ1" i="32"/>
  <c r="AK1" i="32" s="1"/>
  <c r="AL1" i="32" s="1"/>
  <c r="AM1" i="32" s="1"/>
  <c r="AN1" i="32" s="1"/>
  <c r="AO1" i="32" s="1"/>
  <c r="AP1" i="32" s="1"/>
  <c r="AQ1" i="32" s="1"/>
  <c r="AR1" i="32" s="1"/>
  <c r="AS1" i="32" s="1"/>
  <c r="AT1" i="32" s="1"/>
  <c r="AU1" i="32" s="1"/>
  <c r="AV1" i="32" s="1"/>
  <c r="AW1" i="32" s="1"/>
  <c r="AX1" i="32" s="1"/>
  <c r="AY1" i="32" s="1"/>
  <c r="AZ1" i="32" s="1"/>
  <c r="BA1" i="32" s="1"/>
  <c r="BB1" i="32" s="1"/>
  <c r="BC1" i="32" s="1"/>
  <c r="BD1" i="32" s="1"/>
  <c r="BE1" i="32" s="1"/>
  <c r="BF1" i="32" s="1"/>
  <c r="BG1" i="32" s="1"/>
  <c r="BH1" i="32" s="1"/>
  <c r="BI1" i="32" s="1"/>
  <c r="BJ1" i="32" s="1"/>
  <c r="BK1" i="32" s="1"/>
  <c r="BL1" i="32" s="1"/>
  <c r="AB5" i="32"/>
  <c r="T5" i="32"/>
  <c r="L5" i="32"/>
  <c r="AI3" i="32"/>
  <c r="AI5" i="32" s="1"/>
  <c r="AH3" i="32"/>
  <c r="AH5" i="32" s="1"/>
  <c r="AG3" i="32"/>
  <c r="AG5" i="32" s="1"/>
  <c r="AF3" i="32"/>
  <c r="AF5" i="32" s="1"/>
  <c r="AE3" i="32"/>
  <c r="AE5" i="32" s="1"/>
  <c r="AD3" i="32"/>
  <c r="AD5" i="32" s="1"/>
  <c r="AC3" i="32"/>
  <c r="AC5" i="32" s="1"/>
  <c r="AB3" i="32"/>
  <c r="AA3" i="32"/>
  <c r="AA5" i="32" s="1"/>
  <c r="Z3" i="32"/>
  <c r="Z5" i="32" s="1"/>
  <c r="Y3" i="32"/>
  <c r="Y5" i="32" s="1"/>
  <c r="X3" i="32"/>
  <c r="X5" i="32" s="1"/>
  <c r="W3" i="32"/>
  <c r="W5" i="32" s="1"/>
  <c r="V3" i="32"/>
  <c r="V5" i="32" s="1"/>
  <c r="U3" i="32"/>
  <c r="U5" i="32" s="1"/>
  <c r="T3" i="32"/>
  <c r="S3" i="32"/>
  <c r="S5" i="32" s="1"/>
  <c r="F9" i="51" s="1"/>
  <c r="F21" i="51" s="1"/>
  <c r="R3" i="32"/>
  <c r="R5" i="32" s="1"/>
  <c r="Q3" i="32"/>
  <c r="Q5" i="32" s="1"/>
  <c r="P3" i="32"/>
  <c r="P5" i="32" s="1"/>
  <c r="O3" i="32"/>
  <c r="O5" i="32" s="1"/>
  <c r="N3" i="32"/>
  <c r="N5" i="32" s="1"/>
  <c r="M3" i="32"/>
  <c r="M5" i="32" s="1"/>
  <c r="L3" i="32"/>
  <c r="K3" i="32"/>
  <c r="K5" i="32" s="1"/>
  <c r="J3" i="32"/>
  <c r="J5" i="32" s="1"/>
  <c r="I3" i="32"/>
  <c r="I5" i="32" s="1"/>
  <c r="H3" i="32"/>
  <c r="H5" i="32" s="1"/>
  <c r="G3" i="32"/>
  <c r="G5" i="32" s="1"/>
  <c r="F3" i="32"/>
  <c r="F5" i="32" s="1"/>
  <c r="E3" i="32"/>
  <c r="E5" i="32" s="1"/>
  <c r="D5" i="32"/>
  <c r="D3" i="32"/>
  <c r="AU89" i="55"/>
  <c r="C89" i="55"/>
  <c r="BK90" i="55"/>
  <c r="BJ90" i="55"/>
  <c r="BI90" i="55"/>
  <c r="BH90" i="55"/>
  <c r="BG90" i="55"/>
  <c r="BF90" i="55"/>
  <c r="BE90" i="55"/>
  <c r="BD90" i="55"/>
  <c r="BC90" i="55"/>
  <c r="BB90" i="55"/>
  <c r="BA90" i="55"/>
  <c r="AZ90" i="55"/>
  <c r="AY90" i="55"/>
  <c r="AX90" i="55"/>
  <c r="AW90" i="55"/>
  <c r="AV90" i="55"/>
  <c r="AU90" i="55"/>
  <c r="AT90" i="55"/>
  <c r="AS90" i="55"/>
  <c r="AR90" i="55"/>
  <c r="AQ90" i="55"/>
  <c r="AP90" i="55"/>
  <c r="AO90" i="55"/>
  <c r="AN90" i="55"/>
  <c r="AM90" i="55"/>
  <c r="AL90" i="55"/>
  <c r="AK90" i="55"/>
  <c r="AJ90" i="55"/>
  <c r="AI90" i="55"/>
  <c r="AH90" i="55"/>
  <c r="AG90" i="55"/>
  <c r="AF90" i="55"/>
  <c r="AE90" i="55"/>
  <c r="AD90" i="55"/>
  <c r="AC90" i="55"/>
  <c r="AB90" i="55"/>
  <c r="AA90" i="55"/>
  <c r="Z90" i="55"/>
  <c r="Y90" i="55"/>
  <c r="X90" i="55"/>
  <c r="W90" i="55"/>
  <c r="V90" i="55"/>
  <c r="U90" i="55"/>
  <c r="T90" i="55"/>
  <c r="S90" i="55"/>
  <c r="R90" i="55"/>
  <c r="Q90" i="55"/>
  <c r="P90" i="55"/>
  <c r="O90" i="55"/>
  <c r="N90" i="55"/>
  <c r="M90" i="55"/>
  <c r="L90" i="55"/>
  <c r="K90" i="55"/>
  <c r="J90" i="55"/>
  <c r="I90" i="55"/>
  <c r="H90" i="55"/>
  <c r="G90" i="55"/>
  <c r="F90" i="55"/>
  <c r="E90" i="55"/>
  <c r="D90" i="55"/>
  <c r="BK89" i="55"/>
  <c r="BJ89" i="55"/>
  <c r="BI89" i="55"/>
  <c r="BH89" i="55"/>
  <c r="BG89" i="55"/>
  <c r="BF89" i="55"/>
  <c r="BE89" i="55"/>
  <c r="BD89" i="55"/>
  <c r="BC89" i="55"/>
  <c r="BB89" i="55"/>
  <c r="BA89" i="55"/>
  <c r="AZ89" i="55"/>
  <c r="AY89" i="55"/>
  <c r="AX89" i="55"/>
  <c r="AW89" i="55"/>
  <c r="AV89" i="55"/>
  <c r="AT89" i="55"/>
  <c r="AS89" i="55"/>
  <c r="AR89" i="55"/>
  <c r="AQ89" i="55"/>
  <c r="AP89" i="55"/>
  <c r="AO89" i="55"/>
  <c r="AN89" i="55"/>
  <c r="AM89" i="55"/>
  <c r="AL89" i="55"/>
  <c r="AK89" i="55"/>
  <c r="AJ89" i="55"/>
  <c r="AI89" i="55"/>
  <c r="AH89" i="55"/>
  <c r="AG89" i="55"/>
  <c r="AF89" i="55"/>
  <c r="AE89" i="55"/>
  <c r="AD89" i="55"/>
  <c r="AC89" i="55"/>
  <c r="AB89" i="55"/>
  <c r="AA89" i="55"/>
  <c r="Z89" i="55"/>
  <c r="Y89" i="55"/>
  <c r="X89" i="55"/>
  <c r="W89" i="55"/>
  <c r="V89" i="55"/>
  <c r="U89" i="55"/>
  <c r="T89" i="55"/>
  <c r="S89" i="55"/>
  <c r="R89" i="55"/>
  <c r="Q89" i="55"/>
  <c r="P89" i="55"/>
  <c r="O89" i="55"/>
  <c r="N89" i="55"/>
  <c r="M89" i="55"/>
  <c r="L89" i="55"/>
  <c r="K89" i="55"/>
  <c r="J89" i="55"/>
  <c r="I89" i="55"/>
  <c r="H89" i="55"/>
  <c r="G89" i="55"/>
  <c r="F89" i="55"/>
  <c r="E89" i="55"/>
  <c r="D89" i="55"/>
  <c r="C90" i="55"/>
  <c r="BK87" i="55"/>
  <c r="BJ87" i="55"/>
  <c r="BI87" i="55"/>
  <c r="BH87" i="55"/>
  <c r="BG87" i="55"/>
  <c r="BF87" i="55"/>
  <c r="BE87" i="55"/>
  <c r="BD87" i="55"/>
  <c r="BC87" i="55"/>
  <c r="BB87" i="55"/>
  <c r="BA87" i="55"/>
  <c r="AZ87" i="55"/>
  <c r="AY87" i="55"/>
  <c r="AX87" i="55"/>
  <c r="AW87" i="55"/>
  <c r="AV87" i="55"/>
  <c r="AU87" i="55"/>
  <c r="AT87" i="55"/>
  <c r="AS87" i="55"/>
  <c r="AR87" i="55"/>
  <c r="AQ87" i="55"/>
  <c r="AP87" i="55"/>
  <c r="AO87" i="55"/>
  <c r="AN87" i="55"/>
  <c r="AM87" i="55"/>
  <c r="AL87" i="55"/>
  <c r="AK87" i="55"/>
  <c r="AJ87" i="55"/>
  <c r="AI87" i="55"/>
  <c r="AH87" i="55"/>
  <c r="AG87" i="55"/>
  <c r="AF87" i="55"/>
  <c r="AE87" i="55"/>
  <c r="AD87" i="55"/>
  <c r="AC87" i="55"/>
  <c r="AB87" i="55"/>
  <c r="AA87" i="55"/>
  <c r="Z87" i="55"/>
  <c r="Y87" i="55"/>
  <c r="X87" i="55"/>
  <c r="W87" i="55"/>
  <c r="V87" i="55"/>
  <c r="U87" i="55"/>
  <c r="T87" i="55"/>
  <c r="S87" i="55"/>
  <c r="R87" i="55"/>
  <c r="Q87" i="55"/>
  <c r="P87" i="55"/>
  <c r="O87" i="55"/>
  <c r="N87" i="55"/>
  <c r="M87" i="55"/>
  <c r="L87" i="55"/>
  <c r="K87" i="55"/>
  <c r="J87" i="55"/>
  <c r="I87" i="55"/>
  <c r="H87" i="55"/>
  <c r="G87" i="55"/>
  <c r="F87" i="55"/>
  <c r="E87" i="55"/>
  <c r="D87" i="55"/>
  <c r="C87" i="55"/>
  <c r="BK86" i="55"/>
  <c r="BJ86" i="55"/>
  <c r="BI86" i="55"/>
  <c r="BH86" i="55"/>
  <c r="BG86" i="55"/>
  <c r="BF86" i="55"/>
  <c r="BE86" i="55"/>
  <c r="BD86" i="55"/>
  <c r="BC86" i="55"/>
  <c r="BB86" i="55"/>
  <c r="BA86" i="55"/>
  <c r="AZ86" i="55"/>
  <c r="AY86" i="55"/>
  <c r="AX86" i="55"/>
  <c r="AW86" i="55"/>
  <c r="AV86" i="55"/>
  <c r="AU86" i="55"/>
  <c r="AT86" i="55"/>
  <c r="AS86" i="55"/>
  <c r="AR86" i="55"/>
  <c r="AQ86" i="55"/>
  <c r="AP86" i="55"/>
  <c r="AO86" i="55"/>
  <c r="AN86" i="55"/>
  <c r="AM86" i="55"/>
  <c r="AL86" i="55"/>
  <c r="AK86" i="55"/>
  <c r="AJ86" i="55"/>
  <c r="AI86" i="55"/>
  <c r="AH86" i="55"/>
  <c r="AG86" i="55"/>
  <c r="AF86" i="55"/>
  <c r="AE86" i="55"/>
  <c r="AD86" i="55"/>
  <c r="AC86" i="55"/>
  <c r="AB86" i="55"/>
  <c r="AA86" i="55"/>
  <c r="Z86" i="55"/>
  <c r="Y86" i="55"/>
  <c r="X86" i="55"/>
  <c r="W86" i="55"/>
  <c r="V86" i="55"/>
  <c r="U86" i="55"/>
  <c r="T86" i="55"/>
  <c r="S86" i="55"/>
  <c r="R86" i="55"/>
  <c r="Q86" i="55"/>
  <c r="P86" i="55"/>
  <c r="O86" i="55"/>
  <c r="N86" i="55"/>
  <c r="M86" i="55"/>
  <c r="L86" i="55"/>
  <c r="K86" i="55"/>
  <c r="J86" i="55"/>
  <c r="I86" i="55"/>
  <c r="H86" i="55"/>
  <c r="G86" i="55"/>
  <c r="F86" i="55"/>
  <c r="E86" i="55"/>
  <c r="D86" i="55"/>
  <c r="C86" i="55"/>
  <c r="BK85" i="55"/>
  <c r="BJ85" i="55"/>
  <c r="BI85" i="55"/>
  <c r="BH85" i="55"/>
  <c r="BG85" i="55"/>
  <c r="BF85" i="55"/>
  <c r="BE85" i="55"/>
  <c r="BD85" i="55"/>
  <c r="BC85" i="55"/>
  <c r="BB85" i="55"/>
  <c r="BA85" i="55"/>
  <c r="AZ85" i="55"/>
  <c r="AY85" i="55"/>
  <c r="AX85" i="55"/>
  <c r="AW85" i="55"/>
  <c r="AV85" i="55"/>
  <c r="AU85" i="55"/>
  <c r="AT85" i="55"/>
  <c r="AS85" i="55"/>
  <c r="AR85" i="55"/>
  <c r="AQ85" i="55"/>
  <c r="AP85" i="55"/>
  <c r="AO85" i="55"/>
  <c r="AN85" i="55"/>
  <c r="AM85" i="55"/>
  <c r="AL85" i="55"/>
  <c r="AK85" i="55"/>
  <c r="AJ85" i="55"/>
  <c r="AI85" i="55"/>
  <c r="AH85" i="55"/>
  <c r="AG85" i="55"/>
  <c r="AF85" i="55"/>
  <c r="AE85" i="55"/>
  <c r="AD85" i="55"/>
  <c r="AC85" i="55"/>
  <c r="AB85" i="55"/>
  <c r="AA85" i="55"/>
  <c r="Z85" i="55"/>
  <c r="Y85" i="55"/>
  <c r="X85" i="55"/>
  <c r="W85" i="55"/>
  <c r="V85" i="55"/>
  <c r="U85" i="55"/>
  <c r="T85" i="55"/>
  <c r="S85" i="55"/>
  <c r="R85" i="55"/>
  <c r="Q85" i="55"/>
  <c r="P85" i="55"/>
  <c r="O85" i="55"/>
  <c r="N85" i="55"/>
  <c r="M85" i="55"/>
  <c r="L85" i="55"/>
  <c r="K85" i="55"/>
  <c r="J85" i="55"/>
  <c r="I85" i="55"/>
  <c r="H85" i="55"/>
  <c r="G85" i="55"/>
  <c r="F85" i="55"/>
  <c r="E85" i="55"/>
  <c r="D85" i="55"/>
  <c r="C85" i="55"/>
  <c r="BK84" i="55"/>
  <c r="BJ84" i="55"/>
  <c r="BI84" i="55"/>
  <c r="BH84" i="55"/>
  <c r="BG84" i="55"/>
  <c r="BF84" i="55"/>
  <c r="BE84" i="55"/>
  <c r="BD84" i="55"/>
  <c r="BC84" i="55"/>
  <c r="BB84" i="55"/>
  <c r="BA84" i="55"/>
  <c r="AZ84" i="55"/>
  <c r="AY84" i="55"/>
  <c r="AX84" i="55"/>
  <c r="AW84" i="55"/>
  <c r="AV84" i="55"/>
  <c r="AU84" i="55"/>
  <c r="AT84" i="55"/>
  <c r="AS84" i="55"/>
  <c r="AR84" i="55"/>
  <c r="AQ84" i="55"/>
  <c r="AP84" i="55"/>
  <c r="AO84" i="55"/>
  <c r="AN84" i="55"/>
  <c r="AM84" i="55"/>
  <c r="AL84" i="55"/>
  <c r="AK84" i="55"/>
  <c r="AJ84" i="55"/>
  <c r="AI84" i="55"/>
  <c r="AH84" i="55"/>
  <c r="AG84" i="55"/>
  <c r="AF84" i="55"/>
  <c r="AE84" i="55"/>
  <c r="AD84" i="55"/>
  <c r="AC84" i="55"/>
  <c r="AB84" i="55"/>
  <c r="AA84" i="55"/>
  <c r="Z84" i="55"/>
  <c r="Y84" i="55"/>
  <c r="X84" i="55"/>
  <c r="W84" i="55"/>
  <c r="V84" i="55"/>
  <c r="U84" i="55"/>
  <c r="T84" i="55"/>
  <c r="S84" i="55"/>
  <c r="R84" i="55"/>
  <c r="Q84" i="55"/>
  <c r="P84" i="55"/>
  <c r="O84" i="55"/>
  <c r="N84" i="55"/>
  <c r="M84" i="55"/>
  <c r="L84" i="55"/>
  <c r="K84" i="55"/>
  <c r="J84" i="55"/>
  <c r="I84" i="55"/>
  <c r="H84" i="55"/>
  <c r="G84" i="55"/>
  <c r="F84" i="55"/>
  <c r="E84" i="55"/>
  <c r="D84" i="55"/>
  <c r="C84" i="55"/>
  <c r="BK83" i="55"/>
  <c r="BJ83" i="55"/>
  <c r="BI83" i="55"/>
  <c r="BH83" i="55"/>
  <c r="BG83" i="55"/>
  <c r="BF83" i="55"/>
  <c r="BE83" i="55"/>
  <c r="BD83" i="55"/>
  <c r="BC83" i="55"/>
  <c r="BB83" i="55"/>
  <c r="BA83" i="55"/>
  <c r="AZ83" i="55"/>
  <c r="AY83" i="55"/>
  <c r="AX83" i="55"/>
  <c r="AW83" i="55"/>
  <c r="AV83" i="55"/>
  <c r="AU83" i="55"/>
  <c r="AT83" i="55"/>
  <c r="AS83" i="55"/>
  <c r="AR83" i="55"/>
  <c r="AQ83" i="55"/>
  <c r="AP83" i="55"/>
  <c r="AO83" i="55"/>
  <c r="AN83" i="55"/>
  <c r="AM83" i="55"/>
  <c r="AL83" i="55"/>
  <c r="AK83" i="55"/>
  <c r="AJ83" i="55"/>
  <c r="AI83" i="55"/>
  <c r="AH83" i="55"/>
  <c r="AG83" i="55"/>
  <c r="AF83" i="55"/>
  <c r="AE83" i="55"/>
  <c r="AD83" i="55"/>
  <c r="AC83" i="55"/>
  <c r="AB83" i="55"/>
  <c r="AA83" i="55"/>
  <c r="Z83" i="55"/>
  <c r="Y83" i="55"/>
  <c r="X83" i="55"/>
  <c r="W83" i="55"/>
  <c r="V83" i="55"/>
  <c r="U83" i="55"/>
  <c r="T83" i="55"/>
  <c r="S83" i="55"/>
  <c r="R83" i="55"/>
  <c r="Q83" i="55"/>
  <c r="P83" i="55"/>
  <c r="O83" i="55"/>
  <c r="N83" i="55"/>
  <c r="M83" i="55"/>
  <c r="L83" i="55"/>
  <c r="K83" i="55"/>
  <c r="J83" i="55"/>
  <c r="I83" i="55"/>
  <c r="H83" i="55"/>
  <c r="G83" i="55"/>
  <c r="F83" i="55"/>
  <c r="E83" i="55"/>
  <c r="D83" i="55"/>
  <c r="C83" i="55"/>
  <c r="BK82" i="55"/>
  <c r="BJ82" i="55"/>
  <c r="BI82" i="55"/>
  <c r="BH82" i="55"/>
  <c r="BG82" i="55"/>
  <c r="BF82" i="55"/>
  <c r="BE82" i="55"/>
  <c r="BD82" i="55"/>
  <c r="BC82" i="55"/>
  <c r="BB82" i="55"/>
  <c r="BA82" i="55"/>
  <c r="AZ82" i="55"/>
  <c r="AY82" i="55"/>
  <c r="AX82" i="55"/>
  <c r="AW82" i="55"/>
  <c r="AV82" i="55"/>
  <c r="AU82" i="55"/>
  <c r="AT82" i="55"/>
  <c r="AS82" i="55"/>
  <c r="AR82" i="55"/>
  <c r="AQ82" i="55"/>
  <c r="AP82" i="55"/>
  <c r="AO82" i="55"/>
  <c r="AN82" i="55"/>
  <c r="AM82" i="55"/>
  <c r="AL82" i="55"/>
  <c r="AK82" i="55"/>
  <c r="AJ82" i="55"/>
  <c r="AI82" i="55"/>
  <c r="AH82" i="55"/>
  <c r="AG82" i="55"/>
  <c r="AF82" i="55"/>
  <c r="AE82" i="55"/>
  <c r="AD82" i="55"/>
  <c r="AC82" i="55"/>
  <c r="AB82" i="55"/>
  <c r="AA82" i="55"/>
  <c r="Z82" i="55"/>
  <c r="Y82" i="55"/>
  <c r="X82" i="55"/>
  <c r="W82" i="55"/>
  <c r="V82" i="55"/>
  <c r="U82" i="55"/>
  <c r="T82" i="55"/>
  <c r="S82" i="55"/>
  <c r="R82" i="55"/>
  <c r="Q82" i="55"/>
  <c r="P82" i="55"/>
  <c r="O82" i="55"/>
  <c r="N82" i="55"/>
  <c r="M82" i="55"/>
  <c r="L82" i="55"/>
  <c r="K82" i="55"/>
  <c r="J82" i="55"/>
  <c r="I82" i="55"/>
  <c r="H82" i="55"/>
  <c r="G82" i="55"/>
  <c r="F82" i="55"/>
  <c r="E82" i="55"/>
  <c r="D82" i="55"/>
  <c r="BK81" i="55"/>
  <c r="BJ81" i="55"/>
  <c r="BI81" i="55"/>
  <c r="BH81" i="55"/>
  <c r="BG81" i="55"/>
  <c r="BF81" i="55"/>
  <c r="BE81" i="55"/>
  <c r="BD81" i="55"/>
  <c r="BC81" i="55"/>
  <c r="BB81" i="55"/>
  <c r="BA81" i="55"/>
  <c r="AZ81" i="55"/>
  <c r="AY81" i="55"/>
  <c r="AX81" i="55"/>
  <c r="AW81" i="55"/>
  <c r="AV81" i="55"/>
  <c r="AU81" i="55"/>
  <c r="AT81" i="55"/>
  <c r="AS81" i="55"/>
  <c r="AR81" i="55"/>
  <c r="AQ81" i="55"/>
  <c r="AP81" i="55"/>
  <c r="AO81" i="55"/>
  <c r="AN81" i="55"/>
  <c r="AM81" i="55"/>
  <c r="AL81" i="55"/>
  <c r="AK81" i="55"/>
  <c r="AJ81" i="55"/>
  <c r="AI81" i="55"/>
  <c r="AH81" i="55"/>
  <c r="AG81" i="55"/>
  <c r="AF81" i="55"/>
  <c r="AE81" i="55"/>
  <c r="AD81" i="55"/>
  <c r="AC81" i="55"/>
  <c r="AB81" i="55"/>
  <c r="AA81" i="55"/>
  <c r="Z81" i="55"/>
  <c r="Y81" i="55"/>
  <c r="X81" i="55"/>
  <c r="W81" i="55"/>
  <c r="V81" i="55"/>
  <c r="U81" i="55"/>
  <c r="T81" i="55"/>
  <c r="S81" i="55"/>
  <c r="R81" i="55"/>
  <c r="Q81" i="55"/>
  <c r="P81" i="55"/>
  <c r="O81" i="55"/>
  <c r="N81" i="55"/>
  <c r="M81" i="55"/>
  <c r="L81" i="55"/>
  <c r="K81" i="55"/>
  <c r="J81" i="55"/>
  <c r="I81" i="55"/>
  <c r="H81" i="55"/>
  <c r="G81" i="55"/>
  <c r="F81" i="55"/>
  <c r="E81" i="55"/>
  <c r="D81" i="55"/>
  <c r="C81" i="55"/>
  <c r="C82" i="55"/>
  <c r="C7" i="53"/>
  <c r="BK80" i="55"/>
  <c r="BJ80" i="55"/>
  <c r="BI80" i="55"/>
  <c r="BH80" i="55"/>
  <c r="BG80" i="55"/>
  <c r="BF80" i="55"/>
  <c r="BE80" i="55"/>
  <c r="BD80" i="55"/>
  <c r="BC80" i="55"/>
  <c r="BB80" i="55"/>
  <c r="BA80" i="55"/>
  <c r="AZ80" i="55"/>
  <c r="AY80" i="55"/>
  <c r="AX80" i="55"/>
  <c r="AW80" i="55"/>
  <c r="AV80" i="55"/>
  <c r="AU80" i="55"/>
  <c r="AT80" i="55"/>
  <c r="AS80" i="55"/>
  <c r="AR80" i="55"/>
  <c r="AQ80" i="55"/>
  <c r="AP80" i="55"/>
  <c r="AO80" i="55"/>
  <c r="AN80" i="55"/>
  <c r="AM80" i="55"/>
  <c r="AL80" i="55"/>
  <c r="AK80" i="55"/>
  <c r="AJ80" i="55"/>
  <c r="AI80" i="55"/>
  <c r="AH80" i="55"/>
  <c r="AG80" i="55"/>
  <c r="AF80" i="55"/>
  <c r="AE80" i="55"/>
  <c r="AD80" i="55"/>
  <c r="AC80" i="55"/>
  <c r="AB80" i="55"/>
  <c r="AA80" i="55"/>
  <c r="Z80" i="55"/>
  <c r="Y80" i="55"/>
  <c r="X80" i="55"/>
  <c r="W80" i="55"/>
  <c r="V80" i="55"/>
  <c r="U80" i="55"/>
  <c r="T80" i="55"/>
  <c r="S80" i="55"/>
  <c r="R80" i="55"/>
  <c r="Q80" i="55"/>
  <c r="P80" i="55"/>
  <c r="O80" i="55"/>
  <c r="N80" i="55"/>
  <c r="M80" i="55"/>
  <c r="L80" i="55"/>
  <c r="K80" i="55"/>
  <c r="J80" i="55"/>
  <c r="I80" i="55"/>
  <c r="H80" i="55"/>
  <c r="G80" i="55"/>
  <c r="F80" i="55"/>
  <c r="E80" i="55"/>
  <c r="D80" i="55"/>
  <c r="C80" i="55"/>
  <c r="BK79" i="55"/>
  <c r="BJ79" i="55"/>
  <c r="BI79" i="55"/>
  <c r="BH79" i="55"/>
  <c r="BG79" i="55"/>
  <c r="BF79" i="55"/>
  <c r="BE79" i="55"/>
  <c r="BD79" i="55"/>
  <c r="BC79" i="55"/>
  <c r="BB79" i="55"/>
  <c r="BA79" i="55"/>
  <c r="AZ79" i="55"/>
  <c r="AY79" i="55"/>
  <c r="AX79" i="55"/>
  <c r="AW79" i="55"/>
  <c r="AV79" i="55"/>
  <c r="AU79" i="55"/>
  <c r="AT79" i="55"/>
  <c r="AS79" i="55"/>
  <c r="AR79" i="55"/>
  <c r="AQ79" i="55"/>
  <c r="AP79" i="55"/>
  <c r="AO79" i="55"/>
  <c r="AN79" i="55"/>
  <c r="AM79" i="55"/>
  <c r="AL79" i="55"/>
  <c r="AK79" i="55"/>
  <c r="AJ79" i="55"/>
  <c r="AI79" i="55"/>
  <c r="AH79" i="55"/>
  <c r="AG79" i="55"/>
  <c r="AF79" i="55"/>
  <c r="AE79" i="55"/>
  <c r="AD79" i="55"/>
  <c r="AC79" i="55"/>
  <c r="AB79" i="55"/>
  <c r="AA79" i="55"/>
  <c r="Z79" i="55"/>
  <c r="Y79" i="55"/>
  <c r="X79" i="55"/>
  <c r="W79" i="55"/>
  <c r="V79" i="55"/>
  <c r="U79" i="55"/>
  <c r="T79" i="55"/>
  <c r="S79" i="55"/>
  <c r="R79" i="55"/>
  <c r="Q79" i="55"/>
  <c r="P79" i="55"/>
  <c r="O79" i="55"/>
  <c r="N79" i="55"/>
  <c r="M79" i="55"/>
  <c r="L79" i="55"/>
  <c r="K79" i="55"/>
  <c r="J79" i="55"/>
  <c r="I79" i="55"/>
  <c r="H79" i="55"/>
  <c r="G79" i="55"/>
  <c r="F79" i="55"/>
  <c r="E79" i="55"/>
  <c r="D79" i="55"/>
  <c r="C79" i="55"/>
  <c r="BK78" i="55"/>
  <c r="BJ78" i="55"/>
  <c r="BI78" i="55"/>
  <c r="BH78" i="55"/>
  <c r="BG78" i="55"/>
  <c r="BF78" i="55"/>
  <c r="BE78" i="55"/>
  <c r="BD78" i="55"/>
  <c r="BC78" i="55"/>
  <c r="BB78" i="55"/>
  <c r="BA78" i="55"/>
  <c r="AZ78" i="55"/>
  <c r="AY78" i="55"/>
  <c r="AX78" i="55"/>
  <c r="AW78" i="55"/>
  <c r="AV78" i="55"/>
  <c r="AU78" i="55"/>
  <c r="AT78" i="55"/>
  <c r="AS78" i="55"/>
  <c r="AR78" i="55"/>
  <c r="AQ78" i="55"/>
  <c r="AP78" i="55"/>
  <c r="AO78" i="55"/>
  <c r="AN78" i="55"/>
  <c r="AM78" i="55"/>
  <c r="AL78" i="55"/>
  <c r="AK78" i="55"/>
  <c r="AJ78" i="55"/>
  <c r="AI78" i="55"/>
  <c r="AH78" i="55"/>
  <c r="AG78" i="55"/>
  <c r="AF78" i="55"/>
  <c r="AE78" i="55"/>
  <c r="AD78" i="55"/>
  <c r="AC78" i="55"/>
  <c r="AB78" i="55"/>
  <c r="AA78" i="55"/>
  <c r="Z78" i="55"/>
  <c r="Y78" i="55"/>
  <c r="X78" i="55"/>
  <c r="W78" i="55"/>
  <c r="V78" i="55"/>
  <c r="U78" i="55"/>
  <c r="T78" i="55"/>
  <c r="S78" i="55"/>
  <c r="R78" i="55"/>
  <c r="Q78" i="55"/>
  <c r="P78" i="55"/>
  <c r="O78" i="55"/>
  <c r="N78" i="55"/>
  <c r="M78" i="55"/>
  <c r="L78" i="55"/>
  <c r="K78" i="55"/>
  <c r="J78" i="55"/>
  <c r="I78" i="55"/>
  <c r="H78" i="55"/>
  <c r="G78" i="55"/>
  <c r="F78" i="55"/>
  <c r="E78" i="55"/>
  <c r="D78" i="55"/>
  <c r="C78" i="55"/>
  <c r="BK77" i="55"/>
  <c r="BJ77" i="55"/>
  <c r="BI77" i="55"/>
  <c r="BH77" i="55"/>
  <c r="BG77" i="55"/>
  <c r="BF77" i="55"/>
  <c r="BE77" i="55"/>
  <c r="BD77" i="55"/>
  <c r="BC77" i="55"/>
  <c r="BB77" i="55"/>
  <c r="BA77" i="55"/>
  <c r="AZ77" i="55"/>
  <c r="AY77" i="55"/>
  <c r="AX77" i="55"/>
  <c r="AW77" i="55"/>
  <c r="AV77" i="55"/>
  <c r="AU77" i="55"/>
  <c r="AT77" i="55"/>
  <c r="AS77" i="55"/>
  <c r="AR77" i="55"/>
  <c r="AQ77" i="55"/>
  <c r="AP77" i="55"/>
  <c r="AO77" i="55"/>
  <c r="AN77" i="55"/>
  <c r="AM77" i="55"/>
  <c r="AL77" i="55"/>
  <c r="AK77" i="55"/>
  <c r="AJ77" i="55"/>
  <c r="AI77" i="55"/>
  <c r="AH77" i="55"/>
  <c r="AG77" i="55"/>
  <c r="AF77" i="55"/>
  <c r="AE77" i="55"/>
  <c r="AD77" i="55"/>
  <c r="AC77" i="55"/>
  <c r="AB77" i="55"/>
  <c r="AA77" i="55"/>
  <c r="Z77" i="55"/>
  <c r="Y77" i="55"/>
  <c r="X77" i="55"/>
  <c r="W77" i="55"/>
  <c r="V77" i="55"/>
  <c r="U77" i="55"/>
  <c r="T77" i="55"/>
  <c r="S77" i="55"/>
  <c r="R77" i="55"/>
  <c r="Q77" i="55"/>
  <c r="P77" i="55"/>
  <c r="O77" i="55"/>
  <c r="N77" i="55"/>
  <c r="M77" i="55"/>
  <c r="L77" i="55"/>
  <c r="K77" i="55"/>
  <c r="J77" i="55"/>
  <c r="I77" i="55"/>
  <c r="H77" i="55"/>
  <c r="G77" i="55"/>
  <c r="F77" i="55"/>
  <c r="E77" i="55"/>
  <c r="D77" i="55"/>
  <c r="C77" i="55"/>
  <c r="BK76" i="55"/>
  <c r="BJ76" i="55"/>
  <c r="BI76" i="55"/>
  <c r="BH76" i="55"/>
  <c r="BG76" i="55"/>
  <c r="BF76" i="55"/>
  <c r="BE76" i="55"/>
  <c r="BD76" i="55"/>
  <c r="BC76" i="55"/>
  <c r="BB76" i="55"/>
  <c r="BA76" i="55"/>
  <c r="AZ76" i="55"/>
  <c r="AY76" i="55"/>
  <c r="AX76" i="55"/>
  <c r="AW76" i="55"/>
  <c r="AV76" i="55"/>
  <c r="AU76" i="55"/>
  <c r="AT76" i="55"/>
  <c r="AS76" i="55"/>
  <c r="AR76" i="55"/>
  <c r="AQ76" i="55"/>
  <c r="AP76" i="55"/>
  <c r="AO76" i="55"/>
  <c r="AN76" i="55"/>
  <c r="AM76" i="55"/>
  <c r="AL76" i="55"/>
  <c r="AK76" i="55"/>
  <c r="AJ76" i="55"/>
  <c r="AI76" i="55"/>
  <c r="AH76" i="55"/>
  <c r="AG76" i="55"/>
  <c r="AF76" i="55"/>
  <c r="AE76" i="55"/>
  <c r="AD76" i="55"/>
  <c r="AC76" i="55"/>
  <c r="AB76" i="55"/>
  <c r="AA76" i="55"/>
  <c r="Z76" i="55"/>
  <c r="Y76" i="55"/>
  <c r="X76" i="55"/>
  <c r="W76" i="55"/>
  <c r="V76" i="55"/>
  <c r="U76" i="55"/>
  <c r="T76" i="55"/>
  <c r="S76" i="55"/>
  <c r="R76" i="55"/>
  <c r="Q76" i="55"/>
  <c r="P76" i="55"/>
  <c r="O76" i="55"/>
  <c r="N76" i="55"/>
  <c r="M76" i="55"/>
  <c r="L76" i="55"/>
  <c r="K76" i="55"/>
  <c r="J76" i="55"/>
  <c r="I76" i="55"/>
  <c r="H76" i="55"/>
  <c r="G76" i="55"/>
  <c r="F76" i="55"/>
  <c r="E76" i="55"/>
  <c r="D76" i="55"/>
  <c r="C76" i="55"/>
  <c r="BK75" i="55"/>
  <c r="BJ75" i="55"/>
  <c r="BI75" i="55"/>
  <c r="BH75" i="55"/>
  <c r="BG75" i="55"/>
  <c r="BF75" i="55"/>
  <c r="BE75" i="55"/>
  <c r="BD75" i="55"/>
  <c r="BC75" i="55"/>
  <c r="BB75" i="55"/>
  <c r="BA75" i="55"/>
  <c r="AZ75" i="55"/>
  <c r="AY75" i="55"/>
  <c r="AX75" i="55"/>
  <c r="AW75" i="55"/>
  <c r="AV75" i="55"/>
  <c r="AU75" i="55"/>
  <c r="AT75" i="55"/>
  <c r="AS75" i="55"/>
  <c r="AR75" i="55"/>
  <c r="AQ75" i="55"/>
  <c r="AP75" i="55"/>
  <c r="AO75" i="55"/>
  <c r="AN75" i="55"/>
  <c r="AM75" i="55"/>
  <c r="AL75" i="55"/>
  <c r="AK75" i="55"/>
  <c r="AJ75" i="55"/>
  <c r="AI75" i="55"/>
  <c r="AH75" i="55"/>
  <c r="AG75" i="55"/>
  <c r="AF75" i="55"/>
  <c r="AE75" i="55"/>
  <c r="AD75" i="55"/>
  <c r="AC75" i="55"/>
  <c r="AB75" i="55"/>
  <c r="AA75" i="55"/>
  <c r="Z75" i="55"/>
  <c r="Y75" i="55"/>
  <c r="X75" i="55"/>
  <c r="W75" i="55"/>
  <c r="V75" i="55"/>
  <c r="U75" i="55"/>
  <c r="T75" i="55"/>
  <c r="S75" i="55"/>
  <c r="R75" i="55"/>
  <c r="Q75" i="55"/>
  <c r="P75" i="55"/>
  <c r="O75" i="55"/>
  <c r="N75" i="55"/>
  <c r="M75" i="55"/>
  <c r="L75" i="55"/>
  <c r="K75" i="55"/>
  <c r="J75" i="55"/>
  <c r="I75" i="55"/>
  <c r="H75" i="55"/>
  <c r="G75" i="55"/>
  <c r="F75" i="55"/>
  <c r="E75" i="55"/>
  <c r="D75" i="55"/>
  <c r="C75" i="55"/>
  <c r="BK72" i="55"/>
  <c r="BJ72" i="55"/>
  <c r="BI72" i="55"/>
  <c r="BH72" i="55"/>
  <c r="BG72" i="55"/>
  <c r="BF72" i="55"/>
  <c r="BE72" i="55"/>
  <c r="BD72" i="55"/>
  <c r="BC72" i="55"/>
  <c r="BB72" i="55"/>
  <c r="BA72" i="55"/>
  <c r="AZ72" i="55"/>
  <c r="AY72" i="55"/>
  <c r="AX72" i="55"/>
  <c r="AW72" i="55"/>
  <c r="AV72" i="55"/>
  <c r="AU72" i="55"/>
  <c r="AT72" i="55"/>
  <c r="AS72" i="55"/>
  <c r="AR72" i="55"/>
  <c r="AQ72" i="55"/>
  <c r="AP72" i="55"/>
  <c r="AO72" i="55"/>
  <c r="AN72" i="55"/>
  <c r="AM72" i="55"/>
  <c r="AL72" i="55"/>
  <c r="AK72" i="55"/>
  <c r="AJ72" i="55"/>
  <c r="AI72" i="55"/>
  <c r="AH72" i="55"/>
  <c r="AG72" i="55"/>
  <c r="AF72" i="55"/>
  <c r="AE72" i="55"/>
  <c r="AD72" i="55"/>
  <c r="AC72" i="55"/>
  <c r="AB72" i="55"/>
  <c r="AA72" i="55"/>
  <c r="Z72" i="55"/>
  <c r="Y72" i="55"/>
  <c r="X72" i="55"/>
  <c r="W72" i="55"/>
  <c r="V72" i="55"/>
  <c r="U72" i="55"/>
  <c r="T72" i="55"/>
  <c r="S72" i="55"/>
  <c r="R72" i="55"/>
  <c r="Q72" i="55"/>
  <c r="P72" i="55"/>
  <c r="O72" i="55"/>
  <c r="N72" i="55"/>
  <c r="M72" i="55"/>
  <c r="L72" i="55"/>
  <c r="K72" i="55"/>
  <c r="J72" i="55"/>
  <c r="I72" i="55"/>
  <c r="H72" i="55"/>
  <c r="G72" i="55"/>
  <c r="F72" i="55"/>
  <c r="E72" i="55"/>
  <c r="D72" i="55"/>
  <c r="C72" i="55"/>
  <c r="BK71" i="55"/>
  <c r="BJ71" i="55"/>
  <c r="BI71" i="55"/>
  <c r="BH71" i="55"/>
  <c r="BG71" i="55"/>
  <c r="BF71" i="55"/>
  <c r="BE71" i="55"/>
  <c r="BD71" i="55"/>
  <c r="BC71" i="55"/>
  <c r="BB71" i="55"/>
  <c r="BA71" i="55"/>
  <c r="AZ71" i="55"/>
  <c r="AY71" i="55"/>
  <c r="AX71" i="55"/>
  <c r="AW71" i="55"/>
  <c r="AV71" i="55"/>
  <c r="AU71" i="55"/>
  <c r="AT71" i="55"/>
  <c r="AS71" i="55"/>
  <c r="AR71" i="55"/>
  <c r="AQ71" i="55"/>
  <c r="AP71" i="55"/>
  <c r="AO71" i="55"/>
  <c r="AN71" i="55"/>
  <c r="AM71" i="55"/>
  <c r="AL71" i="55"/>
  <c r="AK71" i="55"/>
  <c r="AJ71" i="55"/>
  <c r="AI71" i="55"/>
  <c r="AH71" i="55"/>
  <c r="AG71" i="55"/>
  <c r="AF71" i="55"/>
  <c r="AE71" i="55"/>
  <c r="AD71" i="55"/>
  <c r="AC71" i="55"/>
  <c r="AB71" i="55"/>
  <c r="AA71" i="55"/>
  <c r="Z71" i="55"/>
  <c r="Y71" i="55"/>
  <c r="X71" i="55"/>
  <c r="W71" i="55"/>
  <c r="V71" i="55"/>
  <c r="U71" i="55"/>
  <c r="T71" i="55"/>
  <c r="S71" i="55"/>
  <c r="R71" i="55"/>
  <c r="Q71" i="55"/>
  <c r="P71" i="55"/>
  <c r="O71" i="55"/>
  <c r="N71" i="55"/>
  <c r="M71" i="55"/>
  <c r="L71" i="55"/>
  <c r="K71" i="55"/>
  <c r="J71" i="55"/>
  <c r="I71" i="55"/>
  <c r="H71" i="55"/>
  <c r="G71" i="55"/>
  <c r="F71" i="55"/>
  <c r="E71" i="55"/>
  <c r="D71" i="55"/>
  <c r="C71" i="55"/>
  <c r="BK70" i="55"/>
  <c r="BJ70" i="55"/>
  <c r="BI70" i="55"/>
  <c r="BH70" i="55"/>
  <c r="BG70" i="55"/>
  <c r="BF70" i="55"/>
  <c r="BE70" i="55"/>
  <c r="BD70" i="55"/>
  <c r="BC70" i="55"/>
  <c r="BB70" i="55"/>
  <c r="BA70" i="55"/>
  <c r="AZ70" i="55"/>
  <c r="AY70" i="55"/>
  <c r="AX70" i="55"/>
  <c r="AW70" i="55"/>
  <c r="AV70" i="55"/>
  <c r="AU70" i="55"/>
  <c r="AT70" i="55"/>
  <c r="AS70" i="55"/>
  <c r="AR70" i="55"/>
  <c r="AQ70" i="55"/>
  <c r="AP70" i="55"/>
  <c r="AO70" i="55"/>
  <c r="AN70" i="55"/>
  <c r="AM70" i="55"/>
  <c r="AL70" i="55"/>
  <c r="AK70" i="55"/>
  <c r="AJ70" i="55"/>
  <c r="AI70" i="55"/>
  <c r="AH70" i="55"/>
  <c r="AG70" i="55"/>
  <c r="AF70" i="55"/>
  <c r="AE70" i="55"/>
  <c r="AD70" i="55"/>
  <c r="AC70" i="55"/>
  <c r="AB70" i="55"/>
  <c r="AA70" i="55"/>
  <c r="Z70" i="55"/>
  <c r="Y70" i="55"/>
  <c r="X70" i="55"/>
  <c r="W70" i="55"/>
  <c r="V70" i="55"/>
  <c r="U70" i="55"/>
  <c r="T70" i="55"/>
  <c r="S70" i="55"/>
  <c r="R70" i="55"/>
  <c r="Q70" i="55"/>
  <c r="P70" i="55"/>
  <c r="O70" i="55"/>
  <c r="N70" i="55"/>
  <c r="M70" i="55"/>
  <c r="L70" i="55"/>
  <c r="K70" i="55"/>
  <c r="J70" i="55"/>
  <c r="I70" i="55"/>
  <c r="H70" i="55"/>
  <c r="G70" i="55"/>
  <c r="F70" i="55"/>
  <c r="E70" i="55"/>
  <c r="D70" i="55"/>
  <c r="C70" i="55"/>
  <c r="AH66" i="55"/>
  <c r="AF66" i="55"/>
  <c r="Z66" i="55"/>
  <c r="Y66" i="55"/>
  <c r="X66" i="55"/>
  <c r="R66" i="55"/>
  <c r="Q66" i="55"/>
  <c r="P66" i="55"/>
  <c r="J66" i="55"/>
  <c r="I66" i="55"/>
  <c r="H66" i="55"/>
  <c r="AH63" i="55"/>
  <c r="AF63" i="55"/>
  <c r="AD63" i="55"/>
  <c r="Z63" i="55"/>
  <c r="X63" i="55"/>
  <c r="V63" i="55"/>
  <c r="R63" i="55"/>
  <c r="P63" i="55"/>
  <c r="N63" i="55"/>
  <c r="J63" i="55"/>
  <c r="H63" i="55"/>
  <c r="F63" i="55"/>
  <c r="AH60" i="55"/>
  <c r="AG60" i="55"/>
  <c r="AF60" i="55"/>
  <c r="Z60" i="55"/>
  <c r="Y60" i="55"/>
  <c r="X60" i="55"/>
  <c r="R60" i="55"/>
  <c r="Q60" i="55"/>
  <c r="P60" i="55"/>
  <c r="J60" i="55"/>
  <c r="I60" i="55"/>
  <c r="H60" i="55"/>
  <c r="AH57" i="55"/>
  <c r="AF57" i="55"/>
  <c r="AD57" i="55"/>
  <c r="Z57" i="55"/>
  <c r="X57" i="55"/>
  <c r="V57" i="55"/>
  <c r="R57" i="55"/>
  <c r="P57" i="55"/>
  <c r="N57" i="55"/>
  <c r="J57" i="55"/>
  <c r="H57" i="55"/>
  <c r="F57" i="55"/>
  <c r="BK45" i="55"/>
  <c r="BJ45" i="55"/>
  <c r="BI45" i="55"/>
  <c r="BH12" i="54" s="1"/>
  <c r="BH45" i="55"/>
  <c r="BG45" i="55"/>
  <c r="BF45" i="55"/>
  <c r="BE45" i="55"/>
  <c r="BD45" i="55"/>
  <c r="BC45" i="55"/>
  <c r="BB45" i="55"/>
  <c r="BA45" i="55"/>
  <c r="AZ12" i="54" s="1"/>
  <c r="AZ45" i="55"/>
  <c r="AY45" i="55"/>
  <c r="AX45" i="55"/>
  <c r="AW45" i="55"/>
  <c r="AV45" i="55"/>
  <c r="AU45" i="55"/>
  <c r="AT45" i="55"/>
  <c r="AS45" i="55"/>
  <c r="AR12" i="54" s="1"/>
  <c r="AR45" i="55"/>
  <c r="AQ45" i="55"/>
  <c r="AP45" i="55"/>
  <c r="AO45" i="55"/>
  <c r="AN45" i="55"/>
  <c r="AM45" i="55"/>
  <c r="AL45" i="55"/>
  <c r="AK45" i="55"/>
  <c r="AJ12" i="54" s="1"/>
  <c r="AJ45" i="55"/>
  <c r="AI45" i="55"/>
  <c r="AH45" i="55"/>
  <c r="AG45" i="55"/>
  <c r="AG66" i="55" s="1"/>
  <c r="AF45" i="55"/>
  <c r="AE45" i="55"/>
  <c r="AE66" i="55" s="1"/>
  <c r="AD45" i="55"/>
  <c r="AD66" i="55" s="1"/>
  <c r="AC45" i="55"/>
  <c r="AC66" i="55" s="1"/>
  <c r="AB45" i="55"/>
  <c r="AB66" i="55" s="1"/>
  <c r="AA45" i="55"/>
  <c r="AA66" i="55" s="1"/>
  <c r="Z45" i="55"/>
  <c r="Y45" i="55"/>
  <c r="X45" i="55"/>
  <c r="W45" i="55"/>
  <c r="W66" i="55" s="1"/>
  <c r="V45" i="55"/>
  <c r="V66" i="55" s="1"/>
  <c r="U45" i="55"/>
  <c r="U66" i="55" s="1"/>
  <c r="T45" i="55"/>
  <c r="T66" i="55" s="1"/>
  <c r="S45" i="55"/>
  <c r="S66" i="55" s="1"/>
  <c r="R45" i="55"/>
  <c r="Q45" i="55"/>
  <c r="P45" i="55"/>
  <c r="O45" i="55"/>
  <c r="O66" i="55" s="1"/>
  <c r="N45" i="55"/>
  <c r="N66" i="55" s="1"/>
  <c r="M45" i="55"/>
  <c r="M66" i="55" s="1"/>
  <c r="L45" i="55"/>
  <c r="L66" i="55" s="1"/>
  <c r="K45" i="55"/>
  <c r="K66" i="55" s="1"/>
  <c r="J45" i="55"/>
  <c r="I45" i="55"/>
  <c r="H45" i="55"/>
  <c r="G45" i="55"/>
  <c r="G66" i="55" s="1"/>
  <c r="F45" i="55"/>
  <c r="F66" i="55" s="1"/>
  <c r="E45" i="55"/>
  <c r="E66" i="55" s="1"/>
  <c r="D45" i="55"/>
  <c r="D66" i="55" s="1"/>
  <c r="C45" i="55"/>
  <c r="C66" i="55" s="1"/>
  <c r="BK38" i="55"/>
  <c r="BJ38" i="55"/>
  <c r="BI38" i="55"/>
  <c r="BH38" i="55"/>
  <c r="BG38" i="55"/>
  <c r="BF38" i="55"/>
  <c r="BE15" i="54" s="1"/>
  <c r="BE38" i="55"/>
  <c r="BD38" i="55"/>
  <c r="BC38" i="55"/>
  <c r="BB38" i="55"/>
  <c r="BA38" i="55"/>
  <c r="AZ38" i="55"/>
  <c r="AY38" i="55"/>
  <c r="AX38" i="55"/>
  <c r="AW15" i="54" s="1"/>
  <c r="AW38" i="55"/>
  <c r="AV38" i="55"/>
  <c r="AU38" i="55"/>
  <c r="AT38" i="55"/>
  <c r="AS38" i="55"/>
  <c r="AR38" i="55"/>
  <c r="AQ38" i="55"/>
  <c r="AP38" i="55"/>
  <c r="AO15" i="54" s="1"/>
  <c r="AO38" i="55"/>
  <c r="AN38" i="55"/>
  <c r="AM38" i="55"/>
  <c r="AL38" i="55"/>
  <c r="AK38" i="55"/>
  <c r="AJ38" i="55"/>
  <c r="AI38" i="55"/>
  <c r="AH38" i="55"/>
  <c r="AG15" i="54" s="1"/>
  <c r="AG38" i="55"/>
  <c r="AF38" i="55"/>
  <c r="AE38" i="55"/>
  <c r="AD38" i="55"/>
  <c r="AC38" i="55"/>
  <c r="AB38" i="55"/>
  <c r="AA38" i="55"/>
  <c r="Z38" i="55"/>
  <c r="Y15" i="54" s="1"/>
  <c r="Y38" i="55"/>
  <c r="X38" i="55"/>
  <c r="W38" i="55"/>
  <c r="V38" i="55"/>
  <c r="U38" i="55"/>
  <c r="T38" i="55"/>
  <c r="S38" i="55"/>
  <c r="R38" i="55"/>
  <c r="Q15" i="54" s="1"/>
  <c r="Q38" i="55"/>
  <c r="P38" i="55"/>
  <c r="O38" i="55"/>
  <c r="N38" i="55"/>
  <c r="M38" i="55"/>
  <c r="L38" i="55"/>
  <c r="K38" i="55"/>
  <c r="J38" i="55"/>
  <c r="I15" i="54" s="1"/>
  <c r="I38" i="55"/>
  <c r="H38" i="55"/>
  <c r="G38" i="55"/>
  <c r="F38" i="55"/>
  <c r="E38" i="55"/>
  <c r="D38" i="55"/>
  <c r="C38" i="55"/>
  <c r="BK31" i="55"/>
  <c r="BJ15" i="54" s="1"/>
  <c r="BJ31" i="55"/>
  <c r="BI31" i="55"/>
  <c r="BH31" i="55"/>
  <c r="BG31" i="55"/>
  <c r="BF31" i="55"/>
  <c r="BE31" i="55"/>
  <c r="BD31" i="55"/>
  <c r="BC31" i="55"/>
  <c r="BB15" i="54" s="1"/>
  <c r="BB31" i="55"/>
  <c r="BA31" i="55"/>
  <c r="AZ31" i="55"/>
  <c r="AY31" i="55"/>
  <c r="AX31" i="55"/>
  <c r="AW31" i="55"/>
  <c r="AV31" i="55"/>
  <c r="AU31" i="55"/>
  <c r="AT15" i="54" s="1"/>
  <c r="AT31" i="55"/>
  <c r="AS31" i="55"/>
  <c r="AR31" i="55"/>
  <c r="AQ31" i="55"/>
  <c r="AP31" i="55"/>
  <c r="AO31" i="55"/>
  <c r="AN31" i="55"/>
  <c r="AM31" i="55"/>
  <c r="AL15" i="54" s="1"/>
  <c r="AL31" i="55"/>
  <c r="AK31" i="55"/>
  <c r="AJ31" i="55"/>
  <c r="AI31" i="55"/>
  <c r="AH31" i="55"/>
  <c r="AG31" i="55"/>
  <c r="AG63" i="55" s="1"/>
  <c r="AF31" i="55"/>
  <c r="AE31" i="55"/>
  <c r="AE63" i="55" s="1"/>
  <c r="AD31" i="55"/>
  <c r="AC31" i="55"/>
  <c r="AC63" i="55" s="1"/>
  <c r="AB31" i="55"/>
  <c r="AB63" i="55" s="1"/>
  <c r="AA31" i="55"/>
  <c r="AA63" i="55" s="1"/>
  <c r="Z31" i="55"/>
  <c r="Y31" i="55"/>
  <c r="Y63" i="55" s="1"/>
  <c r="X31" i="55"/>
  <c r="W31" i="55"/>
  <c r="W63" i="55" s="1"/>
  <c r="V31" i="55"/>
  <c r="U31" i="55"/>
  <c r="U63" i="55" s="1"/>
  <c r="T31" i="55"/>
  <c r="T63" i="55" s="1"/>
  <c r="S31" i="55"/>
  <c r="S63" i="55" s="1"/>
  <c r="R31" i="55"/>
  <c r="Q31" i="55"/>
  <c r="Q63" i="55" s="1"/>
  <c r="P31" i="55"/>
  <c r="O31" i="55"/>
  <c r="O63" i="55" s="1"/>
  <c r="N31" i="55"/>
  <c r="M31" i="55"/>
  <c r="M63" i="55" s="1"/>
  <c r="L31" i="55"/>
  <c r="L63" i="55" s="1"/>
  <c r="K31" i="55"/>
  <c r="K63" i="55" s="1"/>
  <c r="J31" i="55"/>
  <c r="I31" i="55"/>
  <c r="I63" i="55" s="1"/>
  <c r="H31" i="55"/>
  <c r="G31" i="55"/>
  <c r="G63" i="55" s="1"/>
  <c r="F31" i="55"/>
  <c r="E31" i="55"/>
  <c r="E63" i="55" s="1"/>
  <c r="D31" i="55"/>
  <c r="D63" i="55" s="1"/>
  <c r="C31" i="55"/>
  <c r="C63" i="55" s="1"/>
  <c r="BK24" i="55"/>
  <c r="BJ24" i="55"/>
  <c r="BI24" i="55"/>
  <c r="BH24" i="55"/>
  <c r="BG15" i="54" s="1"/>
  <c r="BG24" i="55"/>
  <c r="BF24" i="55"/>
  <c r="BE24" i="55"/>
  <c r="BD24" i="55"/>
  <c r="BC24" i="55"/>
  <c r="BB24" i="55"/>
  <c r="BA24" i="55"/>
  <c r="AZ24" i="55"/>
  <c r="AY15" i="54" s="1"/>
  <c r="AY24" i="55"/>
  <c r="AX24" i="55"/>
  <c r="AW24" i="55"/>
  <c r="AV24" i="55"/>
  <c r="AU24" i="55"/>
  <c r="AT24" i="55"/>
  <c r="AS24" i="55"/>
  <c r="AR24" i="55"/>
  <c r="AQ15" i="54" s="1"/>
  <c r="AQ24" i="55"/>
  <c r="AP24" i="55"/>
  <c r="AO24" i="55"/>
  <c r="AN24" i="55"/>
  <c r="AM24" i="55"/>
  <c r="AL24" i="55"/>
  <c r="AK24" i="55"/>
  <c r="AJ24" i="55"/>
  <c r="AI15" i="54" s="1"/>
  <c r="AI24" i="55"/>
  <c r="AH24" i="55"/>
  <c r="AG24" i="55"/>
  <c r="AF24" i="55"/>
  <c r="AE24" i="55"/>
  <c r="AE60" i="55" s="1"/>
  <c r="AD24" i="55"/>
  <c r="AD60" i="55" s="1"/>
  <c r="AC24" i="55"/>
  <c r="AC60" i="55" s="1"/>
  <c r="AB24" i="55"/>
  <c r="AA15" i="54" s="1"/>
  <c r="AA24" i="55"/>
  <c r="AA60" i="55" s="1"/>
  <c r="Z24" i="55"/>
  <c r="Y24" i="55"/>
  <c r="X24" i="55"/>
  <c r="W24" i="55"/>
  <c r="W60" i="55" s="1"/>
  <c r="V24" i="55"/>
  <c r="V60" i="55" s="1"/>
  <c r="U24" i="55"/>
  <c r="U60" i="55" s="1"/>
  <c r="T24" i="55"/>
  <c r="S15" i="54" s="1"/>
  <c r="S24" i="55"/>
  <c r="S60" i="55" s="1"/>
  <c r="R24" i="55"/>
  <c r="Q24" i="55"/>
  <c r="P24" i="55"/>
  <c r="O24" i="55"/>
  <c r="O60" i="55" s="1"/>
  <c r="N24" i="55"/>
  <c r="N60" i="55" s="1"/>
  <c r="M24" i="55"/>
  <c r="M60" i="55" s="1"/>
  <c r="L24" i="55"/>
  <c r="K15" i="54" s="1"/>
  <c r="K24" i="55"/>
  <c r="K60" i="55" s="1"/>
  <c r="J24" i="55"/>
  <c r="I24" i="55"/>
  <c r="H24" i="55"/>
  <c r="G24" i="55"/>
  <c r="G60" i="55" s="1"/>
  <c r="F24" i="55"/>
  <c r="F60" i="55" s="1"/>
  <c r="E24" i="55"/>
  <c r="E60" i="55" s="1"/>
  <c r="D24" i="55"/>
  <c r="C15" i="54" s="1"/>
  <c r="C24" i="55"/>
  <c r="C60" i="55" s="1"/>
  <c r="BK17" i="55"/>
  <c r="BJ17" i="55"/>
  <c r="BI17" i="55"/>
  <c r="BH17" i="55"/>
  <c r="BG17" i="55"/>
  <c r="BF12" i="54" s="1"/>
  <c r="BF17" i="55"/>
  <c r="BE17" i="55"/>
  <c r="BD12" i="54" s="1"/>
  <c r="BD17" i="55"/>
  <c r="BC17" i="55"/>
  <c r="BB17" i="55"/>
  <c r="BA17" i="55"/>
  <c r="AZ17" i="55"/>
  <c r="AY17" i="55"/>
  <c r="AX12" i="54" s="1"/>
  <c r="AX17" i="55"/>
  <c r="AW17" i="55"/>
  <c r="AV12" i="54" s="1"/>
  <c r="AV17" i="55"/>
  <c r="AU17" i="55"/>
  <c r="AT17" i="55"/>
  <c r="AS17" i="55"/>
  <c r="AR17" i="55"/>
  <c r="AQ17" i="55"/>
  <c r="AP12" i="54" s="1"/>
  <c r="AP17" i="55"/>
  <c r="AO17" i="55"/>
  <c r="AN12" i="54" s="1"/>
  <c r="AN17" i="55"/>
  <c r="AM17" i="55"/>
  <c r="AL17" i="55"/>
  <c r="AK17" i="55"/>
  <c r="AJ17" i="55"/>
  <c r="AI17" i="55"/>
  <c r="AH12" i="54" s="1"/>
  <c r="AH17" i="55"/>
  <c r="AG17" i="55"/>
  <c r="AF12" i="54" s="1"/>
  <c r="AF17" i="55"/>
  <c r="AE17" i="55"/>
  <c r="AE57" i="55" s="1"/>
  <c r="AD17" i="55"/>
  <c r="AC17" i="55"/>
  <c r="AC57" i="55" s="1"/>
  <c r="AB17" i="55"/>
  <c r="AB57" i="55" s="1"/>
  <c r="AA17" i="55"/>
  <c r="Z12" i="54" s="1"/>
  <c r="Z17" i="55"/>
  <c r="Y17" i="55"/>
  <c r="X12" i="54" s="1"/>
  <c r="X17" i="55"/>
  <c r="W17" i="55"/>
  <c r="W57" i="55" s="1"/>
  <c r="V17" i="55"/>
  <c r="U17" i="55"/>
  <c r="U57" i="55" s="1"/>
  <c r="T17" i="55"/>
  <c r="T57" i="55" s="1"/>
  <c r="S17" i="55"/>
  <c r="R12" i="54" s="1"/>
  <c r="R17" i="55"/>
  <c r="Q17" i="55"/>
  <c r="P12" i="54" s="1"/>
  <c r="P17" i="55"/>
  <c r="O17" i="55"/>
  <c r="O57" i="55" s="1"/>
  <c r="N17" i="55"/>
  <c r="M17" i="55"/>
  <c r="M57" i="55" s="1"/>
  <c r="L17" i="55"/>
  <c r="L57" i="55" s="1"/>
  <c r="K17" i="55"/>
  <c r="J12" i="54" s="1"/>
  <c r="J17" i="55"/>
  <c r="I17" i="55"/>
  <c r="H12" i="54" s="1"/>
  <c r="H17" i="55"/>
  <c r="G17" i="55"/>
  <c r="G57" i="55" s="1"/>
  <c r="F17" i="55"/>
  <c r="E17" i="55"/>
  <c r="E57" i="55" s="1"/>
  <c r="D17" i="55"/>
  <c r="D57" i="55" s="1"/>
  <c r="C17" i="55"/>
  <c r="B12" i="54" s="1"/>
  <c r="BK10" i="55"/>
  <c r="BJ10" i="55"/>
  <c r="BI12" i="54" s="1"/>
  <c r="BI10" i="55"/>
  <c r="BH10" i="55"/>
  <c r="BG10" i="55"/>
  <c r="BF10" i="55"/>
  <c r="BE10" i="55"/>
  <c r="BD10" i="55"/>
  <c r="BC12" i="54" s="1"/>
  <c r="BC10" i="55"/>
  <c r="BB10" i="55"/>
  <c r="BA12" i="54" s="1"/>
  <c r="BA10" i="55"/>
  <c r="AZ10" i="55"/>
  <c r="AY10" i="55"/>
  <c r="AX10" i="55"/>
  <c r="AW10" i="55"/>
  <c r="AV10" i="55"/>
  <c r="AU12" i="54" s="1"/>
  <c r="AU10" i="55"/>
  <c r="AT10" i="55"/>
  <c r="AS12" i="54" s="1"/>
  <c r="AS10" i="55"/>
  <c r="AR10" i="55"/>
  <c r="AQ10" i="55"/>
  <c r="AP10" i="55"/>
  <c r="AO10" i="55"/>
  <c r="AN10" i="55"/>
  <c r="AM12" i="54" s="1"/>
  <c r="AM10" i="55"/>
  <c r="AL10" i="55"/>
  <c r="AK12" i="54" s="1"/>
  <c r="AK10" i="55"/>
  <c r="AJ10" i="55"/>
  <c r="AI10" i="55"/>
  <c r="AH10" i="55"/>
  <c r="AG10" i="55"/>
  <c r="AF10" i="55"/>
  <c r="AE12" i="54" s="1"/>
  <c r="AE10" i="55"/>
  <c r="AD10" i="55"/>
  <c r="AC12" i="54" s="1"/>
  <c r="AC10" i="55"/>
  <c r="AB10" i="55"/>
  <c r="AA10" i="55"/>
  <c r="Z10" i="55"/>
  <c r="Y10" i="55"/>
  <c r="X10" i="55"/>
  <c r="W12" i="54" s="1"/>
  <c r="W10" i="55"/>
  <c r="V10" i="55"/>
  <c r="U12" i="54" s="1"/>
  <c r="U10" i="55"/>
  <c r="T10" i="55"/>
  <c r="S10" i="55"/>
  <c r="R10" i="55"/>
  <c r="Q10" i="55"/>
  <c r="P10" i="55"/>
  <c r="O12" i="54" s="1"/>
  <c r="O10" i="55"/>
  <c r="N10" i="55"/>
  <c r="M12" i="54" s="1"/>
  <c r="M10" i="55"/>
  <c r="L10" i="55"/>
  <c r="K10" i="55"/>
  <c r="J10" i="55"/>
  <c r="I10" i="55"/>
  <c r="H10" i="55"/>
  <c r="G12" i="54" s="1"/>
  <c r="G10" i="55"/>
  <c r="F10" i="55"/>
  <c r="E12" i="54" s="1"/>
  <c r="E10" i="55"/>
  <c r="D10" i="55"/>
  <c r="C10" i="55"/>
  <c r="BJ17" i="54"/>
  <c r="BI17" i="54"/>
  <c r="BH17" i="54"/>
  <c r="BG17" i="54"/>
  <c r="BF17" i="54"/>
  <c r="BE17" i="54"/>
  <c r="BD17" i="54"/>
  <c r="BC17" i="54"/>
  <c r="BB17" i="54"/>
  <c r="BA17" i="54"/>
  <c r="AZ17" i="54"/>
  <c r="AY17" i="54"/>
  <c r="AX17" i="54"/>
  <c r="AW17" i="54"/>
  <c r="AV17" i="54"/>
  <c r="AU17" i="54"/>
  <c r="AT17" i="54"/>
  <c r="AS17" i="54"/>
  <c r="AR17" i="54"/>
  <c r="AQ17" i="54"/>
  <c r="AP17" i="54"/>
  <c r="AO17" i="54"/>
  <c r="AN17" i="54"/>
  <c r="AM17" i="54"/>
  <c r="AL17" i="54"/>
  <c r="AK17" i="54"/>
  <c r="AJ17" i="54"/>
  <c r="AI17" i="54"/>
  <c r="AH17" i="54"/>
  <c r="AG17" i="54"/>
  <c r="AF17" i="54"/>
  <c r="AE17" i="54"/>
  <c r="AD17" i="54"/>
  <c r="AC17" i="54"/>
  <c r="AB17" i="54"/>
  <c r="AA17" i="54"/>
  <c r="Z17" i="54"/>
  <c r="Y17" i="54"/>
  <c r="X17" i="54"/>
  <c r="W17" i="54"/>
  <c r="V17" i="54"/>
  <c r="U17" i="54"/>
  <c r="T17" i="54"/>
  <c r="S17" i="54"/>
  <c r="R17" i="54"/>
  <c r="Q17" i="54"/>
  <c r="P17" i="54"/>
  <c r="O17" i="54"/>
  <c r="N17" i="54"/>
  <c r="M17" i="54"/>
  <c r="L17" i="54"/>
  <c r="K17" i="54"/>
  <c r="J17" i="54"/>
  <c r="I17" i="54"/>
  <c r="H17" i="54"/>
  <c r="G17" i="54"/>
  <c r="F17" i="54"/>
  <c r="E17" i="54"/>
  <c r="D17" i="54"/>
  <c r="C17" i="54"/>
  <c r="B17" i="54"/>
  <c r="BJ16" i="54"/>
  <c r="BI16" i="54"/>
  <c r="BH16" i="54"/>
  <c r="BG16" i="54"/>
  <c r="BF16" i="54"/>
  <c r="BE16" i="54"/>
  <c r="BD16" i="54"/>
  <c r="BC16" i="54"/>
  <c r="BB16" i="54"/>
  <c r="BA16" i="54"/>
  <c r="AZ16" i="54"/>
  <c r="AY16" i="54"/>
  <c r="AX16" i="54"/>
  <c r="AW16" i="54"/>
  <c r="AV16" i="54"/>
  <c r="AU16" i="54"/>
  <c r="AT16" i="54"/>
  <c r="AS16" i="54"/>
  <c r="AR16" i="54"/>
  <c r="AQ16" i="54"/>
  <c r="AP16" i="54"/>
  <c r="AO16" i="54"/>
  <c r="AN16" i="54"/>
  <c r="AM16" i="54"/>
  <c r="AL16" i="54"/>
  <c r="AK16" i="54"/>
  <c r="AJ16" i="54"/>
  <c r="AI16" i="54"/>
  <c r="AH16" i="54"/>
  <c r="AG16" i="54"/>
  <c r="AF16" i="54"/>
  <c r="AE16" i="54"/>
  <c r="AD16" i="54"/>
  <c r="AC16" i="54"/>
  <c r="AB16" i="54"/>
  <c r="AA16" i="54"/>
  <c r="Z16" i="54"/>
  <c r="Y16" i="54"/>
  <c r="X16" i="54"/>
  <c r="W16" i="54"/>
  <c r="V16" i="54"/>
  <c r="U16" i="54"/>
  <c r="T16" i="54"/>
  <c r="S16" i="54"/>
  <c r="R16" i="54"/>
  <c r="Q16" i="54"/>
  <c r="P16" i="54"/>
  <c r="O16" i="54"/>
  <c r="N16" i="54"/>
  <c r="M16" i="54"/>
  <c r="L16" i="54"/>
  <c r="K16" i="54"/>
  <c r="J16" i="54"/>
  <c r="I16" i="54"/>
  <c r="H16" i="54"/>
  <c r="G16" i="54"/>
  <c r="F16" i="54"/>
  <c r="E16" i="54"/>
  <c r="D16" i="54"/>
  <c r="C16" i="54"/>
  <c r="B16" i="54"/>
  <c r="BH15" i="54"/>
  <c r="AZ15" i="54"/>
  <c r="AR15" i="54"/>
  <c r="AJ15" i="54"/>
  <c r="AB15" i="54"/>
  <c r="T15" i="54"/>
  <c r="L15" i="54"/>
  <c r="D15" i="54"/>
  <c r="BJ14" i="54"/>
  <c r="BI14" i="54"/>
  <c r="BH14" i="54"/>
  <c r="BG14" i="54"/>
  <c r="BF14" i="54"/>
  <c r="BE14" i="54"/>
  <c r="BD14" i="54"/>
  <c r="BC14" i="54"/>
  <c r="BB14" i="54"/>
  <c r="BA14" i="54"/>
  <c r="AZ14" i="54"/>
  <c r="AY14" i="54"/>
  <c r="AX14" i="54"/>
  <c r="AW14" i="54"/>
  <c r="AV14" i="54"/>
  <c r="AU14" i="54"/>
  <c r="AT14" i="54"/>
  <c r="AS14" i="54"/>
  <c r="AR14" i="54"/>
  <c r="AQ14" i="54"/>
  <c r="AP14" i="54"/>
  <c r="AO14" i="54"/>
  <c r="AN14" i="54"/>
  <c r="AM14" i="54"/>
  <c r="AL14" i="54"/>
  <c r="AK14" i="54"/>
  <c r="AJ14" i="54"/>
  <c r="AI14" i="54"/>
  <c r="AH14" i="54"/>
  <c r="AG14" i="54"/>
  <c r="AF14" i="54"/>
  <c r="AE14" i="54"/>
  <c r="AD14" i="54"/>
  <c r="AC14" i="54"/>
  <c r="AB14" i="54"/>
  <c r="AA14" i="54"/>
  <c r="Z14" i="54"/>
  <c r="Y14" i="54"/>
  <c r="X14" i="54"/>
  <c r="W14" i="54"/>
  <c r="V14" i="54"/>
  <c r="U14" i="54"/>
  <c r="T14" i="54"/>
  <c r="S14" i="54"/>
  <c r="R14" i="54"/>
  <c r="Q14" i="54"/>
  <c r="P14" i="54"/>
  <c r="O14" i="54"/>
  <c r="N14" i="54"/>
  <c r="M14" i="54"/>
  <c r="L14" i="54"/>
  <c r="K14" i="54"/>
  <c r="J14" i="54"/>
  <c r="I14" i="54"/>
  <c r="H14" i="54"/>
  <c r="G14" i="54"/>
  <c r="F14" i="54"/>
  <c r="E14" i="54"/>
  <c r="D14" i="54"/>
  <c r="C14" i="54"/>
  <c r="B14" i="54"/>
  <c r="BJ13" i="54"/>
  <c r="BI13" i="54"/>
  <c r="BH13" i="54"/>
  <c r="BG13" i="54"/>
  <c r="BF13" i="54"/>
  <c r="BE13" i="54"/>
  <c r="BD13" i="54"/>
  <c r="BC13" i="54"/>
  <c r="BB13" i="54"/>
  <c r="BA13" i="54"/>
  <c r="AZ13" i="54"/>
  <c r="AY13" i="54"/>
  <c r="AX13" i="54"/>
  <c r="AW13" i="54"/>
  <c r="AV13" i="54"/>
  <c r="AU13" i="54"/>
  <c r="AT13" i="54"/>
  <c r="AS13" i="54"/>
  <c r="AR13" i="54"/>
  <c r="AQ13" i="54"/>
  <c r="AP13" i="54"/>
  <c r="AO13" i="54"/>
  <c r="AN13" i="54"/>
  <c r="AM13" i="54"/>
  <c r="AL13" i="54"/>
  <c r="AK13" i="54"/>
  <c r="AJ13" i="54"/>
  <c r="AI13" i="54"/>
  <c r="AH13" i="54"/>
  <c r="AG13" i="54"/>
  <c r="AF13" i="54"/>
  <c r="AE13" i="54"/>
  <c r="AD13" i="54"/>
  <c r="AC13" i="54"/>
  <c r="AB13" i="54"/>
  <c r="AA13" i="54"/>
  <c r="Z13" i="54"/>
  <c r="Y13" i="54"/>
  <c r="X13" i="54"/>
  <c r="W13" i="54"/>
  <c r="V13" i="54"/>
  <c r="U13" i="54"/>
  <c r="T13" i="54"/>
  <c r="S13" i="54"/>
  <c r="R13" i="54"/>
  <c r="Q13" i="54"/>
  <c r="P13" i="54"/>
  <c r="O13" i="54"/>
  <c r="N13" i="54"/>
  <c r="M13" i="54"/>
  <c r="L13" i="54"/>
  <c r="K13" i="54"/>
  <c r="J13" i="54"/>
  <c r="I13" i="54"/>
  <c r="H13" i="54"/>
  <c r="G13" i="54"/>
  <c r="F13" i="54"/>
  <c r="E13" i="54"/>
  <c r="D13" i="54"/>
  <c r="C13" i="54"/>
  <c r="B13" i="54"/>
  <c r="BG12" i="54"/>
  <c r="BE12" i="54"/>
  <c r="AY12" i="54"/>
  <c r="AW12" i="54"/>
  <c r="AQ12" i="54"/>
  <c r="AO12" i="54"/>
  <c r="AI12" i="54"/>
  <c r="AG12" i="54"/>
  <c r="AA12" i="54"/>
  <c r="Y12" i="54"/>
  <c r="S12" i="54"/>
  <c r="Q12" i="54"/>
  <c r="K12" i="54"/>
  <c r="I12" i="54"/>
  <c r="C12" i="54"/>
  <c r="D9" i="53" l="1"/>
  <c r="C9" i="53"/>
  <c r="F8" i="51"/>
  <c r="F20" i="51" s="1"/>
  <c r="E9" i="53"/>
  <c r="D12" i="54"/>
  <c r="L12" i="54"/>
  <c r="T12" i="54"/>
  <c r="AB12" i="54"/>
  <c r="E15" i="54"/>
  <c r="M15" i="54"/>
  <c r="U15" i="54"/>
  <c r="AC15" i="54"/>
  <c r="AK15" i="54"/>
  <c r="AS15" i="54"/>
  <c r="BA15" i="54"/>
  <c r="BI15" i="54"/>
  <c r="I57" i="55"/>
  <c r="Q57" i="55"/>
  <c r="Y57" i="55"/>
  <c r="AG57" i="55"/>
  <c r="AD15" i="54"/>
  <c r="F12" i="54"/>
  <c r="N12" i="54"/>
  <c r="V12" i="54"/>
  <c r="AD12" i="54"/>
  <c r="AL12" i="54"/>
  <c r="AT12" i="54"/>
  <c r="BB12" i="54"/>
  <c r="BJ12" i="54"/>
  <c r="G15" i="54"/>
  <c r="O15" i="54"/>
  <c r="W15" i="54"/>
  <c r="AE15" i="54"/>
  <c r="AM15" i="54"/>
  <c r="AU15" i="54"/>
  <c r="BC15" i="54"/>
  <c r="C57" i="55"/>
  <c r="K57" i="55"/>
  <c r="S57" i="55"/>
  <c r="AA57" i="55"/>
  <c r="H15" i="54"/>
  <c r="P15" i="54"/>
  <c r="X15" i="54"/>
  <c r="AF15" i="54"/>
  <c r="AN15" i="54"/>
  <c r="AV15" i="54"/>
  <c r="BD15" i="54"/>
  <c r="D60" i="55"/>
  <c r="L60" i="55"/>
  <c r="T60" i="55"/>
  <c r="AB60" i="55"/>
  <c r="F15" i="54"/>
  <c r="N15" i="54"/>
  <c r="B15" i="54"/>
  <c r="J15" i="54"/>
  <c r="R15" i="54"/>
  <c r="Z15" i="54"/>
  <c r="AH15" i="54"/>
  <c r="AP15" i="54"/>
  <c r="AX15" i="54"/>
  <c r="BF15" i="54"/>
  <c r="V15" i="54"/>
  <c r="K113" i="51" l="1"/>
  <c r="H173" i="51"/>
  <c r="G173" i="51"/>
  <c r="F173" i="51"/>
  <c r="E173" i="51"/>
  <c r="D173" i="51"/>
  <c r="E112" i="51"/>
  <c r="C178" i="51"/>
  <c r="K178" i="51" s="1"/>
  <c r="C174" i="51"/>
  <c r="K174" i="51" s="1"/>
  <c r="P173" i="51"/>
  <c r="AD70" i="1"/>
  <c r="AE70" i="1" l="1"/>
  <c r="AF70" i="1" s="1"/>
  <c r="AG70" i="1" s="1"/>
  <c r="AH70" i="1" s="1"/>
  <c r="AI70" i="1" s="1"/>
  <c r="AJ70" i="1" s="1"/>
  <c r="AK70" i="1" s="1"/>
  <c r="AL70" i="1" s="1"/>
  <c r="AG69" i="42" l="1"/>
  <c r="AF69" i="42"/>
  <c r="AE69" i="42"/>
  <c r="AD69" i="42"/>
  <c r="AC69" i="42"/>
  <c r="AB69" i="42"/>
  <c r="AA69" i="42"/>
  <c r="Z69" i="42"/>
  <c r="Y69" i="42"/>
  <c r="X69" i="42"/>
  <c r="W69" i="42"/>
  <c r="V69" i="42"/>
  <c r="U69" i="42"/>
  <c r="T69" i="42"/>
  <c r="S69" i="42"/>
  <c r="R69" i="42"/>
  <c r="Q69" i="42"/>
  <c r="P69" i="42"/>
  <c r="O69" i="42"/>
  <c r="N69" i="42"/>
  <c r="M69" i="42"/>
  <c r="L69" i="42"/>
  <c r="K69" i="42"/>
  <c r="J69" i="42"/>
  <c r="I69" i="42"/>
  <c r="H69" i="42"/>
  <c r="G69" i="42"/>
  <c r="F69" i="42"/>
  <c r="E69" i="42"/>
  <c r="D69" i="42"/>
  <c r="K117" i="51"/>
  <c r="K116" i="51"/>
  <c r="K89" i="51"/>
  <c r="K85" i="51"/>
  <c r="C177" i="51"/>
  <c r="K177" i="51" s="1"/>
  <c r="P112" i="51"/>
  <c r="O112" i="51"/>
  <c r="N112" i="51"/>
  <c r="M112" i="51"/>
  <c r="L112" i="51"/>
  <c r="H112" i="51"/>
  <c r="G112" i="51"/>
  <c r="F112" i="51"/>
  <c r="D112" i="51"/>
  <c r="B100" i="51"/>
  <c r="B157" i="51" s="1"/>
  <c r="B170" i="51" s="1"/>
  <c r="B178" i="51" s="1"/>
  <c r="B99" i="51"/>
  <c r="B156" i="51" s="1"/>
  <c r="B169" i="51" s="1"/>
  <c r="B177" i="51" s="1"/>
  <c r="B98" i="51"/>
  <c r="B155" i="51" s="1"/>
  <c r="B168" i="51" s="1"/>
  <c r="B176" i="51" s="1"/>
  <c r="B97" i="51"/>
  <c r="B154" i="51" s="1"/>
  <c r="B167" i="51" s="1"/>
  <c r="B175" i="51" s="1"/>
  <c r="B96" i="51"/>
  <c r="B153" i="51" s="1"/>
  <c r="B166" i="51" s="1"/>
  <c r="B174" i="51" s="1"/>
  <c r="D5" i="51"/>
  <c r="E5" i="51" s="1"/>
  <c r="F5" i="51" s="1"/>
  <c r="G5" i="51" s="1"/>
  <c r="H5" i="51" s="1"/>
  <c r="C11" i="51"/>
  <c r="C6" i="51"/>
  <c r="P84" i="51"/>
  <c r="O84" i="51"/>
  <c r="N84" i="51"/>
  <c r="M84" i="51"/>
  <c r="L84" i="51"/>
  <c r="H84" i="51"/>
  <c r="G84" i="51"/>
  <c r="F84" i="51"/>
  <c r="E84" i="51"/>
  <c r="D84" i="51"/>
  <c r="C26" i="51"/>
  <c r="C25" i="51"/>
  <c r="B72" i="51"/>
  <c r="B81" i="51" s="1"/>
  <c r="B89" i="51" s="1"/>
  <c r="B71" i="51"/>
  <c r="B80" i="51" s="1"/>
  <c r="B88" i="51" s="1"/>
  <c r="B70" i="51"/>
  <c r="B79" i="51" s="1"/>
  <c r="B87" i="51" s="1"/>
  <c r="B8" i="51" s="1"/>
  <c r="B69" i="51"/>
  <c r="B78" i="51" s="1"/>
  <c r="B86" i="51" s="1"/>
  <c r="B7" i="51" s="1"/>
  <c r="B68" i="51"/>
  <c r="B77" i="51" s="1"/>
  <c r="B85" i="51" s="1"/>
  <c r="BB79" i="42"/>
  <c r="BJ77" i="42"/>
  <c r="BB77" i="42"/>
  <c r="BA77" i="42"/>
  <c r="AT77" i="42"/>
  <c r="AS77" i="42"/>
  <c r="AR77" i="42"/>
  <c r="AL77" i="42"/>
  <c r="AK77" i="42"/>
  <c r="AK79" i="42" s="1"/>
  <c r="AJ77" i="42"/>
  <c r="AD77" i="42"/>
  <c r="AC77" i="42"/>
  <c r="AB77" i="42"/>
  <c r="V77" i="42"/>
  <c r="U77" i="42"/>
  <c r="T77" i="42"/>
  <c r="N77" i="42"/>
  <c r="M77" i="42"/>
  <c r="L77" i="42"/>
  <c r="F77" i="42"/>
  <c r="E77" i="42"/>
  <c r="D77" i="42"/>
  <c r="BL75" i="42"/>
  <c r="BL77" i="42" s="1"/>
  <c r="BK75" i="42"/>
  <c r="BK77" i="42" s="1"/>
  <c r="BJ75" i="42"/>
  <c r="BI75" i="42"/>
  <c r="BI77" i="42" s="1"/>
  <c r="BH75" i="42"/>
  <c r="BH77" i="42" s="1"/>
  <c r="BG75" i="42"/>
  <c r="BG77" i="42" s="1"/>
  <c r="BF75" i="42"/>
  <c r="BF77" i="42" s="1"/>
  <c r="BE75" i="42"/>
  <c r="BE77" i="42" s="1"/>
  <c r="BD75" i="42"/>
  <c r="BD77" i="42" s="1"/>
  <c r="BC75" i="42"/>
  <c r="BC77" i="42" s="1"/>
  <c r="BB75" i="42"/>
  <c r="BA75" i="42"/>
  <c r="AZ75" i="42"/>
  <c r="AZ77" i="42" s="1"/>
  <c r="AY75" i="42"/>
  <c r="AY77" i="42" s="1"/>
  <c r="AX75" i="42"/>
  <c r="AX77" i="42" s="1"/>
  <c r="AW75" i="42"/>
  <c r="AW77" i="42" s="1"/>
  <c r="AV75" i="42"/>
  <c r="AV77" i="42" s="1"/>
  <c r="AU75" i="42"/>
  <c r="AU77" i="42" s="1"/>
  <c r="AT75" i="42"/>
  <c r="AS75" i="42"/>
  <c r="AR75" i="42"/>
  <c r="AQ75" i="42"/>
  <c r="AQ77" i="42" s="1"/>
  <c r="AP75" i="42"/>
  <c r="AP77" i="42" s="1"/>
  <c r="AO75" i="42"/>
  <c r="AO77" i="42" s="1"/>
  <c r="AN75" i="42"/>
  <c r="AN77" i="42" s="1"/>
  <c r="AM75" i="42"/>
  <c r="AM77" i="42" s="1"/>
  <c r="AL75" i="42"/>
  <c r="AK75" i="42"/>
  <c r="AJ75" i="42"/>
  <c r="AI75" i="42"/>
  <c r="AI77" i="42" s="1"/>
  <c r="AH75" i="42"/>
  <c r="AH77" i="42" s="1"/>
  <c r="AG75" i="42"/>
  <c r="AG77" i="42" s="1"/>
  <c r="AF75" i="42"/>
  <c r="AF77" i="42" s="1"/>
  <c r="AE75" i="42"/>
  <c r="AE77" i="42" s="1"/>
  <c r="AD75" i="42"/>
  <c r="AC75" i="42"/>
  <c r="AB75" i="42"/>
  <c r="AA75" i="42"/>
  <c r="AA77" i="42" s="1"/>
  <c r="Z75" i="42"/>
  <c r="Z77" i="42" s="1"/>
  <c r="Y75" i="42"/>
  <c r="Y77" i="42" s="1"/>
  <c r="X75" i="42"/>
  <c r="X77" i="42" s="1"/>
  <c r="W75" i="42"/>
  <c r="W77" i="42" s="1"/>
  <c r="V75" i="42"/>
  <c r="U75" i="42"/>
  <c r="T75" i="42"/>
  <c r="S75" i="42"/>
  <c r="S77" i="42" s="1"/>
  <c r="R75" i="42"/>
  <c r="R77" i="42" s="1"/>
  <c r="Q75" i="42"/>
  <c r="Q77" i="42" s="1"/>
  <c r="P75" i="42"/>
  <c r="P77" i="42" s="1"/>
  <c r="O75" i="42"/>
  <c r="O77" i="42" s="1"/>
  <c r="N75" i="42"/>
  <c r="M75" i="42"/>
  <c r="L75" i="42"/>
  <c r="K75" i="42"/>
  <c r="K77" i="42" s="1"/>
  <c r="J75" i="42"/>
  <c r="J77" i="42" s="1"/>
  <c r="I75" i="42"/>
  <c r="I77" i="42" s="1"/>
  <c r="H75" i="42"/>
  <c r="H77" i="42" s="1"/>
  <c r="G75" i="42"/>
  <c r="G77" i="42" s="1"/>
  <c r="F75" i="42"/>
  <c r="E75" i="42"/>
  <c r="D75" i="42"/>
  <c r="K48" i="51" l="1"/>
  <c r="K49" i="51"/>
  <c r="K46" i="51"/>
  <c r="K50" i="51"/>
  <c r="K51" i="51"/>
  <c r="K47" i="51"/>
  <c r="K45" i="51"/>
  <c r="C51" i="51"/>
  <c r="C50" i="51"/>
  <c r="C49" i="51"/>
  <c r="C48" i="51"/>
  <c r="C45" i="51"/>
  <c r="C47" i="51"/>
  <c r="C46" i="51"/>
  <c r="B6" i="51"/>
  <c r="B35" i="51"/>
  <c r="K88" i="51"/>
  <c r="B107" i="51"/>
  <c r="B117" i="51"/>
  <c r="B109" i="51"/>
  <c r="B113" i="51"/>
  <c r="B105" i="51"/>
  <c r="B106" i="51"/>
  <c r="B114" i="51"/>
  <c r="B115" i="51"/>
  <c r="B108" i="51"/>
  <c r="B116" i="51"/>
  <c r="C10" i="51"/>
  <c r="B11" i="51"/>
  <c r="B12" i="51"/>
  <c r="B13" i="51"/>
  <c r="B10" i="51"/>
  <c r="B9" i="51"/>
  <c r="B109" i="10" l="1" a="1"/>
  <c r="B109" i="10" s="1"/>
  <c r="D74" i="42"/>
  <c r="BL74" i="42"/>
  <c r="BK74" i="42"/>
  <c r="BJ74" i="42"/>
  <c r="BI74" i="42"/>
  <c r="BH74" i="42"/>
  <c r="BG74" i="42"/>
  <c r="BF74" i="42"/>
  <c r="BE74" i="42"/>
  <c r="BD74" i="42"/>
  <c r="BC74" i="42"/>
  <c r="BB74" i="42"/>
  <c r="BA74" i="42"/>
  <c r="AZ74" i="42"/>
  <c r="AY74" i="42"/>
  <c r="AX74" i="42"/>
  <c r="AW74" i="42"/>
  <c r="AV74" i="42"/>
  <c r="AU74" i="42"/>
  <c r="AT74" i="42"/>
  <c r="AS74" i="42"/>
  <c r="AR74" i="42"/>
  <c r="AQ74" i="42"/>
  <c r="AP74" i="42"/>
  <c r="AO74" i="42"/>
  <c r="AN74" i="42"/>
  <c r="AM74" i="42"/>
  <c r="AL74" i="42"/>
  <c r="AK74" i="42"/>
  <c r="AJ74" i="42"/>
  <c r="AI74" i="42"/>
  <c r="AH74" i="42"/>
  <c r="AG74" i="42"/>
  <c r="AF74" i="42"/>
  <c r="AE74" i="42"/>
  <c r="AD74" i="42"/>
  <c r="AC74" i="42"/>
  <c r="AB74" i="42"/>
  <c r="AA74" i="42"/>
  <c r="Z74" i="42"/>
  <c r="Y74" i="42"/>
  <c r="X74" i="42"/>
  <c r="W74" i="42"/>
  <c r="V74" i="42"/>
  <c r="U74" i="42"/>
  <c r="T74" i="42"/>
  <c r="S74" i="42"/>
  <c r="R74" i="42"/>
  <c r="Q74" i="42"/>
  <c r="P74" i="42"/>
  <c r="O74" i="42"/>
  <c r="N74" i="42"/>
  <c r="M74" i="42"/>
  <c r="L74" i="42"/>
  <c r="K74" i="42"/>
  <c r="J74" i="42"/>
  <c r="I74" i="42"/>
  <c r="H74" i="42"/>
  <c r="G74" i="42"/>
  <c r="F74" i="42"/>
  <c r="E74" i="42"/>
  <c r="BL34" i="42" l="1"/>
  <c r="BL35" i="42" s="1"/>
  <c r="BG35" i="42"/>
  <c r="AK35" i="42"/>
  <c r="AI35" i="42"/>
  <c r="BK34" i="42"/>
  <c r="BK35" i="42" s="1"/>
  <c r="BJ34" i="42"/>
  <c r="BJ35" i="42" s="1"/>
  <c r="BI34" i="42"/>
  <c r="BI35" i="42" s="1"/>
  <c r="BH34" i="42"/>
  <c r="BH35" i="42" s="1"/>
  <c r="BG34" i="42"/>
  <c r="BF34" i="42"/>
  <c r="BF35" i="42" s="1"/>
  <c r="BE34" i="42"/>
  <c r="BE35" i="42" s="1"/>
  <c r="BD34" i="42"/>
  <c r="BD35" i="42" s="1"/>
  <c r="BC34" i="42"/>
  <c r="BC35" i="42" s="1"/>
  <c r="BB34" i="42"/>
  <c r="BB35" i="42" s="1"/>
  <c r="BA34" i="42"/>
  <c r="BA35" i="42" s="1"/>
  <c r="AZ34" i="42"/>
  <c r="AZ35" i="42" s="1"/>
  <c r="AY34" i="42"/>
  <c r="AY35" i="42" s="1"/>
  <c r="AX34" i="42"/>
  <c r="AX35" i="42" s="1"/>
  <c r="AW34" i="42"/>
  <c r="AW35" i="42" s="1"/>
  <c r="AV34" i="42"/>
  <c r="AV35" i="42" s="1"/>
  <c r="AU34" i="42"/>
  <c r="AU35" i="42" s="1"/>
  <c r="AT34" i="42"/>
  <c r="AT35" i="42" s="1"/>
  <c r="AS34" i="42"/>
  <c r="AS35" i="42" s="1"/>
  <c r="AR34" i="42"/>
  <c r="AR35" i="42" s="1"/>
  <c r="AQ34" i="42"/>
  <c r="AQ35" i="42" s="1"/>
  <c r="AP34" i="42"/>
  <c r="AP35" i="42" s="1"/>
  <c r="AO34" i="42"/>
  <c r="AO35" i="42" s="1"/>
  <c r="AN34" i="42"/>
  <c r="AN35" i="42" s="1"/>
  <c r="AM34" i="42"/>
  <c r="AM35" i="42" s="1"/>
  <c r="AL34" i="42"/>
  <c r="AL35" i="42" s="1"/>
  <c r="AK34" i="42"/>
  <c r="AJ34" i="42"/>
  <c r="AJ35" i="42" s="1"/>
  <c r="AI34" i="42"/>
  <c r="AH34" i="42"/>
  <c r="AH35" i="42" s="1"/>
  <c r="L23" i="23" l="1"/>
  <c r="M23" i="23" s="1"/>
  <c r="V10" i="23"/>
  <c r="V9" i="23"/>
  <c r="V12" i="23" s="1"/>
  <c r="V8" i="23"/>
  <c r="D8" i="51" l="1"/>
  <c r="D20" i="51" s="1"/>
  <c r="F1" i="32"/>
  <c r="G1" i="32" s="1"/>
  <c r="H1" i="32" s="1"/>
  <c r="I1" i="32" s="1"/>
  <c r="J1" i="32" s="1"/>
  <c r="K1" i="32" s="1"/>
  <c r="L1" i="32" s="1"/>
  <c r="M1" i="32" s="1"/>
  <c r="N1" i="32" s="1"/>
  <c r="O1" i="32" s="1"/>
  <c r="P1" i="32" s="1"/>
  <c r="Q1" i="32" s="1"/>
  <c r="R1" i="32" s="1"/>
  <c r="S1" i="32" s="1"/>
  <c r="T1" i="32" s="1"/>
  <c r="U1" i="32" s="1"/>
  <c r="V1" i="32" s="1"/>
  <c r="W1" i="32" s="1"/>
  <c r="X1" i="32" s="1"/>
  <c r="Y1" i="32" s="1"/>
  <c r="Z1" i="32" s="1"/>
  <c r="AA1" i="32" s="1"/>
  <c r="AB1" i="32" s="1"/>
  <c r="AC1" i="32" s="1"/>
  <c r="AD1" i="32" s="1"/>
  <c r="AE1" i="32" s="1"/>
  <c r="AF1" i="32" s="1"/>
  <c r="AG1" i="32" s="1"/>
  <c r="AH1" i="32" s="1"/>
  <c r="AI1" i="32" s="1"/>
  <c r="E1" i="32"/>
  <c r="D9" i="51" l="1"/>
  <c r="D21" i="51" s="1"/>
  <c r="D10" i="51"/>
  <c r="C86" i="51"/>
  <c r="H58" i="1"/>
  <c r="E60" i="1"/>
  <c r="E59" i="1"/>
  <c r="L58" i="1"/>
  <c r="K58" i="1"/>
  <c r="J58" i="1"/>
  <c r="I58" i="1"/>
  <c r="Y58" i="1"/>
  <c r="AI58" i="1" s="1" a="1"/>
  <c r="AI58" i="1" s="1"/>
  <c r="X58" i="1"/>
  <c r="AH58" i="1" s="1" a="1"/>
  <c r="AH58" i="1" s="1"/>
  <c r="W58" i="1"/>
  <c r="AG58" i="1" s="1" a="1"/>
  <c r="AG58" i="1" s="1"/>
  <c r="V58" i="1"/>
  <c r="U58" i="1"/>
  <c r="T58" i="1"/>
  <c r="S58" i="1"/>
  <c r="Z58" i="1"/>
  <c r="Z60" i="1" s="1"/>
  <c r="AA58" i="1"/>
  <c r="H9" i="23" s="1"/>
  <c r="E58" i="1"/>
  <c r="E45" i="1"/>
  <c r="E44" i="1"/>
  <c r="E43" i="1"/>
  <c r="E52" i="1"/>
  <c r="E53" i="1"/>
  <c r="E54" i="1"/>
  <c r="E57" i="1"/>
  <c r="E56" i="1"/>
  <c r="E55" i="1"/>
  <c r="G44" i="1"/>
  <c r="K44" i="1"/>
  <c r="L57" i="1"/>
  <c r="K56" i="1"/>
  <c r="H55" i="1"/>
  <c r="Y57" i="1"/>
  <c r="U44" i="1"/>
  <c r="U43" i="1"/>
  <c r="J44" i="1"/>
  <c r="W43" i="1"/>
  <c r="K55" i="1"/>
  <c r="Q55" i="1"/>
  <c r="X43" i="1"/>
  <c r="R56" i="1"/>
  <c r="L55" i="1"/>
  <c r="O57" i="1"/>
  <c r="T57" i="1"/>
  <c r="Q56" i="1"/>
  <c r="F43" i="1"/>
  <c r="Q43" i="1"/>
  <c r="K57" i="1"/>
  <c r="V43" i="1"/>
  <c r="L45" i="1"/>
  <c r="W45" i="1"/>
  <c r="V56" i="1"/>
  <c r="N57" i="1"/>
  <c r="S44" i="1"/>
  <c r="G43" i="1"/>
  <c r="P44" i="1"/>
  <c r="H57" i="1"/>
  <c r="G45" i="1"/>
  <c r="F57" i="1"/>
  <c r="X44" i="1"/>
  <c r="G56" i="1"/>
  <c r="N44" i="1"/>
  <c r="K43" i="1"/>
  <c r="J45" i="1"/>
  <c r="S55" i="1"/>
  <c r="I57" i="1"/>
  <c r="X55" i="1"/>
  <c r="I44" i="1"/>
  <c r="W57" i="1"/>
  <c r="F44" i="1"/>
  <c r="Q44" i="1"/>
  <c r="Y43" i="1"/>
  <c r="F45" i="1"/>
  <c r="I43" i="1"/>
  <c r="N55" i="1"/>
  <c r="G57" i="1"/>
  <c r="P43" i="1"/>
  <c r="U45" i="1"/>
  <c r="U57" i="1"/>
  <c r="I56" i="1"/>
  <c r="H43" i="1"/>
  <c r="Y56" i="1"/>
  <c r="O44" i="1"/>
  <c r="M55" i="1"/>
  <c r="Q57" i="1"/>
  <c r="O55" i="1"/>
  <c r="J43" i="1"/>
  <c r="U55" i="1"/>
  <c r="M45" i="1"/>
  <c r="Y44" i="1"/>
  <c r="T45" i="1"/>
  <c r="J56" i="1"/>
  <c r="R55" i="1"/>
  <c r="R57" i="1"/>
  <c r="Y45" i="1"/>
  <c r="V57" i="1"/>
  <c r="S45" i="1"/>
  <c r="T56" i="1"/>
  <c r="O56" i="1"/>
  <c r="Q45" i="1"/>
  <c r="R43" i="1"/>
  <c r="Y55" i="1"/>
  <c r="S57" i="1"/>
  <c r="M56" i="1"/>
  <c r="I45" i="1"/>
  <c r="M57" i="1"/>
  <c r="P56" i="1"/>
  <c r="U56" i="1"/>
  <c r="N56" i="1"/>
  <c r="P45" i="1"/>
  <c r="R45" i="1"/>
  <c r="X45" i="1"/>
  <c r="S43" i="1"/>
  <c r="T55" i="1"/>
  <c r="F55" i="1"/>
  <c r="W55" i="1"/>
  <c r="N45" i="1"/>
  <c r="H45" i="1"/>
  <c r="V44" i="1"/>
  <c r="R44" i="1"/>
  <c r="F56" i="1"/>
  <c r="O45" i="1"/>
  <c r="K45" i="1"/>
  <c r="M43" i="1"/>
  <c r="W56" i="1"/>
  <c r="L56" i="1"/>
  <c r="V55" i="1"/>
  <c r="X56" i="1"/>
  <c r="O43" i="1"/>
  <c r="W44" i="1"/>
  <c r="L44" i="1"/>
  <c r="T44" i="1"/>
  <c r="X57" i="1"/>
  <c r="I55" i="1"/>
  <c r="G55" i="1"/>
  <c r="L43" i="1"/>
  <c r="H44" i="1"/>
  <c r="M44" i="1"/>
  <c r="J55" i="1"/>
  <c r="T43" i="1"/>
  <c r="H56" i="1"/>
  <c r="N43" i="1"/>
  <c r="J57" i="1"/>
  <c r="V45" i="1"/>
  <c r="S56" i="1"/>
  <c r="AE60" i="1" l="1" a="1"/>
  <c r="AE60" i="1" s="1"/>
  <c r="AE58" i="1" a="1"/>
  <c r="AE58" i="1" s="1"/>
  <c r="AF60" i="1" a="1"/>
  <c r="AF60" i="1" s="1"/>
  <c r="AF58" i="1" a="1"/>
  <c r="AF58" i="1" s="1"/>
  <c r="AB58" i="1" a="1"/>
  <c r="AB58" i="1" s="1"/>
  <c r="AB59" i="1" a="1"/>
  <c r="AB59" i="1" s="1"/>
  <c r="AB60" i="1" a="1"/>
  <c r="AB60" i="1" s="1"/>
  <c r="AC58" i="1" a="1"/>
  <c r="AC58" i="1" s="1"/>
  <c r="AD58" i="1" a="1"/>
  <c r="AD58" i="1" s="1"/>
  <c r="C114" i="51"/>
  <c r="K114" i="51" s="1"/>
  <c r="H23" i="23"/>
  <c r="AD60" i="1" a="1"/>
  <c r="AD60" i="1" s="1"/>
  <c r="AG59" i="1" a="1"/>
  <c r="AG59" i="1" s="1"/>
  <c r="AH60" i="1" a="1"/>
  <c r="AH60" i="1" s="1"/>
  <c r="AI60" i="1" a="1"/>
  <c r="AI60" i="1" s="1"/>
  <c r="AC60" i="1" a="1"/>
  <c r="AC60" i="1" s="1"/>
  <c r="AD59" i="1" a="1"/>
  <c r="AD59" i="1" s="1"/>
  <c r="D11" i="51"/>
  <c r="C115" i="51"/>
  <c r="C7" i="51"/>
  <c r="D7" i="51" s="1"/>
  <c r="K86" i="51"/>
  <c r="AG60" i="1" a="1"/>
  <c r="AG60" i="1" s="1"/>
  <c r="AE59" i="1" a="1"/>
  <c r="AE59" i="1" s="1"/>
  <c r="AF59" i="1" a="1"/>
  <c r="AF59" i="1" s="1"/>
  <c r="AA60" i="1"/>
  <c r="H30" i="23"/>
  <c r="AH59" i="1" a="1"/>
  <c r="AH59" i="1" s="1"/>
  <c r="AC59" i="1" a="1"/>
  <c r="AC59" i="1" s="1"/>
  <c r="AI59" i="1" a="1"/>
  <c r="AI59" i="1" s="1"/>
  <c r="Z59" i="1"/>
  <c r="AA59" i="1"/>
  <c r="AF45" i="1" a="1"/>
  <c r="AB57" i="1" a="1"/>
  <c r="AG56" i="1" a="1"/>
  <c r="AA57" i="1" a="1"/>
  <c r="AD43" i="1" a="1"/>
  <c r="AD55" i="1" a="1"/>
  <c r="AE55" i="1" a="1"/>
  <c r="AC44" i="1" a="1"/>
  <c r="AC57" i="1" a="1"/>
  <c r="Z57" i="1" a="1"/>
  <c r="AC56" i="1" a="1"/>
  <c r="AG57" i="1" a="1"/>
  <c r="AH57" i="1" a="1"/>
  <c r="AC55" i="1" a="1"/>
  <c r="AD57" i="1" a="1"/>
  <c r="AI43" i="1" a="1"/>
  <c r="AC43" i="1" a="1"/>
  <c r="AI55" i="1" a="1"/>
  <c r="AF56" i="1" a="1"/>
  <c r="AA45" i="1" a="1"/>
  <c r="Z45" i="1" a="1"/>
  <c r="AA44" i="1" a="1"/>
  <c r="AF57" i="1" a="1"/>
  <c r="AD45" i="1" a="1"/>
  <c r="AA43" i="1" a="1"/>
  <c r="AB45" i="1" a="1"/>
  <c r="Z44" i="1" a="1"/>
  <c r="AH56" i="1" a="1"/>
  <c r="AB55" i="1" a="1"/>
  <c r="AE45" i="1" a="1"/>
  <c r="Z43" i="1" a="1"/>
  <c r="Z55" i="1" a="1"/>
  <c r="AD56" i="1" a="1"/>
  <c r="AB56" i="1" a="1"/>
  <c r="AE43" i="1" a="1"/>
  <c r="Z56" i="1" a="1"/>
  <c r="AG44" i="1" a="1"/>
  <c r="AG55" i="1" a="1"/>
  <c r="AC45" i="1" a="1"/>
  <c r="AD44" i="1" a="1"/>
  <c r="AH43" i="1" a="1"/>
  <c r="AG43" i="1" a="1"/>
  <c r="AE56" i="1" a="1"/>
  <c r="AG45" i="1" a="1"/>
  <c r="AH55" i="1" a="1"/>
  <c r="AI56" i="1" a="1"/>
  <c r="AI44" i="1" a="1"/>
  <c r="AH45" i="1" a="1"/>
  <c r="AB43" i="1" a="1"/>
  <c r="AA55" i="1" a="1"/>
  <c r="AI57" i="1" a="1"/>
  <c r="AH44" i="1" a="1"/>
  <c r="AE57" i="1" a="1"/>
  <c r="AA56" i="1" a="1"/>
  <c r="AB44" i="1" a="1"/>
  <c r="AF55" i="1" a="1"/>
  <c r="AI45" i="1" a="1"/>
  <c r="AF44" i="1" a="1"/>
  <c r="AE44" i="1" a="1"/>
  <c r="AF43" i="1" a="1"/>
  <c r="C56" i="51" l="1"/>
  <c r="K56" i="51" s="1"/>
  <c r="C57" i="51"/>
  <c r="C175" i="51"/>
  <c r="K175" i="51" s="1"/>
  <c r="K115" i="51"/>
  <c r="C22" i="51" s="1"/>
  <c r="C176" i="51"/>
  <c r="K176" i="51" s="1"/>
  <c r="E7" i="51"/>
  <c r="K87" i="51"/>
  <c r="C8" i="51"/>
  <c r="C20" i="51" s="1"/>
  <c r="AB45" i="1"/>
  <c r="AA55" i="1"/>
  <c r="H46" i="23" s="1"/>
  <c r="AG45" i="1"/>
  <c r="AG57" i="1"/>
  <c r="AE43" i="1"/>
  <c r="AI43" i="1"/>
  <c r="AE45" i="1"/>
  <c r="AC44" i="1"/>
  <c r="AG55" i="1"/>
  <c r="Z57" i="1"/>
  <c r="G48" i="23" s="1"/>
  <c r="Z43" i="1"/>
  <c r="AG56" i="1"/>
  <c r="AE44" i="1"/>
  <c r="AE56" i="1"/>
  <c r="L47" i="23" s="1"/>
  <c r="AF44" i="1"/>
  <c r="AI57" i="1"/>
  <c r="AB44" i="1"/>
  <c r="AC56" i="1"/>
  <c r="J47" i="23" s="1"/>
  <c r="AA56" i="1"/>
  <c r="H47" i="23" s="1"/>
  <c r="AA44" i="1"/>
  <c r="AH55" i="1"/>
  <c r="Z55" i="1"/>
  <c r="G46" i="23" s="1"/>
  <c r="AH43" i="1"/>
  <c r="AD43" i="1"/>
  <c r="AF45" i="1"/>
  <c r="AI45" i="1"/>
  <c r="AE57" i="1"/>
  <c r="L48" i="23" s="1"/>
  <c r="Z45" i="1"/>
  <c r="AD56" i="1"/>
  <c r="K47" i="23" s="1"/>
  <c r="AC55" i="1"/>
  <c r="J46" i="23" s="1"/>
  <c r="AF57" i="1"/>
  <c r="M48" i="23" s="1"/>
  <c r="AI55" i="1"/>
  <c r="AA57" i="1"/>
  <c r="Z44" i="1"/>
  <c r="AA45" i="1"/>
  <c r="AB55" i="1"/>
  <c r="I46" i="23" s="1"/>
  <c r="AA43" i="1"/>
  <c r="AI56" i="1"/>
  <c r="Z56" i="1"/>
  <c r="G47" i="23" s="1"/>
  <c r="AE55" i="1"/>
  <c r="L46" i="23" s="1"/>
  <c r="AH57" i="1"/>
  <c r="AF55" i="1"/>
  <c r="M46" i="23" s="1"/>
  <c r="AB57" i="1"/>
  <c r="I48" i="23" s="1"/>
  <c r="AG44" i="1"/>
  <c r="AD55" i="1"/>
  <c r="AF43" i="1"/>
  <c r="AC43" i="1"/>
  <c r="AH45" i="1"/>
  <c r="AD45" i="1"/>
  <c r="AC57" i="1"/>
  <c r="J48" i="23" s="1"/>
  <c r="AC45" i="1"/>
  <c r="AB43" i="1"/>
  <c r="AH44" i="1"/>
  <c r="AD44" i="1"/>
  <c r="AI44" i="1"/>
  <c r="AF56" i="1"/>
  <c r="M47" i="23" s="1"/>
  <c r="AG43" i="1"/>
  <c r="AD57" i="1"/>
  <c r="K48" i="23" s="1"/>
  <c r="AH56" i="1"/>
  <c r="AB56" i="1"/>
  <c r="I47" i="23" s="1"/>
  <c r="Y3" i="1"/>
  <c r="X3" i="1"/>
  <c r="W3" i="1"/>
  <c r="V3" i="1"/>
  <c r="U3" i="1"/>
  <c r="T3" i="1"/>
  <c r="S3" i="1"/>
  <c r="R3" i="1"/>
  <c r="Q3" i="1"/>
  <c r="P3" i="1"/>
  <c r="C62" i="51" l="1"/>
  <c r="D6" i="53"/>
  <c r="D11" i="53" s="1"/>
  <c r="H48" i="23"/>
  <c r="C22" i="53"/>
  <c r="K46" i="23"/>
  <c r="C21" i="53"/>
  <c r="K57" i="51"/>
  <c r="K62" i="51" s="1"/>
  <c r="C17" i="53"/>
  <c r="AJ69" i="1"/>
  <c r="AK44" i="1"/>
  <c r="AK45" i="1"/>
  <c r="AK43" i="1"/>
  <c r="Z62" i="1"/>
  <c r="E6" i="53"/>
  <c r="E11" i="53" s="1"/>
  <c r="C6" i="53"/>
  <c r="C11" i="53" s="1"/>
  <c r="C9" i="51"/>
  <c r="C21" i="51" s="1"/>
  <c r="AC62" i="1"/>
  <c r="AB62" i="1"/>
  <c r="AD62" i="1"/>
  <c r="AI62" i="1"/>
  <c r="AH62" i="1"/>
  <c r="AA62" i="1"/>
  <c r="AF62" i="1"/>
  <c r="AG62" i="1"/>
  <c r="AE62" i="1"/>
  <c r="AL43" i="1"/>
  <c r="AL44" i="1"/>
  <c r="AL45" i="1"/>
  <c r="O3" i="1"/>
  <c r="N3" i="1"/>
  <c r="M3" i="1"/>
  <c r="L3" i="1"/>
  <c r="K3" i="1"/>
  <c r="J3" i="1"/>
  <c r="I3" i="1"/>
  <c r="H3" i="1"/>
  <c r="G3" i="1"/>
  <c r="F3" i="1"/>
  <c r="E51" i="1"/>
  <c r="E50" i="1"/>
  <c r="E49" i="1"/>
  <c r="E48" i="1"/>
  <c r="E47" i="1"/>
  <c r="E46" i="1"/>
  <c r="E42" i="1"/>
  <c r="E41" i="1"/>
  <c r="E40" i="1"/>
  <c r="E39" i="1"/>
  <c r="E38" i="1"/>
  <c r="E37" i="1"/>
  <c r="E36" i="1"/>
  <c r="E35" i="1"/>
  <c r="E34" i="1"/>
  <c r="E33" i="1"/>
  <c r="E32" i="1"/>
  <c r="E31" i="1"/>
  <c r="E30" i="1"/>
  <c r="E29" i="1"/>
  <c r="E28" i="1"/>
  <c r="E27" i="1"/>
  <c r="E26" i="1"/>
  <c r="E25" i="1"/>
  <c r="E24" i="1"/>
  <c r="E23" i="1"/>
  <c r="E22" i="1"/>
  <c r="E21" i="1"/>
  <c r="E20" i="1"/>
  <c r="E19" i="1"/>
  <c r="E18" i="1"/>
  <c r="E17" i="1"/>
  <c r="E16" i="1"/>
  <c r="E15" i="1"/>
  <c r="E14" i="1"/>
  <c r="E13" i="1"/>
  <c r="E12" i="1"/>
  <c r="E11" i="1"/>
  <c r="E10" i="1"/>
  <c r="E9" i="1"/>
  <c r="E8" i="1"/>
  <c r="E7" i="1"/>
  <c r="E6" i="1"/>
  <c r="E5" i="1"/>
  <c r="E4" i="1"/>
  <c r="G39" i="18"/>
  <c r="F39" i="18" s="1"/>
  <c r="U16" i="1"/>
  <c r="S39" i="1"/>
  <c r="Q38" i="1"/>
  <c r="U5" i="1"/>
  <c r="T11" i="1"/>
  <c r="S7" i="1"/>
  <c r="S15" i="1"/>
  <c r="P39" i="1"/>
  <c r="U13" i="1"/>
  <c r="Y4" i="1"/>
  <c r="W10" i="1"/>
  <c r="V8" i="1"/>
  <c r="R13" i="1"/>
  <c r="R7" i="1"/>
  <c r="Y37" i="1"/>
  <c r="T38" i="1"/>
  <c r="V17" i="1"/>
  <c r="Q9" i="1"/>
  <c r="P14" i="1"/>
  <c r="P10" i="1"/>
  <c r="Q11" i="1"/>
  <c r="W39" i="1"/>
  <c r="X11" i="1"/>
  <c r="W14" i="1"/>
  <c r="U7" i="1"/>
  <c r="P11" i="1"/>
  <c r="Y20" i="1"/>
  <c r="X19" i="1"/>
  <c r="V15" i="1"/>
  <c r="W19" i="1"/>
  <c r="X18" i="1"/>
  <c r="W12" i="1"/>
  <c r="Q13" i="1"/>
  <c r="S11" i="1"/>
  <c r="V6" i="1"/>
  <c r="V10" i="1"/>
  <c r="P19" i="1"/>
  <c r="U6" i="1"/>
  <c r="R15" i="1"/>
  <c r="P13" i="1"/>
  <c r="U37" i="1"/>
  <c r="X12" i="1"/>
  <c r="W37" i="1"/>
  <c r="S20" i="1"/>
  <c r="P17" i="1"/>
  <c r="Y7" i="1"/>
  <c r="S4" i="1"/>
  <c r="V7" i="1"/>
  <c r="P37" i="1"/>
  <c r="T13" i="1"/>
  <c r="R39" i="1"/>
  <c r="W11" i="1"/>
  <c r="S13" i="1"/>
  <c r="T8" i="1"/>
  <c r="U19" i="1"/>
  <c r="V5" i="1"/>
  <c r="P9" i="1"/>
  <c r="Q4" i="1"/>
  <c r="Y10" i="1"/>
  <c r="Y39" i="1"/>
  <c r="T17" i="1"/>
  <c r="Q14" i="1"/>
  <c r="Q15" i="1"/>
  <c r="S10" i="1"/>
  <c r="W9" i="1"/>
  <c r="U9" i="1"/>
  <c r="W17" i="1"/>
  <c r="U4" i="1"/>
  <c r="R14" i="1"/>
  <c r="U20" i="1"/>
  <c r="V39" i="1"/>
  <c r="P38" i="1"/>
  <c r="S19" i="1"/>
  <c r="Q7" i="1"/>
  <c r="Y19" i="1"/>
  <c r="W15" i="1"/>
  <c r="R20" i="1"/>
  <c r="Q5" i="1"/>
  <c r="T10" i="1"/>
  <c r="X10" i="1"/>
  <c r="T5" i="1"/>
  <c r="R38" i="1"/>
  <c r="T15" i="1"/>
  <c r="X13" i="1"/>
  <c r="V16" i="1"/>
  <c r="X14" i="1"/>
  <c r="T4" i="1"/>
  <c r="V4" i="1"/>
  <c r="Y9" i="1"/>
  <c r="Q8" i="1"/>
  <c r="W8" i="1"/>
  <c r="X9" i="1"/>
  <c r="X4" i="1"/>
  <c r="R16" i="1"/>
  <c r="R11" i="1"/>
  <c r="S17" i="1"/>
  <c r="Y18" i="1"/>
  <c r="U15" i="1"/>
  <c r="Q6" i="1"/>
  <c r="T7" i="1"/>
  <c r="U38" i="1"/>
  <c r="U11" i="1"/>
  <c r="P16" i="1"/>
  <c r="Y14" i="1"/>
  <c r="V38" i="1"/>
  <c r="U12" i="1"/>
  <c r="V20" i="1"/>
  <c r="U10" i="1"/>
  <c r="Y16" i="1"/>
  <c r="Y17" i="1"/>
  <c r="R4" i="1"/>
  <c r="U8" i="1"/>
  <c r="W7" i="1"/>
  <c r="S16" i="1"/>
  <c r="Q39" i="1"/>
  <c r="Q18" i="1"/>
  <c r="W20" i="1"/>
  <c r="T16" i="1"/>
  <c r="V12" i="1"/>
  <c r="S38" i="1"/>
  <c r="T14" i="1"/>
  <c r="W13" i="1"/>
  <c r="X16" i="1"/>
  <c r="V9" i="1"/>
  <c r="S6" i="1"/>
  <c r="U18" i="1"/>
  <c r="T39" i="1"/>
  <c r="R10" i="1"/>
  <c r="U17" i="1"/>
  <c r="X38" i="1"/>
  <c r="Y6" i="1"/>
  <c r="V14" i="1"/>
  <c r="T18" i="1"/>
  <c r="Q10" i="1"/>
  <c r="R6" i="1"/>
  <c r="X15" i="1"/>
  <c r="R18" i="1"/>
  <c r="T20" i="1"/>
  <c r="P8" i="1"/>
  <c r="S37" i="1"/>
  <c r="T12" i="1"/>
  <c r="W18" i="1"/>
  <c r="X7" i="1"/>
  <c r="S12" i="1"/>
  <c r="S18" i="1"/>
  <c r="P18" i="1"/>
  <c r="V19" i="1"/>
  <c r="X20" i="1"/>
  <c r="S8" i="1"/>
  <c r="X17" i="1"/>
  <c r="X8" i="1"/>
  <c r="P6" i="1"/>
  <c r="Q16" i="1"/>
  <c r="Q12" i="1"/>
  <c r="V13" i="1"/>
  <c r="P4" i="1"/>
  <c r="Q20" i="1"/>
  <c r="X39" i="1"/>
  <c r="W16" i="1"/>
  <c r="V11" i="1"/>
  <c r="U39" i="1"/>
  <c r="Y12" i="1"/>
  <c r="T6" i="1"/>
  <c r="Y38" i="1"/>
  <c r="V37" i="1"/>
  <c r="R12" i="1"/>
  <c r="Y13" i="1"/>
  <c r="W6" i="1"/>
  <c r="Y15" i="1"/>
  <c r="R17" i="1"/>
  <c r="P7" i="1"/>
  <c r="V18" i="1"/>
  <c r="P5" i="1"/>
  <c r="T19" i="1"/>
  <c r="S9" i="1"/>
  <c r="U14" i="1"/>
  <c r="P20" i="1"/>
  <c r="R9" i="1"/>
  <c r="X5" i="1"/>
  <c r="Q17" i="1"/>
  <c r="Y5" i="1"/>
  <c r="S5" i="1"/>
  <c r="T37" i="1"/>
  <c r="W38" i="1"/>
  <c r="S14" i="1"/>
  <c r="X37" i="1"/>
  <c r="Q37" i="1"/>
  <c r="Q19" i="1"/>
  <c r="R37" i="1"/>
  <c r="Y8" i="1"/>
  <c r="R19" i="1"/>
  <c r="R8" i="1"/>
  <c r="P15" i="1"/>
  <c r="X6" i="1"/>
  <c r="R5" i="1"/>
  <c r="W4" i="1"/>
  <c r="Y11" i="1"/>
  <c r="P12" i="1"/>
  <c r="W5" i="1"/>
  <c r="T9" i="1"/>
  <c r="G16" i="18" l="1"/>
  <c r="F16" i="18" s="1"/>
  <c r="G40" i="18"/>
  <c r="F40" i="18" s="1"/>
  <c r="G33" i="18"/>
  <c r="F33" i="18" s="1"/>
  <c r="G10" i="18"/>
  <c r="F10" i="18" s="1"/>
  <c r="G34" i="18"/>
  <c r="F34" i="18" s="1"/>
  <c r="G19" i="18"/>
  <c r="F19" i="18" s="1"/>
  <c r="G27" i="18"/>
  <c r="F27" i="18" s="1"/>
  <c r="G35" i="18"/>
  <c r="F35" i="18" s="1"/>
  <c r="G8" i="18"/>
  <c r="F8" i="18" s="1"/>
  <c r="G32" i="18"/>
  <c r="F32" i="18" s="1"/>
  <c r="G17" i="18"/>
  <c r="F17" i="18" s="1"/>
  <c r="G41" i="18"/>
  <c r="F41" i="18" s="1"/>
  <c r="G26" i="18"/>
  <c r="F26" i="18" s="1"/>
  <c r="G20" i="18"/>
  <c r="F20" i="18" s="1"/>
  <c r="G28" i="18"/>
  <c r="F28" i="18" s="1"/>
  <c r="G36" i="18"/>
  <c r="F36" i="18" s="1"/>
  <c r="G24" i="18"/>
  <c r="F24" i="18" s="1"/>
  <c r="G9" i="18"/>
  <c r="F9" i="18" s="1"/>
  <c r="G25" i="18"/>
  <c r="F25" i="18" s="1"/>
  <c r="G18" i="18"/>
  <c r="F18" i="18" s="1"/>
  <c r="G11" i="18"/>
  <c r="F11" i="18" s="1"/>
  <c r="G12" i="18"/>
  <c r="F12" i="18" s="1"/>
  <c r="G13" i="18"/>
  <c r="F13" i="18" s="1"/>
  <c r="G21" i="18"/>
  <c r="F21" i="18" s="1"/>
  <c r="G29" i="18"/>
  <c r="F29" i="18" s="1"/>
  <c r="G37" i="18"/>
  <c r="F37" i="18" s="1"/>
  <c r="G14" i="18"/>
  <c r="F14" i="18" s="1"/>
  <c r="G22" i="18"/>
  <c r="F22" i="18" s="1"/>
  <c r="G30" i="18"/>
  <c r="F30" i="18" s="1"/>
  <c r="G38" i="18"/>
  <c r="F38" i="18" s="1"/>
  <c r="G7" i="18"/>
  <c r="F7" i="18" s="1"/>
  <c r="G15" i="18"/>
  <c r="F15" i="18" s="1"/>
  <c r="G23" i="18"/>
  <c r="F23" i="18" s="1"/>
  <c r="G31" i="18"/>
  <c r="F31" i="18" s="1"/>
  <c r="Z102" i="17"/>
  <c r="Y102" i="17"/>
  <c r="X102" i="17"/>
  <c r="W102" i="17"/>
  <c r="V102" i="17"/>
  <c r="U102" i="17"/>
  <c r="T102" i="17"/>
  <c r="S102" i="17"/>
  <c r="R102" i="17"/>
  <c r="Q102" i="17"/>
  <c r="P102" i="17"/>
  <c r="O102" i="17"/>
  <c r="N102" i="17"/>
  <c r="M102" i="17"/>
  <c r="L102" i="17"/>
  <c r="K102" i="17"/>
  <c r="J102" i="17"/>
  <c r="I102" i="17"/>
  <c r="H102" i="17"/>
  <c r="G102" i="17"/>
  <c r="Z101" i="17"/>
  <c r="Y101" i="17"/>
  <c r="X101" i="17"/>
  <c r="W101" i="17"/>
  <c r="V101" i="17"/>
  <c r="U101" i="17"/>
  <c r="T101" i="17"/>
  <c r="S101" i="17"/>
  <c r="R101" i="17"/>
  <c r="Q101" i="17"/>
  <c r="P101" i="17"/>
  <c r="O101" i="17"/>
  <c r="N101" i="17"/>
  <c r="M101" i="17"/>
  <c r="L101" i="17"/>
  <c r="K101" i="17"/>
  <c r="J101" i="17"/>
  <c r="I101" i="17"/>
  <c r="H101" i="17"/>
  <c r="G101" i="17"/>
  <c r="Z100" i="17"/>
  <c r="Y100" i="17"/>
  <c r="X100" i="17"/>
  <c r="W100" i="17"/>
  <c r="V100" i="17"/>
  <c r="U100" i="17"/>
  <c r="T100" i="17"/>
  <c r="S100" i="17"/>
  <c r="R100" i="17"/>
  <c r="Q100" i="17"/>
  <c r="P100" i="17"/>
  <c r="O100" i="17"/>
  <c r="N100" i="17"/>
  <c r="M100" i="17"/>
  <c r="L100" i="17"/>
  <c r="K100" i="17"/>
  <c r="J100" i="17"/>
  <c r="I100" i="17"/>
  <c r="H100" i="17"/>
  <c r="G100" i="17"/>
  <c r="F102" i="17"/>
  <c r="F101" i="17"/>
  <c r="F100" i="17"/>
  <c r="Y102" i="16"/>
  <c r="X102" i="16"/>
  <c r="W102" i="16"/>
  <c r="V102" i="16"/>
  <c r="U102" i="16"/>
  <c r="T102" i="16"/>
  <c r="S102" i="16"/>
  <c r="R102" i="16"/>
  <c r="Q102" i="16"/>
  <c r="P102" i="16"/>
  <c r="O102" i="16"/>
  <c r="N102" i="16"/>
  <c r="M102" i="16"/>
  <c r="L102" i="16"/>
  <c r="K102" i="16"/>
  <c r="J102" i="16"/>
  <c r="I102" i="16"/>
  <c r="H102" i="16"/>
  <c r="G102" i="16"/>
  <c r="Y101" i="16"/>
  <c r="X101" i="16"/>
  <c r="W101" i="16"/>
  <c r="V101" i="16"/>
  <c r="U101" i="16"/>
  <c r="T101" i="16"/>
  <c r="S101" i="16"/>
  <c r="R101" i="16"/>
  <c r="Q101" i="16"/>
  <c r="P101" i="16"/>
  <c r="O101" i="16"/>
  <c r="N101" i="16"/>
  <c r="M101" i="16"/>
  <c r="L101" i="16"/>
  <c r="K101" i="16"/>
  <c r="J101" i="16"/>
  <c r="I101" i="16"/>
  <c r="H101" i="16"/>
  <c r="G101" i="16"/>
  <c r="Y100" i="16"/>
  <c r="X100" i="16"/>
  <c r="W100" i="16"/>
  <c r="V100" i="16"/>
  <c r="U100" i="16"/>
  <c r="T100" i="16"/>
  <c r="S100" i="16"/>
  <c r="R100" i="16"/>
  <c r="Q100" i="16"/>
  <c r="P100" i="16"/>
  <c r="O100" i="16"/>
  <c r="N100" i="16"/>
  <c r="M100" i="16"/>
  <c r="L100" i="16"/>
  <c r="K100" i="16"/>
  <c r="J100" i="16"/>
  <c r="I100" i="16"/>
  <c r="H100" i="16"/>
  <c r="G100" i="16"/>
  <c r="F102" i="16"/>
  <c r="F101" i="16"/>
  <c r="F100" i="16"/>
  <c r="AD102" i="15"/>
  <c r="AC102" i="15"/>
  <c r="AB102" i="15"/>
  <c r="AA102" i="15"/>
  <c r="Z102" i="15"/>
  <c r="Y102" i="15"/>
  <c r="X102" i="15"/>
  <c r="W102" i="15"/>
  <c r="V102" i="15"/>
  <c r="U102" i="15"/>
  <c r="T102" i="15"/>
  <c r="S102" i="15"/>
  <c r="R102" i="15"/>
  <c r="Q102" i="15"/>
  <c r="P102" i="15"/>
  <c r="O102" i="15"/>
  <c r="N102" i="15"/>
  <c r="M102" i="15"/>
  <c r="L102" i="15"/>
  <c r="K102" i="15"/>
  <c r="J102" i="15"/>
  <c r="I102" i="15"/>
  <c r="H102" i="15"/>
  <c r="G102" i="15"/>
  <c r="AD101" i="15"/>
  <c r="AC101" i="15"/>
  <c r="AB101" i="15"/>
  <c r="AA101" i="15"/>
  <c r="Z101" i="15"/>
  <c r="Y101" i="15"/>
  <c r="X101" i="15"/>
  <c r="W101" i="15"/>
  <c r="V101" i="15"/>
  <c r="U101" i="15"/>
  <c r="T101" i="15"/>
  <c r="S101" i="15"/>
  <c r="R101" i="15"/>
  <c r="Q101" i="15"/>
  <c r="P101" i="15"/>
  <c r="O101" i="15"/>
  <c r="N101" i="15"/>
  <c r="M101" i="15"/>
  <c r="L101" i="15"/>
  <c r="K101" i="15"/>
  <c r="J101" i="15"/>
  <c r="I101" i="15"/>
  <c r="H101" i="15"/>
  <c r="G101" i="15"/>
  <c r="AD100" i="15"/>
  <c r="AC100" i="15"/>
  <c r="AB100" i="15"/>
  <c r="AA100" i="15"/>
  <c r="Z100" i="15"/>
  <c r="Y100" i="15"/>
  <c r="X100" i="15"/>
  <c r="W100" i="15"/>
  <c r="V100" i="15"/>
  <c r="U100" i="15"/>
  <c r="T100" i="15"/>
  <c r="S100" i="15"/>
  <c r="R100" i="15"/>
  <c r="Q100" i="15"/>
  <c r="P100" i="15"/>
  <c r="O100" i="15"/>
  <c r="N100" i="15"/>
  <c r="M100" i="15"/>
  <c r="L100" i="15"/>
  <c r="K100" i="15"/>
  <c r="J100" i="15"/>
  <c r="I100" i="15"/>
  <c r="H100" i="15"/>
  <c r="G100" i="15"/>
  <c r="F102" i="15"/>
  <c r="F101" i="15"/>
  <c r="F100" i="15"/>
  <c r="Y102" i="14"/>
  <c r="X102" i="14"/>
  <c r="W102" i="14"/>
  <c r="V102" i="14"/>
  <c r="U102" i="14"/>
  <c r="T102" i="14"/>
  <c r="S102" i="14"/>
  <c r="R102" i="14"/>
  <c r="Q102" i="14"/>
  <c r="P102" i="14"/>
  <c r="O102" i="14"/>
  <c r="N102" i="14"/>
  <c r="M102" i="14"/>
  <c r="L102" i="14"/>
  <c r="K102" i="14"/>
  <c r="J102" i="14"/>
  <c r="I102" i="14"/>
  <c r="H102" i="14"/>
  <c r="G102" i="14"/>
  <c r="Y101" i="14"/>
  <c r="X101" i="14"/>
  <c r="W101" i="14"/>
  <c r="V101" i="14"/>
  <c r="U101" i="14"/>
  <c r="T101" i="14"/>
  <c r="S101" i="14"/>
  <c r="R101" i="14"/>
  <c r="Q101" i="14"/>
  <c r="P101" i="14"/>
  <c r="O101" i="14"/>
  <c r="N101" i="14"/>
  <c r="M101" i="14"/>
  <c r="L101" i="14"/>
  <c r="K101" i="14"/>
  <c r="J101" i="14"/>
  <c r="I101" i="14"/>
  <c r="H101" i="14"/>
  <c r="G101" i="14"/>
  <c r="Y100" i="14"/>
  <c r="X100" i="14"/>
  <c r="W100" i="14"/>
  <c r="V100" i="14"/>
  <c r="U100" i="14"/>
  <c r="T100" i="14"/>
  <c r="S100" i="14"/>
  <c r="R100" i="14"/>
  <c r="Q100" i="14"/>
  <c r="P100" i="14"/>
  <c r="O100" i="14"/>
  <c r="N100" i="14"/>
  <c r="M100" i="14"/>
  <c r="L100" i="14"/>
  <c r="K100" i="14"/>
  <c r="J100" i="14"/>
  <c r="I100" i="14"/>
  <c r="H100" i="14"/>
  <c r="G100" i="14"/>
  <c r="F102" i="14"/>
  <c r="F101" i="14"/>
  <c r="F100" i="14"/>
  <c r="Z102" i="13"/>
  <c r="Y102" i="13"/>
  <c r="X102" i="13"/>
  <c r="W102" i="13"/>
  <c r="V102" i="13"/>
  <c r="U102" i="13"/>
  <c r="T102" i="13"/>
  <c r="S102" i="13"/>
  <c r="R102" i="13"/>
  <c r="Q102" i="13"/>
  <c r="P102" i="13"/>
  <c r="O102" i="13"/>
  <c r="N102" i="13"/>
  <c r="M102" i="13"/>
  <c r="L102" i="13"/>
  <c r="K102" i="13"/>
  <c r="J102" i="13"/>
  <c r="I102" i="13"/>
  <c r="H102" i="13"/>
  <c r="G102" i="13"/>
  <c r="Z101" i="13"/>
  <c r="Y101" i="13"/>
  <c r="X101" i="13"/>
  <c r="W101" i="13"/>
  <c r="V101" i="13"/>
  <c r="U101" i="13"/>
  <c r="T101" i="13"/>
  <c r="S101" i="13"/>
  <c r="R101" i="13"/>
  <c r="Q101" i="13"/>
  <c r="P101" i="13"/>
  <c r="O101" i="13"/>
  <c r="N101" i="13"/>
  <c r="M101" i="13"/>
  <c r="L101" i="13"/>
  <c r="K101" i="13"/>
  <c r="J101" i="13"/>
  <c r="I101" i="13"/>
  <c r="H101" i="13"/>
  <c r="G101" i="13"/>
  <c r="Z100" i="13"/>
  <c r="Y100" i="13"/>
  <c r="X100" i="13"/>
  <c r="W100" i="13"/>
  <c r="V100" i="13"/>
  <c r="U100" i="13"/>
  <c r="T100" i="13"/>
  <c r="S100" i="13"/>
  <c r="R100" i="13"/>
  <c r="Q100" i="13"/>
  <c r="P100" i="13"/>
  <c r="O100" i="13"/>
  <c r="N100" i="13"/>
  <c r="M100" i="13"/>
  <c r="L100" i="13"/>
  <c r="K100" i="13"/>
  <c r="J100" i="13"/>
  <c r="I100" i="13"/>
  <c r="H100" i="13"/>
  <c r="G100" i="13"/>
  <c r="F102" i="13"/>
  <c r="F101" i="13"/>
  <c r="F100" i="13"/>
  <c r="Z102" i="12"/>
  <c r="Y102" i="12"/>
  <c r="X102" i="12"/>
  <c r="W102" i="12"/>
  <c r="V102" i="12"/>
  <c r="U102" i="12"/>
  <c r="T102" i="12"/>
  <c r="S102" i="12"/>
  <c r="R102" i="12"/>
  <c r="Q102" i="12"/>
  <c r="P102" i="12"/>
  <c r="O102" i="12"/>
  <c r="N102" i="12"/>
  <c r="M102" i="12"/>
  <c r="L102" i="12"/>
  <c r="K102" i="12"/>
  <c r="J102" i="12"/>
  <c r="I102" i="12"/>
  <c r="H102" i="12"/>
  <c r="G102" i="12"/>
  <c r="Z101" i="12"/>
  <c r="Y101" i="12"/>
  <c r="X101" i="12"/>
  <c r="W101" i="12"/>
  <c r="V101" i="12"/>
  <c r="U101" i="12"/>
  <c r="T101" i="12"/>
  <c r="S101" i="12"/>
  <c r="R101" i="12"/>
  <c r="Q101" i="12"/>
  <c r="P101" i="12"/>
  <c r="O101" i="12"/>
  <c r="N101" i="12"/>
  <c r="M101" i="12"/>
  <c r="L101" i="12"/>
  <c r="K101" i="12"/>
  <c r="J101" i="12"/>
  <c r="I101" i="12"/>
  <c r="H101" i="12"/>
  <c r="G101" i="12"/>
  <c r="Z100" i="12"/>
  <c r="Y100" i="12"/>
  <c r="X100" i="12"/>
  <c r="W100" i="12"/>
  <c r="V100" i="12"/>
  <c r="U100" i="12"/>
  <c r="T100" i="12"/>
  <c r="S100" i="12"/>
  <c r="R100" i="12"/>
  <c r="Q100" i="12"/>
  <c r="P100" i="12"/>
  <c r="O100" i="12"/>
  <c r="N100" i="12"/>
  <c r="M100" i="12"/>
  <c r="L100" i="12"/>
  <c r="K100" i="12"/>
  <c r="J100" i="12"/>
  <c r="I100" i="12"/>
  <c r="H100" i="12"/>
  <c r="G100" i="12"/>
  <c r="F102" i="12"/>
  <c r="F101" i="12"/>
  <c r="F100" i="12"/>
  <c r="AD102" i="11"/>
  <c r="AC102" i="11"/>
  <c r="AB102" i="11"/>
  <c r="AA102" i="11"/>
  <c r="Z102" i="11"/>
  <c r="Y102" i="11"/>
  <c r="X102" i="11"/>
  <c r="W102" i="11"/>
  <c r="V102" i="11"/>
  <c r="U102" i="11"/>
  <c r="T102" i="11"/>
  <c r="S102" i="11"/>
  <c r="R102" i="11"/>
  <c r="Q102" i="11"/>
  <c r="P102" i="11"/>
  <c r="O102" i="11"/>
  <c r="N102" i="11"/>
  <c r="M102" i="11"/>
  <c r="L102" i="11"/>
  <c r="K102" i="11"/>
  <c r="J102" i="11"/>
  <c r="I102" i="11"/>
  <c r="H102" i="11"/>
  <c r="G102" i="11"/>
  <c r="AD101" i="11"/>
  <c r="AC101" i="11"/>
  <c r="AB101" i="11"/>
  <c r="AA101" i="11"/>
  <c r="Z101" i="11"/>
  <c r="Y101" i="11"/>
  <c r="X101" i="11"/>
  <c r="W101" i="11"/>
  <c r="V101" i="11"/>
  <c r="U101" i="11"/>
  <c r="T101" i="11"/>
  <c r="S101" i="11"/>
  <c r="R101" i="11"/>
  <c r="Q101" i="11"/>
  <c r="P101" i="11"/>
  <c r="O101" i="11"/>
  <c r="N101" i="11"/>
  <c r="M101" i="11"/>
  <c r="L101" i="11"/>
  <c r="K101" i="11"/>
  <c r="J101" i="11"/>
  <c r="I101" i="11"/>
  <c r="H101" i="11"/>
  <c r="G101" i="11"/>
  <c r="AD100" i="11"/>
  <c r="AC100" i="11"/>
  <c r="AB100" i="11"/>
  <c r="AA100" i="11"/>
  <c r="Z100" i="11"/>
  <c r="Y100" i="11"/>
  <c r="X100" i="11"/>
  <c r="W100" i="11"/>
  <c r="V100" i="11"/>
  <c r="U100" i="11"/>
  <c r="T100" i="11"/>
  <c r="S100" i="11"/>
  <c r="R100" i="11"/>
  <c r="Q100" i="11"/>
  <c r="P100" i="11"/>
  <c r="O100" i="11"/>
  <c r="N100" i="11"/>
  <c r="M100" i="11"/>
  <c r="L100" i="11"/>
  <c r="K100" i="11"/>
  <c r="J100" i="11"/>
  <c r="I100" i="11"/>
  <c r="H100" i="11"/>
  <c r="G100" i="11"/>
  <c r="F102" i="11"/>
  <c r="F101" i="11"/>
  <c r="F100" i="11"/>
  <c r="Y102" i="6"/>
  <c r="X102" i="6"/>
  <c r="W102" i="6"/>
  <c r="V102" i="6"/>
  <c r="U102" i="6"/>
  <c r="T102" i="6"/>
  <c r="S102" i="6"/>
  <c r="R102" i="6"/>
  <c r="Q102" i="6"/>
  <c r="P102" i="6"/>
  <c r="O102" i="6"/>
  <c r="N102" i="6"/>
  <c r="M102" i="6"/>
  <c r="L102" i="6"/>
  <c r="K102" i="6"/>
  <c r="J102" i="6"/>
  <c r="I102" i="6"/>
  <c r="H102" i="6"/>
  <c r="G102" i="6"/>
  <c r="Y101" i="6"/>
  <c r="X101" i="6"/>
  <c r="W101" i="6"/>
  <c r="V101" i="6"/>
  <c r="U101" i="6"/>
  <c r="T101" i="6"/>
  <c r="S101" i="6"/>
  <c r="R101" i="6"/>
  <c r="Q101" i="6"/>
  <c r="P101" i="6"/>
  <c r="O101" i="6"/>
  <c r="N101" i="6"/>
  <c r="M101" i="6"/>
  <c r="L101" i="6"/>
  <c r="K101" i="6"/>
  <c r="J101" i="6"/>
  <c r="I101" i="6"/>
  <c r="H101" i="6"/>
  <c r="G101" i="6"/>
  <c r="Y100" i="6"/>
  <c r="X100" i="6"/>
  <c r="W100" i="6"/>
  <c r="V100" i="6"/>
  <c r="U100" i="6"/>
  <c r="T100" i="6"/>
  <c r="S100" i="6"/>
  <c r="R100" i="6"/>
  <c r="Q100" i="6"/>
  <c r="P100" i="6"/>
  <c r="O100" i="6"/>
  <c r="N100" i="6"/>
  <c r="M100" i="6"/>
  <c r="L100" i="6"/>
  <c r="K100" i="6"/>
  <c r="J100" i="6"/>
  <c r="I100" i="6"/>
  <c r="H100" i="6"/>
  <c r="G100" i="6"/>
  <c r="F102" i="6"/>
  <c r="F101" i="6"/>
  <c r="F100" i="6"/>
  <c r="Z102" i="4"/>
  <c r="Y102" i="4"/>
  <c r="X102" i="4"/>
  <c r="W102" i="4"/>
  <c r="V102" i="4"/>
  <c r="U102" i="4"/>
  <c r="T102" i="4"/>
  <c r="S102" i="4"/>
  <c r="R102" i="4"/>
  <c r="Q102" i="4"/>
  <c r="P102" i="4"/>
  <c r="O102" i="4"/>
  <c r="N102" i="4"/>
  <c r="M102" i="4"/>
  <c r="L102" i="4"/>
  <c r="K102" i="4"/>
  <c r="J102" i="4"/>
  <c r="I102" i="4"/>
  <c r="H102" i="4"/>
  <c r="G102" i="4"/>
  <c r="Z101" i="4"/>
  <c r="Y101" i="4"/>
  <c r="X101" i="4"/>
  <c r="W101" i="4"/>
  <c r="V101" i="4"/>
  <c r="U101" i="4"/>
  <c r="T101" i="4"/>
  <c r="S101" i="4"/>
  <c r="R101" i="4"/>
  <c r="Q101" i="4"/>
  <c r="P101" i="4"/>
  <c r="O101" i="4"/>
  <c r="N101" i="4"/>
  <c r="M101" i="4"/>
  <c r="L101" i="4"/>
  <c r="K101" i="4"/>
  <c r="J101" i="4"/>
  <c r="I101" i="4"/>
  <c r="H101" i="4"/>
  <c r="G101" i="4"/>
  <c r="Z100" i="4"/>
  <c r="Y100" i="4"/>
  <c r="X100" i="4"/>
  <c r="W100" i="4"/>
  <c r="V100" i="4"/>
  <c r="U100" i="4"/>
  <c r="T100" i="4"/>
  <c r="S100" i="4"/>
  <c r="R100" i="4"/>
  <c r="Q100" i="4"/>
  <c r="P100" i="4"/>
  <c r="O100" i="4"/>
  <c r="N100" i="4"/>
  <c r="M100" i="4"/>
  <c r="L100" i="4"/>
  <c r="K100" i="4"/>
  <c r="J100" i="4"/>
  <c r="I100" i="4"/>
  <c r="H100" i="4"/>
  <c r="G100" i="4"/>
  <c r="F100" i="4"/>
  <c r="F102" i="4"/>
  <c r="F101" i="4"/>
  <c r="AD102" i="5"/>
  <c r="AC102" i="5"/>
  <c r="AB102" i="5"/>
  <c r="AA102" i="5"/>
  <c r="Z102" i="5"/>
  <c r="Y102" i="5"/>
  <c r="X102" i="5"/>
  <c r="W102" i="5"/>
  <c r="V102" i="5"/>
  <c r="U102" i="5"/>
  <c r="T102" i="5"/>
  <c r="S102" i="5"/>
  <c r="R102" i="5"/>
  <c r="Q102" i="5"/>
  <c r="P102" i="5"/>
  <c r="O102" i="5"/>
  <c r="N102" i="5"/>
  <c r="M102" i="5"/>
  <c r="L102" i="5"/>
  <c r="K102" i="5"/>
  <c r="J102" i="5"/>
  <c r="I102" i="5"/>
  <c r="H102" i="5"/>
  <c r="G102" i="5"/>
  <c r="AD101" i="5"/>
  <c r="AC101" i="5"/>
  <c r="AB101" i="5"/>
  <c r="AA101" i="5"/>
  <c r="Z101" i="5"/>
  <c r="Y101" i="5"/>
  <c r="X101" i="5"/>
  <c r="W101" i="5"/>
  <c r="V101" i="5"/>
  <c r="U101" i="5"/>
  <c r="T101" i="5"/>
  <c r="S101" i="5"/>
  <c r="R101" i="5"/>
  <c r="Q101" i="5"/>
  <c r="P101" i="5"/>
  <c r="O101" i="5"/>
  <c r="N101" i="5"/>
  <c r="M101" i="5"/>
  <c r="L101" i="5"/>
  <c r="K101" i="5"/>
  <c r="J101" i="5"/>
  <c r="I101" i="5"/>
  <c r="H101" i="5"/>
  <c r="G101" i="5"/>
  <c r="AD100" i="5"/>
  <c r="AC100" i="5"/>
  <c r="AB100" i="5"/>
  <c r="AA100" i="5"/>
  <c r="Z100" i="5"/>
  <c r="Y100" i="5"/>
  <c r="X100" i="5"/>
  <c r="W100" i="5"/>
  <c r="V100" i="5"/>
  <c r="U100" i="5"/>
  <c r="T100" i="5"/>
  <c r="S100" i="5"/>
  <c r="R100" i="5"/>
  <c r="Q100" i="5"/>
  <c r="P100" i="5"/>
  <c r="O100" i="5"/>
  <c r="N100" i="5"/>
  <c r="M100" i="5"/>
  <c r="L100" i="5"/>
  <c r="K100" i="5"/>
  <c r="J100" i="5"/>
  <c r="I100" i="5"/>
  <c r="H100" i="5"/>
  <c r="G100" i="5"/>
  <c r="F102" i="5"/>
  <c r="F101" i="5"/>
  <c r="F100" i="5"/>
  <c r="Z102" i="9"/>
  <c r="Y102" i="9"/>
  <c r="X102" i="9"/>
  <c r="W102" i="9"/>
  <c r="V102" i="9"/>
  <c r="U102" i="9"/>
  <c r="T102" i="9"/>
  <c r="S102" i="9"/>
  <c r="R102" i="9"/>
  <c r="Q102" i="9"/>
  <c r="P102" i="9"/>
  <c r="O102" i="9"/>
  <c r="N102" i="9"/>
  <c r="M102" i="9"/>
  <c r="L102" i="9"/>
  <c r="K102" i="9"/>
  <c r="J102" i="9"/>
  <c r="I102" i="9"/>
  <c r="H102" i="9"/>
  <c r="G102" i="9"/>
  <c r="Z101" i="9"/>
  <c r="Y101" i="9"/>
  <c r="X101" i="9"/>
  <c r="W101" i="9"/>
  <c r="V101" i="9"/>
  <c r="U101" i="9"/>
  <c r="T101" i="9"/>
  <c r="S101" i="9"/>
  <c r="R101" i="9"/>
  <c r="Q101" i="9"/>
  <c r="P101" i="9"/>
  <c r="O101" i="9"/>
  <c r="N101" i="9"/>
  <c r="M101" i="9"/>
  <c r="L101" i="9"/>
  <c r="K101" i="9"/>
  <c r="J101" i="9"/>
  <c r="I101" i="9"/>
  <c r="H101" i="9"/>
  <c r="G101" i="9"/>
  <c r="Z100" i="9"/>
  <c r="Y100" i="9"/>
  <c r="X100" i="9"/>
  <c r="W100" i="9"/>
  <c r="V100" i="9"/>
  <c r="U100" i="9"/>
  <c r="T100" i="9"/>
  <c r="S100" i="9"/>
  <c r="R100" i="9"/>
  <c r="Q100" i="9"/>
  <c r="P100" i="9"/>
  <c r="O100" i="9"/>
  <c r="N100" i="9"/>
  <c r="M100" i="9"/>
  <c r="L100" i="9"/>
  <c r="J100" i="9"/>
  <c r="I100" i="9"/>
  <c r="H100" i="9"/>
  <c r="G100" i="9"/>
  <c r="F102" i="9"/>
  <c r="F101" i="9"/>
  <c r="F100" i="9"/>
  <c r="AD102" i="7"/>
  <c r="AC102" i="7"/>
  <c r="AB102" i="7"/>
  <c r="AA102" i="7"/>
  <c r="Z102" i="7"/>
  <c r="Y102" i="7"/>
  <c r="X102" i="7"/>
  <c r="W102" i="7"/>
  <c r="V102" i="7"/>
  <c r="U102" i="7"/>
  <c r="T102" i="7"/>
  <c r="S102" i="7"/>
  <c r="R102" i="7"/>
  <c r="Q102" i="7"/>
  <c r="P102" i="7"/>
  <c r="O102" i="7"/>
  <c r="N102" i="7"/>
  <c r="M102" i="7"/>
  <c r="L102" i="7"/>
  <c r="K102" i="7"/>
  <c r="J102" i="7"/>
  <c r="I102" i="7"/>
  <c r="H102" i="7"/>
  <c r="G102" i="7"/>
  <c r="AD101" i="7"/>
  <c r="AC101" i="7"/>
  <c r="AB101" i="7"/>
  <c r="AA101" i="7"/>
  <c r="Z101" i="7"/>
  <c r="Y101" i="7"/>
  <c r="X101" i="7"/>
  <c r="W101" i="7"/>
  <c r="V101" i="7"/>
  <c r="U101" i="7"/>
  <c r="T101" i="7"/>
  <c r="S101" i="7"/>
  <c r="R101" i="7"/>
  <c r="Q101" i="7"/>
  <c r="P101" i="7"/>
  <c r="O101" i="7"/>
  <c r="N101" i="7"/>
  <c r="M101" i="7"/>
  <c r="L101" i="7"/>
  <c r="K101" i="7"/>
  <c r="J101" i="7"/>
  <c r="I101" i="7"/>
  <c r="H101" i="7"/>
  <c r="G101" i="7"/>
  <c r="AD100" i="7"/>
  <c r="AC100" i="7"/>
  <c r="AB100" i="7"/>
  <c r="AA100" i="7"/>
  <c r="Z100" i="7"/>
  <c r="Y100" i="7"/>
  <c r="X100" i="7"/>
  <c r="W100" i="7"/>
  <c r="V100" i="7"/>
  <c r="U100" i="7"/>
  <c r="T100" i="7"/>
  <c r="S100" i="7"/>
  <c r="R100" i="7"/>
  <c r="Q100" i="7"/>
  <c r="P100" i="7"/>
  <c r="O100" i="7"/>
  <c r="N100" i="7"/>
  <c r="M100" i="7"/>
  <c r="L100" i="7"/>
  <c r="K100" i="7"/>
  <c r="J100" i="7"/>
  <c r="I100" i="7"/>
  <c r="H100" i="7"/>
  <c r="G100" i="7"/>
  <c r="F102" i="7"/>
  <c r="F101" i="7"/>
  <c r="F100" i="7"/>
  <c r="Z102" i="8"/>
  <c r="Y102" i="8"/>
  <c r="X102" i="8"/>
  <c r="W102" i="8"/>
  <c r="V102" i="8"/>
  <c r="U102" i="8"/>
  <c r="T102" i="8"/>
  <c r="S102" i="8"/>
  <c r="R102" i="8"/>
  <c r="Q102" i="8"/>
  <c r="P102" i="8"/>
  <c r="O102" i="8"/>
  <c r="N102" i="8"/>
  <c r="M102" i="8"/>
  <c r="L102" i="8"/>
  <c r="K102" i="8"/>
  <c r="J102" i="8"/>
  <c r="I102" i="8"/>
  <c r="H102" i="8"/>
  <c r="G102" i="8"/>
  <c r="Z101" i="8"/>
  <c r="Y101" i="8"/>
  <c r="X101" i="8"/>
  <c r="W101" i="8"/>
  <c r="V101" i="8"/>
  <c r="U101" i="8"/>
  <c r="T101" i="8"/>
  <c r="S101" i="8"/>
  <c r="R101" i="8"/>
  <c r="Q101" i="8"/>
  <c r="P101" i="8"/>
  <c r="O101" i="8"/>
  <c r="N101" i="8"/>
  <c r="M101" i="8"/>
  <c r="L101" i="8"/>
  <c r="K101" i="8"/>
  <c r="J101" i="8"/>
  <c r="I101" i="8"/>
  <c r="H101" i="8"/>
  <c r="G101" i="8"/>
  <c r="Z100" i="8"/>
  <c r="Y100" i="8"/>
  <c r="X100" i="8"/>
  <c r="W100" i="8"/>
  <c r="V100" i="8"/>
  <c r="U100" i="8"/>
  <c r="T100" i="8"/>
  <c r="S100" i="8"/>
  <c r="R100" i="8"/>
  <c r="Q100" i="8"/>
  <c r="P100" i="8"/>
  <c r="O100" i="8"/>
  <c r="N100" i="8"/>
  <c r="M100" i="8"/>
  <c r="L100" i="8"/>
  <c r="K100" i="8"/>
  <c r="J100" i="8"/>
  <c r="I100" i="8"/>
  <c r="H100" i="8"/>
  <c r="G100" i="8"/>
  <c r="F102" i="8"/>
  <c r="F101" i="8"/>
  <c r="F100" i="8"/>
  <c r="AD102" i="10"/>
  <c r="AC102" i="10"/>
  <c r="AB102" i="10"/>
  <c r="AA102" i="10"/>
  <c r="Z102" i="10"/>
  <c r="Y102" i="10"/>
  <c r="X102" i="10"/>
  <c r="W102" i="10"/>
  <c r="V102" i="10"/>
  <c r="U102" i="10"/>
  <c r="T102" i="10"/>
  <c r="S102" i="10"/>
  <c r="R102" i="10"/>
  <c r="Q102" i="10"/>
  <c r="P102" i="10"/>
  <c r="O102" i="10"/>
  <c r="N102" i="10"/>
  <c r="M102" i="10"/>
  <c r="L102" i="10"/>
  <c r="K102" i="10"/>
  <c r="J102" i="10"/>
  <c r="I102" i="10"/>
  <c r="H102" i="10"/>
  <c r="G102" i="10"/>
  <c r="AD101" i="10"/>
  <c r="AC101" i="10"/>
  <c r="AB101" i="10"/>
  <c r="AA101" i="10"/>
  <c r="Z101" i="10"/>
  <c r="Y101" i="10"/>
  <c r="X101" i="10"/>
  <c r="W101" i="10"/>
  <c r="V101" i="10"/>
  <c r="U101" i="10"/>
  <c r="T101" i="10"/>
  <c r="S101" i="10"/>
  <c r="R101" i="10"/>
  <c r="Q101" i="10"/>
  <c r="P101" i="10"/>
  <c r="O101" i="10"/>
  <c r="N101" i="10"/>
  <c r="M101" i="10"/>
  <c r="L101" i="10"/>
  <c r="K101" i="10"/>
  <c r="J101" i="10"/>
  <c r="I101" i="10"/>
  <c r="H101" i="10"/>
  <c r="G101" i="10"/>
  <c r="AD100" i="10"/>
  <c r="AC100" i="10"/>
  <c r="AB100" i="10"/>
  <c r="AA100" i="10"/>
  <c r="Z100" i="10"/>
  <c r="Y100" i="10"/>
  <c r="X100" i="10"/>
  <c r="W100" i="10"/>
  <c r="V100" i="10"/>
  <c r="U100" i="10"/>
  <c r="T100" i="10"/>
  <c r="S100" i="10"/>
  <c r="R100" i="10"/>
  <c r="Q100" i="10"/>
  <c r="P100" i="10"/>
  <c r="O100" i="10"/>
  <c r="N100" i="10"/>
  <c r="M100" i="10"/>
  <c r="L100" i="10"/>
  <c r="K100" i="10"/>
  <c r="J100" i="10"/>
  <c r="I100" i="10"/>
  <c r="H100" i="10"/>
  <c r="G100" i="10"/>
  <c r="F102" i="10"/>
  <c r="F101" i="10"/>
  <c r="F100" i="10"/>
  <c r="Y32" i="1"/>
  <c r="X30" i="1"/>
  <c r="M37" i="1"/>
  <c r="I35" i="1"/>
  <c r="K38" i="1"/>
  <c r="R29" i="1"/>
  <c r="U36" i="1"/>
  <c r="Q34" i="1"/>
  <c r="K36" i="1"/>
  <c r="G28" i="1"/>
  <c r="P32" i="1"/>
  <c r="V34" i="1"/>
  <c r="Q36" i="1"/>
  <c r="V36" i="1"/>
  <c r="I30" i="1"/>
  <c r="L29" i="1"/>
  <c r="F32" i="1"/>
  <c r="K30" i="1"/>
  <c r="X31" i="1"/>
  <c r="R32" i="1"/>
  <c r="L35" i="1"/>
  <c r="O29" i="1"/>
  <c r="O39" i="1"/>
  <c r="J34" i="1"/>
  <c r="K31" i="1"/>
  <c r="Z4" i="1" a="1"/>
  <c r="J30" i="1"/>
  <c r="I32" i="1"/>
  <c r="V29" i="1"/>
  <c r="H36" i="1"/>
  <c r="H30" i="1"/>
  <c r="X35" i="1"/>
  <c r="U33" i="1"/>
  <c r="L34" i="1"/>
  <c r="Y31" i="1"/>
  <c r="N32" i="1"/>
  <c r="O37" i="1"/>
  <c r="X32" i="1"/>
  <c r="U32" i="1"/>
  <c r="G39" i="1"/>
  <c r="P35" i="1"/>
  <c r="X33" i="1"/>
  <c r="H34" i="1"/>
  <c r="H35" i="1"/>
  <c r="P31" i="1"/>
  <c r="W31" i="1"/>
  <c r="Y21" i="1"/>
  <c r="O33" i="1"/>
  <c r="H39" i="1"/>
  <c r="T29" i="1"/>
  <c r="T33" i="1"/>
  <c r="S31" i="1"/>
  <c r="Q31" i="1"/>
  <c r="K37" i="1"/>
  <c r="T21" i="1"/>
  <c r="F31" i="1"/>
  <c r="K33" i="1"/>
  <c r="J35" i="1"/>
  <c r="T28" i="1"/>
  <c r="F39" i="1"/>
  <c r="V30" i="1"/>
  <c r="G33" i="1"/>
  <c r="F33" i="1"/>
  <c r="N33" i="1"/>
  <c r="O31" i="1"/>
  <c r="V28" i="1"/>
  <c r="W36" i="1"/>
  <c r="O30" i="1"/>
  <c r="L37" i="1"/>
  <c r="G29" i="1"/>
  <c r="V32" i="1"/>
  <c r="V35" i="1"/>
  <c r="F35" i="1"/>
  <c r="L28" i="1"/>
  <c r="G35" i="1"/>
  <c r="N38" i="1"/>
  <c r="S29" i="1"/>
  <c r="L32" i="1"/>
  <c r="H37" i="1"/>
  <c r="J39" i="1"/>
  <c r="U28" i="1"/>
  <c r="H28" i="1"/>
  <c r="N37" i="1"/>
  <c r="J37" i="1"/>
  <c r="V33" i="1"/>
  <c r="X28" i="1"/>
  <c r="F38" i="1"/>
  <c r="Q29" i="1"/>
  <c r="N39" i="1"/>
  <c r="I38" i="1"/>
  <c r="G36" i="1"/>
  <c r="M30" i="1"/>
  <c r="Q28" i="1"/>
  <c r="V21" i="1"/>
  <c r="W35" i="1"/>
  <c r="W30" i="1"/>
  <c r="H29" i="1"/>
  <c r="F34" i="1"/>
  <c r="W32" i="1"/>
  <c r="S30" i="1"/>
  <c r="N30" i="1"/>
  <c r="P30" i="1"/>
  <c r="W21" i="1"/>
  <c r="G31" i="1"/>
  <c r="Y30" i="1"/>
  <c r="N31" i="1"/>
  <c r="L31" i="1"/>
  <c r="K32" i="1"/>
  <c r="J33" i="1"/>
  <c r="K39" i="1"/>
  <c r="U30" i="1"/>
  <c r="L30" i="1"/>
  <c r="R36" i="1"/>
  <c r="U34" i="1"/>
  <c r="P34" i="1"/>
  <c r="R21" i="1"/>
  <c r="S36" i="1"/>
  <c r="S28" i="1"/>
  <c r="V31" i="1"/>
  <c r="J29" i="1"/>
  <c r="T36" i="1"/>
  <c r="J32" i="1"/>
  <c r="Y34" i="1"/>
  <c r="M32" i="1"/>
  <c r="W34" i="1"/>
  <c r="J36" i="1"/>
  <c r="T30" i="1"/>
  <c r="Y29" i="1"/>
  <c r="Y28" i="1"/>
  <c r="U21" i="1"/>
  <c r="Q32" i="1"/>
  <c r="K28" i="1"/>
  <c r="G34" i="1"/>
  <c r="M31" i="1"/>
  <c r="U29" i="1"/>
  <c r="I39" i="1"/>
  <c r="W28" i="1"/>
  <c r="Q35" i="1"/>
  <c r="Q30" i="1"/>
  <c r="Q33" i="1"/>
  <c r="X21" i="1"/>
  <c r="P28" i="1"/>
  <c r="O32" i="1"/>
  <c r="T31" i="1"/>
  <c r="L36" i="1"/>
  <c r="P36" i="1"/>
  <c r="M28" i="1"/>
  <c r="G30" i="1"/>
  <c r="I34" i="1"/>
  <c r="Q21" i="1"/>
  <c r="N34" i="1"/>
  <c r="J28" i="1"/>
  <c r="R35" i="1"/>
  <c r="M33" i="1"/>
  <c r="K29" i="1"/>
  <c r="S34" i="1"/>
  <c r="G32" i="1"/>
  <c r="I29" i="1"/>
  <c r="S21" i="1"/>
  <c r="W29" i="1"/>
  <c r="O38" i="1"/>
  <c r="U35" i="1"/>
  <c r="N29" i="1"/>
  <c r="I28" i="1"/>
  <c r="H38" i="1"/>
  <c r="I36" i="1"/>
  <c r="R31" i="1"/>
  <c r="P33" i="1"/>
  <c r="R28" i="1"/>
  <c r="F30" i="1"/>
  <c r="I31" i="1"/>
  <c r="M35" i="1"/>
  <c r="F37" i="1"/>
  <c r="S33" i="1"/>
  <c r="Y35" i="1"/>
  <c r="F36" i="1"/>
  <c r="H31" i="1"/>
  <c r="X34" i="1"/>
  <c r="O34" i="1"/>
  <c r="U31" i="1"/>
  <c r="Y36" i="1"/>
  <c r="H33" i="1"/>
  <c r="N36" i="1"/>
  <c r="O28" i="1"/>
  <c r="F28" i="1"/>
  <c r="O35" i="1"/>
  <c r="L39" i="1"/>
  <c r="R34" i="1"/>
  <c r="M29" i="1"/>
  <c r="G37" i="1"/>
  <c r="J38" i="1"/>
  <c r="L38" i="1"/>
  <c r="R33" i="1"/>
  <c r="M34" i="1"/>
  <c r="L33" i="1"/>
  <c r="P21" i="1"/>
  <c r="K35" i="1"/>
  <c r="F29" i="1"/>
  <c r="W33" i="1"/>
  <c r="Y33" i="1"/>
  <c r="S35" i="1"/>
  <c r="I37" i="1"/>
  <c r="P29" i="1"/>
  <c r="J31" i="1"/>
  <c r="T34" i="1"/>
  <c r="X29" i="1"/>
  <c r="R30" i="1"/>
  <c r="N35" i="1"/>
  <c r="O36" i="1"/>
  <c r="X36" i="1"/>
  <c r="T32" i="1"/>
  <c r="M38" i="1"/>
  <c r="H32" i="1"/>
  <c r="K34" i="1"/>
  <c r="I33" i="1"/>
  <c r="M36" i="1"/>
  <c r="G38" i="1"/>
  <c r="N28" i="1"/>
  <c r="M39" i="1"/>
  <c r="T35" i="1"/>
  <c r="S32" i="1"/>
  <c r="D12" i="51" l="1"/>
  <c r="C59" i="51"/>
  <c r="K59" i="51" s="1"/>
  <c r="C60" i="51"/>
  <c r="K60" i="51" s="1"/>
  <c r="C61" i="51"/>
  <c r="K61" i="51" s="1"/>
  <c r="C18" i="51"/>
  <c r="C16" i="51"/>
  <c r="F16" i="51"/>
  <c r="F17" i="51"/>
  <c r="D16" i="51"/>
  <c r="D17" i="51"/>
  <c r="C17" i="51"/>
  <c r="G39" i="23"/>
  <c r="G40" i="23" s="1"/>
  <c r="AH68" i="42"/>
  <c r="AH69" i="42" s="1"/>
  <c r="F12" i="51"/>
  <c r="F13" i="51"/>
  <c r="D13" i="51"/>
  <c r="AO7" i="32"/>
  <c r="BK7" i="32"/>
  <c r="AZ7" i="32"/>
  <c r="AT7" i="32"/>
  <c r="BG7" i="32"/>
  <c r="BL7" i="32"/>
  <c r="AW7" i="32"/>
  <c r="AV7" i="32"/>
  <c r="AJ7" i="32"/>
  <c r="AL7" i="32"/>
  <c r="AX7" i="32"/>
  <c r="AU7" i="32"/>
  <c r="BE7" i="32"/>
  <c r="AR7" i="32"/>
  <c r="AK7" i="32"/>
  <c r="AS7" i="32"/>
  <c r="BD7" i="32"/>
  <c r="AP7" i="32"/>
  <c r="BH7" i="32"/>
  <c r="BA7" i="32"/>
  <c r="BF7" i="32"/>
  <c r="BB7" i="32"/>
  <c r="BC7" i="32"/>
  <c r="AM7" i="32"/>
  <c r="AQ7" i="32"/>
  <c r="BI7" i="32"/>
  <c r="BJ7" i="32"/>
  <c r="AY7" i="32"/>
  <c r="AN7" i="32"/>
  <c r="F6" i="51"/>
  <c r="J39" i="23"/>
  <c r="J40" i="23" s="1"/>
  <c r="I39" i="23"/>
  <c r="I40" i="23" s="1"/>
  <c r="H39" i="23"/>
  <c r="H40" i="23" s="1"/>
  <c r="K39" i="23"/>
  <c r="K40" i="23" s="1"/>
  <c r="AI68" i="42"/>
  <c r="AJ68" i="42"/>
  <c r="BK68" i="42"/>
  <c r="BC68" i="42"/>
  <c r="AU68" i="42"/>
  <c r="AM68" i="42"/>
  <c r="BJ68" i="42"/>
  <c r="BB68" i="42"/>
  <c r="AT68" i="42"/>
  <c r="AL68" i="42"/>
  <c r="AX68" i="42"/>
  <c r="BE68" i="42"/>
  <c r="AO68" i="42"/>
  <c r="BD68" i="42"/>
  <c r="AV68" i="42"/>
  <c r="BI68" i="42"/>
  <c r="BA68" i="42"/>
  <c r="AS68" i="42"/>
  <c r="AK68" i="42"/>
  <c r="AQ68" i="42"/>
  <c r="BF68" i="42"/>
  <c r="AP68" i="42"/>
  <c r="AW68" i="42"/>
  <c r="BL68" i="42"/>
  <c r="AN68" i="42"/>
  <c r="BH68" i="42"/>
  <c r="AZ68" i="42"/>
  <c r="AR68" i="42"/>
  <c r="AY68" i="42"/>
  <c r="BG68" i="42"/>
  <c r="D7" i="32"/>
  <c r="AI7" i="32"/>
  <c r="AA7" i="32"/>
  <c r="S7" i="32"/>
  <c r="K7" i="32"/>
  <c r="AH7" i="32"/>
  <c r="Z7" i="32"/>
  <c r="R7" i="32"/>
  <c r="J7" i="32"/>
  <c r="AG7" i="32"/>
  <c r="Y7" i="32"/>
  <c r="Q7" i="32"/>
  <c r="I7" i="32"/>
  <c r="AF7" i="32"/>
  <c r="X7" i="32"/>
  <c r="P7" i="32"/>
  <c r="H7" i="32"/>
  <c r="AE7" i="32"/>
  <c r="W7" i="32"/>
  <c r="O7" i="32"/>
  <c r="G7" i="32"/>
  <c r="L7" i="32"/>
  <c r="AD7" i="32"/>
  <c r="V7" i="32"/>
  <c r="N7" i="32"/>
  <c r="F7" i="32"/>
  <c r="T7" i="32"/>
  <c r="AC7" i="32"/>
  <c r="U7" i="32"/>
  <c r="M7" i="32"/>
  <c r="E7" i="32"/>
  <c r="AB7" i="32"/>
  <c r="Z4" i="1"/>
  <c r="AM4" i="1" s="1"/>
  <c r="AI39" i="1" a="1"/>
  <c r="AB30" i="1" a="1"/>
  <c r="AH30" i="1" a="1"/>
  <c r="AC5" i="1" a="1"/>
  <c r="AF30" i="1" a="1"/>
  <c r="AE32" i="1" a="1"/>
  <c r="Z11" i="1" a="1"/>
  <c r="AB39" i="1" a="1"/>
  <c r="AG19" i="1" a="1"/>
  <c r="AI33" i="1" a="1"/>
  <c r="AC21" i="1" a="1"/>
  <c r="AC16" i="1" a="1"/>
  <c r="AD31" i="1" a="1"/>
  <c r="AC38" i="1" a="1"/>
  <c r="Z14" i="1" a="1"/>
  <c r="AA7" i="1" a="1"/>
  <c r="AE17" i="1" a="1"/>
  <c r="AB38" i="1" a="1"/>
  <c r="AB6" i="1" a="1"/>
  <c r="Z31" i="1" a="1"/>
  <c r="AG34" i="1" a="1"/>
  <c r="AB13" i="1" a="1"/>
  <c r="AF31" i="1" a="1"/>
  <c r="AF28" i="1" a="1"/>
  <c r="AE20" i="1" a="1"/>
  <c r="AC12" i="1" a="1"/>
  <c r="AA8" i="1" a="1"/>
  <c r="AH5" i="1" a="1"/>
  <c r="AI14" i="1" a="1"/>
  <c r="AG15" i="1" a="1"/>
  <c r="AF11" i="1" a="1"/>
  <c r="AI6" i="1" a="1"/>
  <c r="AB29" i="1" a="1"/>
  <c r="AE13" i="1" a="1"/>
  <c r="AI18" i="1" a="1"/>
  <c r="AI35" i="1" a="1"/>
  <c r="AC30" i="1" a="1"/>
  <c r="AA31" i="1" a="1"/>
  <c r="AE15" i="1" a="1"/>
  <c r="AD9" i="1" a="1"/>
  <c r="AI20" i="1" a="1"/>
  <c r="AH32" i="1" a="1"/>
  <c r="AD18" i="1" a="1"/>
  <c r="AG35" i="1" a="1"/>
  <c r="AC39" i="1" a="1"/>
  <c r="AD33" i="1" a="1"/>
  <c r="AF17" i="1" a="1"/>
  <c r="AE18" i="1" a="1"/>
  <c r="AI13" i="1" a="1"/>
  <c r="AC6" i="1" a="1"/>
  <c r="AI11" i="1" a="1"/>
  <c r="AB34" i="1" a="1"/>
  <c r="AH31" i="1" a="1"/>
  <c r="AE29" i="1" a="1"/>
  <c r="AD38" i="1" a="1"/>
  <c r="AF20" i="1" a="1"/>
  <c r="AI28" i="1" a="1"/>
  <c r="AD19" i="1" a="1"/>
  <c r="AD28" i="1" a="1"/>
  <c r="AE34" i="1" a="1"/>
  <c r="AA9" i="1" a="1"/>
  <c r="AG30" i="1" a="1"/>
  <c r="AF21" i="1" a="1"/>
  <c r="AH9" i="1" a="1"/>
  <c r="AB17" i="1" a="1"/>
  <c r="AD5" i="1" a="1"/>
  <c r="AH29" i="1" a="1"/>
  <c r="AE39" i="1" a="1"/>
  <c r="AF13" i="1" a="1"/>
  <c r="AA17" i="1" a="1"/>
  <c r="AF8" i="1" a="1"/>
  <c r="AI31" i="1" a="1"/>
  <c r="AG12" i="1" a="1"/>
  <c r="AB11" i="1" a="1"/>
  <c r="AE5" i="1" a="1"/>
  <c r="AA30" i="1" a="1"/>
  <c r="Z16" i="1" a="1"/>
  <c r="AA34" i="1" a="1"/>
  <c r="Z15" i="1" a="1"/>
  <c r="AG28" i="1" a="1"/>
  <c r="AE31" i="1" a="1"/>
  <c r="AE14" i="1" a="1"/>
  <c r="AA33" i="1" a="1"/>
  <c r="AB4" i="1" a="1"/>
  <c r="AB7" i="1" a="1"/>
  <c r="Z17" i="1" a="1"/>
  <c r="AB32" i="1" a="1"/>
  <c r="AH36" i="1" a="1"/>
  <c r="AI10" i="1" a="1"/>
  <c r="AA35" i="1" a="1"/>
  <c r="AF37" i="1" a="1"/>
  <c r="AH20" i="1" a="1"/>
  <c r="AA20" i="1" a="1"/>
  <c r="AI30" i="1" a="1"/>
  <c r="AD11" i="1" a="1"/>
  <c r="Z19" i="1" a="1"/>
  <c r="AH14" i="1" a="1"/>
  <c r="Z39" i="1" a="1"/>
  <c r="AF6" i="1" a="1"/>
  <c r="AA21" i="1" a="1"/>
  <c r="AH6" i="1" a="1"/>
  <c r="AH28" i="1" a="1"/>
  <c r="AH7" i="1" a="1"/>
  <c r="AE9" i="1" a="1"/>
  <c r="AH16" i="1" a="1"/>
  <c r="AD37" i="1" a="1"/>
  <c r="Z18" i="1" a="1"/>
  <c r="Z6" i="1" a="1"/>
  <c r="AE36" i="1" a="1"/>
  <c r="AC11" i="1" a="1"/>
  <c r="Z12" i="1" a="1"/>
  <c r="AD17" i="1" a="1"/>
  <c r="AB33" i="1" a="1"/>
  <c r="AB16" i="1" a="1"/>
  <c r="AF19" i="1" a="1"/>
  <c r="Z29" i="1" a="1"/>
  <c r="AE11" i="1" a="1"/>
  <c r="AI38" i="1" a="1"/>
  <c r="AG18" i="1" a="1"/>
  <c r="AG10" i="1" a="1"/>
  <c r="AG29" i="1" a="1"/>
  <c r="AA11" i="1" a="1"/>
  <c r="Z5" i="1" a="1"/>
  <c r="AF38" i="1" a="1"/>
  <c r="AE21" i="1" a="1"/>
  <c r="AF5" i="1" a="1"/>
  <c r="AH8" i="1" a="1"/>
  <c r="AH37" i="1" a="1"/>
  <c r="AF33" i="1" a="1"/>
  <c r="AF12" i="1" a="1"/>
  <c r="AI12" i="1" a="1"/>
  <c r="AE19" i="1" a="1"/>
  <c r="AC18" i="1" a="1"/>
  <c r="AF16" i="1" a="1"/>
  <c r="AD20" i="1" a="1"/>
  <c r="AF14" i="1" a="1"/>
  <c r="AB19" i="1" a="1"/>
  <c r="AD4" i="1" a="1"/>
  <c r="AB28" i="1" a="1"/>
  <c r="AG14" i="1" a="1"/>
  <c r="AG5" i="1" a="1"/>
  <c r="AC37" i="1" a="1"/>
  <c r="AF35" i="1" a="1"/>
  <c r="AH10" i="1" a="1"/>
  <c r="AA16" i="1" a="1"/>
  <c r="AG11" i="1" a="1"/>
  <c r="AH18" i="1" a="1"/>
  <c r="AH4" i="1" a="1"/>
  <c r="AG8" i="1" a="1"/>
  <c r="AE6" i="1" a="1"/>
  <c r="AB12" i="1" a="1"/>
  <c r="AI21" i="1" a="1"/>
  <c r="AI37" i="1" a="1"/>
  <c r="AI36" i="1" a="1"/>
  <c r="AI7" i="1" a="1"/>
  <c r="AD7" i="1" a="1"/>
  <c r="Z13" i="1" a="1"/>
  <c r="AB20" i="1" a="1"/>
  <c r="AF9" i="1" a="1"/>
  <c r="AA38" i="1" a="1"/>
  <c r="AG38" i="1" a="1"/>
  <c r="AG21" i="1" a="1"/>
  <c r="AF18" i="1" a="1"/>
  <c r="AD15" i="1" a="1"/>
  <c r="AA12" i="1" a="1"/>
  <c r="AH11" i="1" a="1"/>
  <c r="AE30" i="1" a="1"/>
  <c r="AD39" i="1" a="1"/>
  <c r="AH12" i="1" a="1"/>
  <c r="AD14" i="1" a="1"/>
  <c r="AH21" i="1" a="1"/>
  <c r="AC8" i="1" a="1"/>
  <c r="AH38" i="1" a="1"/>
  <c r="AE37" i="1" a="1"/>
  <c r="AD6" i="1" a="1"/>
  <c r="AA14" i="1" a="1"/>
  <c r="AG39" i="1" a="1"/>
  <c r="Z35" i="1" a="1"/>
  <c r="Z37" i="1" a="1"/>
  <c r="AE10" i="1" a="1"/>
  <c r="AI32" i="1" a="1"/>
  <c r="AD35" i="1" a="1"/>
  <c r="Z36" i="1" a="1"/>
  <c r="AH17" i="1" a="1"/>
  <c r="AE33" i="1" a="1"/>
  <c r="AC32" i="1" a="1"/>
  <c r="AA13" i="1" a="1"/>
  <c r="AG13" i="1" a="1"/>
  <c r="AH13" i="1" a="1"/>
  <c r="Z32" i="1" a="1"/>
  <c r="AG36" i="1" a="1"/>
  <c r="AI29" i="1" a="1"/>
  <c r="Z9" i="1" a="1"/>
  <c r="AC9" i="1" a="1"/>
  <c r="AA18" i="1" a="1"/>
  <c r="AC34" i="1" a="1"/>
  <c r="AB10" i="1" a="1"/>
  <c r="AE35" i="1" a="1"/>
  <c r="AA32" i="1" a="1"/>
  <c r="Z10" i="1" a="1"/>
  <c r="AF4" i="1" a="1"/>
  <c r="AF39" i="1" a="1"/>
  <c r="Z20" i="1" a="1"/>
  <c r="AC15" i="1" a="1"/>
  <c r="AG37" i="1" a="1"/>
  <c r="AE38" i="1" a="1"/>
  <c r="AE8" i="1" a="1"/>
  <c r="AA36" i="1" a="1"/>
  <c r="AB36" i="1" a="1"/>
  <c r="AC36" i="1" a="1"/>
  <c r="AH19" i="1" a="1"/>
  <c r="AC19" i="1" a="1"/>
  <c r="AD34" i="1" a="1"/>
  <c r="AD29" i="1" a="1"/>
  <c r="AF34" i="1" a="1"/>
  <c r="AF10" i="1" a="1"/>
  <c r="AG4" i="1" a="1"/>
  <c r="AI8" i="1" a="1"/>
  <c r="AC13" i="1" a="1"/>
  <c r="AD21" i="1" a="1"/>
  <c r="AH34" i="1" a="1"/>
  <c r="AE7" i="1" a="1"/>
  <c r="AG7" i="1" a="1"/>
  <c r="AF29" i="1" a="1"/>
  <c r="AC31" i="1" a="1"/>
  <c r="AH35" i="1" a="1"/>
  <c r="AC17" i="1" a="1"/>
  <c r="AB31" i="1" a="1"/>
  <c r="AC35" i="1" a="1"/>
  <c r="AF32" i="1" a="1"/>
  <c r="AB9" i="1" a="1"/>
  <c r="AA15" i="1" a="1"/>
  <c r="AD12" i="1" a="1"/>
  <c r="Z28" i="1" a="1"/>
  <c r="Z30" i="1" a="1"/>
  <c r="AH39" i="1" a="1"/>
  <c r="Z34" i="1" a="1"/>
  <c r="AD36" i="1" a="1"/>
  <c r="AC29" i="1" a="1"/>
  <c r="AG16" i="1" a="1"/>
  <c r="AD32" i="1" a="1"/>
  <c r="AA39" i="1" a="1"/>
  <c r="AI15" i="1" a="1"/>
  <c r="AH15" i="1" a="1"/>
  <c r="AB18" i="1" a="1"/>
  <c r="AE12" i="1" a="1"/>
  <c r="AC20" i="1" a="1"/>
  <c r="AD8" i="1" a="1"/>
  <c r="AF15" i="1" a="1"/>
  <c r="AD13" i="1" a="1"/>
  <c r="AB35" i="1" a="1"/>
  <c r="AG20" i="1" a="1"/>
  <c r="AB15" i="1" a="1"/>
  <c r="AC14" i="1" a="1"/>
  <c r="AD30" i="1" a="1"/>
  <c r="AF7" i="1" a="1"/>
  <c r="AI4" i="1" a="1"/>
  <c r="AG17" i="1" a="1"/>
  <c r="AG33" i="1" a="1"/>
  <c r="AE28" i="1" a="1"/>
  <c r="AI19" i="1" a="1"/>
  <c r="AH33" i="1" a="1"/>
  <c r="Z33" i="1" a="1"/>
  <c r="AC10" i="1" a="1"/>
  <c r="AG6" i="1" a="1"/>
  <c r="AD16" i="1" a="1"/>
  <c r="Z38" i="1" a="1"/>
  <c r="Z7" i="1" a="1"/>
  <c r="AA19" i="1" a="1"/>
  <c r="AI16" i="1" a="1"/>
  <c r="AA37" i="1" a="1"/>
  <c r="Z21" i="1" a="1"/>
  <c r="AD10" i="1" a="1"/>
  <c r="AB8" i="1" a="1"/>
  <c r="AB5" i="1" a="1"/>
  <c r="AF36" i="1" a="1"/>
  <c r="AE16" i="1" a="1"/>
  <c r="AA6" i="1" a="1"/>
  <c r="AC4" i="1" a="1"/>
  <c r="AE4" i="1" a="1"/>
  <c r="AA29" i="1" a="1"/>
  <c r="AG32" i="1" a="1"/>
  <c r="AA10" i="1" a="1"/>
  <c r="AC33" i="1" a="1"/>
  <c r="AB14" i="1" a="1"/>
  <c r="AI5" i="1" a="1"/>
  <c r="AG31" i="1" a="1"/>
  <c r="AB37" i="1" a="1"/>
  <c r="AA28" i="1" a="1"/>
  <c r="AC28" i="1" a="1"/>
  <c r="AI34" i="1" a="1"/>
  <c r="AA5" i="1" a="1"/>
  <c r="AA4" i="1" a="1"/>
  <c r="Z8" i="1" a="1"/>
  <c r="AI9" i="1" a="1"/>
  <c r="AB21" i="1" a="1"/>
  <c r="AG9" i="1" a="1"/>
  <c r="AI17" i="1" a="1"/>
  <c r="AC7" i="1" a="1"/>
  <c r="K15" i="23" l="1"/>
  <c r="K18" i="23" s="1"/>
  <c r="V14" i="23"/>
  <c r="V20" i="23" s="1"/>
  <c r="I23" i="23" s="1"/>
  <c r="I41" i="23"/>
  <c r="J41" i="23"/>
  <c r="K41" i="23"/>
  <c r="L40" i="23" s="1"/>
  <c r="H41" i="23"/>
  <c r="K9" i="23"/>
  <c r="D6" i="51"/>
  <c r="BG69" i="42"/>
  <c r="AP69" i="42"/>
  <c r="BD69" i="42"/>
  <c r="AM69" i="42"/>
  <c r="AO69" i="42"/>
  <c r="AR69" i="42"/>
  <c r="AQ69" i="42"/>
  <c r="BE69" i="42"/>
  <c r="BC69" i="42"/>
  <c r="AW69" i="42"/>
  <c r="AY69" i="42"/>
  <c r="AZ69" i="42"/>
  <c r="AK69" i="42"/>
  <c r="AX69" i="42"/>
  <c r="BK69" i="42"/>
  <c r="AV69" i="42"/>
  <c r="BF69" i="42"/>
  <c r="BH69" i="42"/>
  <c r="AS69" i="42"/>
  <c r="AL69" i="42"/>
  <c r="AJ69" i="42"/>
  <c r="AN69" i="42"/>
  <c r="BA69" i="42"/>
  <c r="AT69" i="42"/>
  <c r="BJ69" i="42"/>
  <c r="AU69" i="42"/>
  <c r="BL69" i="42"/>
  <c r="BI69" i="42"/>
  <c r="BB69" i="42"/>
  <c r="AI69" i="42"/>
  <c r="G6" i="51"/>
  <c r="H14" i="23"/>
  <c r="H17" i="23" s="1"/>
  <c r="K14" i="23"/>
  <c r="K17" i="23" s="1"/>
  <c r="I14" i="23"/>
  <c r="I17" i="23" s="1"/>
  <c r="G32" i="23"/>
  <c r="AB28" i="1"/>
  <c r="AC38" i="1"/>
  <c r="AP38" i="1" s="1"/>
  <c r="AC6" i="1"/>
  <c r="AC36" i="1"/>
  <c r="AP36" i="1" s="1"/>
  <c r="AD7" i="1"/>
  <c r="AH19" i="1"/>
  <c r="AU19" i="1" s="1"/>
  <c r="AB15" i="1"/>
  <c r="AO15" i="1" s="1"/>
  <c r="AB18" i="1"/>
  <c r="AO18" i="1" s="1"/>
  <c r="AB37" i="1"/>
  <c r="AO37" i="1" s="1"/>
  <c r="AI32" i="1"/>
  <c r="AV32" i="1" s="1"/>
  <c r="AC39" i="1"/>
  <c r="AP39" i="1" s="1"/>
  <c r="AF14" i="1"/>
  <c r="AA35" i="1"/>
  <c r="AF11" i="1"/>
  <c r="AD8" i="1"/>
  <c r="AC32" i="1"/>
  <c r="AP32" i="1" s="1"/>
  <c r="AF38" i="1"/>
  <c r="AF5" i="1"/>
  <c r="AC10" i="1"/>
  <c r="AB13" i="1"/>
  <c r="Z19" i="1"/>
  <c r="AM19" i="1" s="1"/>
  <c r="AE4" i="1"/>
  <c r="AB19" i="1"/>
  <c r="Z21" i="1"/>
  <c r="AM21" i="1" s="1"/>
  <c r="AA10" i="1"/>
  <c r="AC15" i="1"/>
  <c r="AP15" i="1" s="1"/>
  <c r="AB4" i="1"/>
  <c r="AC11" i="1"/>
  <c r="Z16" i="1"/>
  <c r="AM16" i="1" s="1"/>
  <c r="AI36" i="1"/>
  <c r="AV36" i="1" s="1"/>
  <c r="AI14" i="1"/>
  <c r="AV14" i="1" s="1"/>
  <c r="AA6" i="1"/>
  <c r="AI16" i="1"/>
  <c r="AV16" i="1" s="1"/>
  <c r="AF37" i="1"/>
  <c r="Z9" i="1"/>
  <c r="AH28" i="1"/>
  <c r="AU28" i="1" s="1"/>
  <c r="AI13" i="1"/>
  <c r="AV13" i="1" s="1"/>
  <c r="AE19" i="1"/>
  <c r="AG13" i="1"/>
  <c r="AH15" i="1"/>
  <c r="AU15" i="1" s="1"/>
  <c r="Z28" i="1"/>
  <c r="AM28" i="1" s="1"/>
  <c r="AB20" i="1"/>
  <c r="AO20" i="1" s="1"/>
  <c r="AC7" i="1"/>
  <c r="AB21" i="1"/>
  <c r="AO21" i="1" s="1"/>
  <c r="AA31" i="1"/>
  <c r="AF20" i="1"/>
  <c r="AA19" i="1"/>
  <c r="AE18" i="1"/>
  <c r="AR18" i="1" s="1"/>
  <c r="AE37" i="1"/>
  <c r="AR37" i="1" s="1"/>
  <c r="AB8" i="1"/>
  <c r="AO8" i="1" s="1"/>
  <c r="AB9" i="1"/>
  <c r="Z7" i="1"/>
  <c r="AA16" i="1"/>
  <c r="AH20" i="1"/>
  <c r="AU20" i="1" s="1"/>
  <c r="AE38" i="1"/>
  <c r="AR38" i="1" s="1"/>
  <c r="AE8" i="1"/>
  <c r="AH21" i="1"/>
  <c r="AU21" i="1" s="1"/>
  <c r="AG28" i="1"/>
  <c r="AG30" i="1"/>
  <c r="AT30" i="1" s="1"/>
  <c r="AI6" i="1"/>
  <c r="AF19" i="1"/>
  <c r="AG21" i="1"/>
  <c r="AT21" i="1" s="1"/>
  <c r="AB11" i="1"/>
  <c r="AF7" i="1"/>
  <c r="AE5" i="1"/>
  <c r="AC14" i="1"/>
  <c r="AP14" i="1" s="1"/>
  <c r="Z32" i="1"/>
  <c r="AM32" i="1" s="1"/>
  <c r="Z33" i="1"/>
  <c r="AM33" i="1" s="1"/>
  <c r="AD11" i="1"/>
  <c r="AH8" i="1"/>
  <c r="AA14" i="1"/>
  <c r="AH7" i="1"/>
  <c r="AA28" i="1"/>
  <c r="AF16" i="1"/>
  <c r="AH9" i="1"/>
  <c r="AD21" i="1"/>
  <c r="AE20" i="1"/>
  <c r="AR20" i="1" s="1"/>
  <c r="AI9" i="1"/>
  <c r="AE16" i="1"/>
  <c r="AA20" i="1"/>
  <c r="Z35" i="1"/>
  <c r="AM35" i="1" s="1"/>
  <c r="AB29" i="1"/>
  <c r="AO29" i="1" s="1"/>
  <c r="AB31" i="1"/>
  <c r="AO31" i="1" s="1"/>
  <c r="AD18" i="1"/>
  <c r="AA29" i="1"/>
  <c r="AD29" i="1"/>
  <c r="AI7" i="1"/>
  <c r="AA13" i="1"/>
  <c r="AD12" i="1"/>
  <c r="AG4" i="1"/>
  <c r="Z29" i="1"/>
  <c r="AM29" i="1" s="1"/>
  <c r="Z37" i="1"/>
  <c r="AM37" i="1" s="1"/>
  <c r="AB30" i="1"/>
  <c r="AO30" i="1" s="1"/>
  <c r="AI11" i="1"/>
  <c r="Z34" i="1"/>
  <c r="AM34" i="1" s="1"/>
  <c r="AC21" i="1"/>
  <c r="AP21" i="1" s="1"/>
  <c r="AH13" i="1"/>
  <c r="AU13" i="1" s="1"/>
  <c r="AB36" i="1"/>
  <c r="AO36" i="1" s="1"/>
  <c r="AH10" i="1"/>
  <c r="AD20" i="1"/>
  <c r="AE10" i="1"/>
  <c r="AE12" i="1"/>
  <c r="Z14" i="1"/>
  <c r="AM14" i="1" s="1"/>
  <c r="AI37" i="1"/>
  <c r="AV37" i="1" s="1"/>
  <c r="AE29" i="1"/>
  <c r="AR29" i="1" s="1"/>
  <c r="AH17" i="1"/>
  <c r="AU17" i="1" s="1"/>
  <c r="AF39" i="1"/>
  <c r="AG6" i="1"/>
  <c r="AH5" i="1"/>
  <c r="AE11" i="1"/>
  <c r="AI8" i="1"/>
  <c r="Z12" i="1"/>
  <c r="AH39" i="1"/>
  <c r="AU39" i="1" s="1"/>
  <c r="AE39" i="1"/>
  <c r="AR39" i="1" s="1"/>
  <c r="AF17" i="1"/>
  <c r="AE6" i="1"/>
  <c r="AE31" i="1"/>
  <c r="AR31" i="1" s="1"/>
  <c r="AF31" i="1"/>
  <c r="AI38" i="1"/>
  <c r="AV38" i="1" s="1"/>
  <c r="AA4" i="1"/>
  <c r="AI29" i="1"/>
  <c r="AV29" i="1" s="1"/>
  <c r="AG34" i="1"/>
  <c r="AT34" i="1" s="1"/>
  <c r="AA8" i="1"/>
  <c r="AD17" i="1"/>
  <c r="AB39" i="1"/>
  <c r="AO39" i="1" s="1"/>
  <c r="AB35" i="1"/>
  <c r="AO35" i="1" s="1"/>
  <c r="AE15" i="1"/>
  <c r="AR15" i="1" s="1"/>
  <c r="AG31" i="1"/>
  <c r="AT31" i="1" s="1"/>
  <c r="AE33" i="1"/>
  <c r="AR33" i="1" s="1"/>
  <c r="AI19" i="1"/>
  <c r="AV19" i="1" s="1"/>
  <c r="AI21" i="1"/>
  <c r="AV21" i="1" s="1"/>
  <c r="AA7" i="1"/>
  <c r="AH33" i="1"/>
  <c r="AU33" i="1" s="1"/>
  <c r="AA12" i="1"/>
  <c r="AC18" i="1"/>
  <c r="AP18" i="1" s="1"/>
  <c r="AG9" i="1"/>
  <c r="AF28" i="1"/>
  <c r="AA21" i="1"/>
  <c r="AG7" i="1"/>
  <c r="AC12" i="1"/>
  <c r="AH31" i="1"/>
  <c r="AU31" i="1" s="1"/>
  <c r="AI5" i="1"/>
  <c r="AI12" i="1"/>
  <c r="AA9" i="1"/>
  <c r="AH6" i="1"/>
  <c r="AA32" i="1"/>
  <c r="AG12" i="1"/>
  <c r="AG5" i="1"/>
  <c r="Z5" i="1"/>
  <c r="Z17" i="1"/>
  <c r="AM17" i="1" s="1"/>
  <c r="AC9" i="1"/>
  <c r="AP9" i="1" s="1"/>
  <c r="AE14" i="1"/>
  <c r="AR14" i="1" s="1"/>
  <c r="AA36" i="1"/>
  <c r="AH38" i="1"/>
  <c r="AU38" i="1" s="1"/>
  <c r="AE36" i="1"/>
  <c r="AR36" i="1" s="1"/>
  <c r="AA15" i="1"/>
  <c r="AA5" i="1"/>
  <c r="AC17" i="1"/>
  <c r="AP17" i="1" s="1"/>
  <c r="AI18" i="1"/>
  <c r="AV18" i="1" s="1"/>
  <c r="AF35" i="1"/>
  <c r="AB16" i="1"/>
  <c r="AG35" i="1"/>
  <c r="AT35" i="1" s="1"/>
  <c r="AH4" i="1"/>
  <c r="AG20" i="1"/>
  <c r="AT20" i="1" s="1"/>
  <c r="AD10" i="1"/>
  <c r="AH36" i="1"/>
  <c r="AU36" i="1" s="1"/>
  <c r="AF34" i="1"/>
  <c r="AG14" i="1"/>
  <c r="AT14" i="1" s="1"/>
  <c r="AD36" i="1"/>
  <c r="AD32" i="1"/>
  <c r="AI17" i="1"/>
  <c r="AV17" i="1" s="1"/>
  <c r="AG17" i="1"/>
  <c r="AT17" i="1" s="1"/>
  <c r="AA17" i="1"/>
  <c r="AF21" i="1"/>
  <c r="AI30" i="1"/>
  <c r="AV30" i="1" s="1"/>
  <c r="AH35" i="1"/>
  <c r="AU35" i="1" s="1"/>
  <c r="AD5" i="1"/>
  <c r="Z30" i="1"/>
  <c r="AM30" i="1" s="1"/>
  <c r="AD4" i="1"/>
  <c r="AB10" i="1"/>
  <c r="AI4" i="1"/>
  <c r="AE32" i="1"/>
  <c r="AR32" i="1" s="1"/>
  <c r="AE13" i="1"/>
  <c r="AB38" i="1"/>
  <c r="AO38" i="1" s="1"/>
  <c r="AH14" i="1"/>
  <c r="AU14" i="1" s="1"/>
  <c r="AF36" i="1"/>
  <c r="AG16" i="1"/>
  <c r="AH34" i="1"/>
  <c r="AU34" i="1" s="1"/>
  <c r="AD14" i="1"/>
  <c r="AF18" i="1"/>
  <c r="Z18" i="1"/>
  <c r="AM18" i="1" s="1"/>
  <c r="AC19" i="1"/>
  <c r="Z6" i="1"/>
  <c r="AF33" i="1"/>
  <c r="Z39" i="1"/>
  <c r="AM39" i="1" s="1"/>
  <c r="AI20" i="1"/>
  <c r="AV20" i="1" s="1"/>
  <c r="AD38" i="1"/>
  <c r="AC30" i="1"/>
  <c r="AP30" i="1" s="1"/>
  <c r="Z10" i="1"/>
  <c r="Z31" i="1"/>
  <c r="AM31" i="1" s="1"/>
  <c r="AD28" i="1"/>
  <c r="AD39" i="1"/>
  <c r="AB14" i="1"/>
  <c r="AO14" i="1" s="1"/>
  <c r="AA38" i="1"/>
  <c r="AH12" i="1"/>
  <c r="AF10" i="1"/>
  <c r="AC31" i="1"/>
  <c r="AP31" i="1" s="1"/>
  <c r="AG15" i="1"/>
  <c r="AT15" i="1" s="1"/>
  <c r="AF8" i="1"/>
  <c r="AD37" i="1"/>
  <c r="AC16" i="1"/>
  <c r="AG38" i="1"/>
  <c r="AT38" i="1" s="1"/>
  <c r="AB34" i="1"/>
  <c r="AO34" i="1" s="1"/>
  <c r="AD35" i="1"/>
  <c r="AG29" i="1"/>
  <c r="AT29" i="1" s="1"/>
  <c r="AC20" i="1"/>
  <c r="AP20" i="1" s="1"/>
  <c r="AE30" i="1"/>
  <c r="AR30" i="1" s="1"/>
  <c r="AA37" i="1"/>
  <c r="AA34" i="1"/>
  <c r="AD19" i="1"/>
  <c r="AI15" i="1"/>
  <c r="AV15" i="1" s="1"/>
  <c r="AG33" i="1"/>
  <c r="AT33" i="1" s="1"/>
  <c r="AC13" i="1"/>
  <c r="AD16" i="1"/>
  <c r="AD9" i="1"/>
  <c r="AE34" i="1"/>
  <c r="AR34" i="1" s="1"/>
  <c r="AC33" i="1"/>
  <c r="AP33" i="1" s="1"/>
  <c r="AF15" i="1"/>
  <c r="AE21" i="1"/>
  <c r="AR21" i="1" s="1"/>
  <c r="AF9" i="1"/>
  <c r="AD13" i="1"/>
  <c r="AF4" i="1"/>
  <c r="AI39" i="1"/>
  <c r="AV39" i="1" s="1"/>
  <c r="AC28" i="1"/>
  <c r="AB32" i="1"/>
  <c r="AO32" i="1" s="1"/>
  <c r="AG11" i="1"/>
  <c r="AA18" i="1"/>
  <c r="AD15" i="1"/>
  <c r="AG8" i="1"/>
  <c r="AA39" i="1"/>
  <c r="AH18" i="1"/>
  <c r="AU18" i="1" s="1"/>
  <c r="AH32" i="1"/>
  <c r="AU32" i="1" s="1"/>
  <c r="AA11" i="1"/>
  <c r="AG19" i="1"/>
  <c r="AI34" i="1"/>
  <c r="AV34" i="1" s="1"/>
  <c r="Z20" i="1"/>
  <c r="AM20" i="1" s="1"/>
  <c r="AC8" i="1"/>
  <c r="AC35" i="1"/>
  <c r="AP35" i="1" s="1"/>
  <c r="AH11" i="1"/>
  <c r="AH30" i="1"/>
  <c r="AU30" i="1" s="1"/>
  <c r="AG36" i="1"/>
  <c r="AT36" i="1" s="1"/>
  <c r="AB17" i="1"/>
  <c r="AO17" i="1" s="1"/>
  <c r="AC4" i="1"/>
  <c r="AG37" i="1"/>
  <c r="AT37" i="1" s="1"/>
  <c r="AD30" i="1"/>
  <c r="AE28" i="1"/>
  <c r="AD34" i="1"/>
  <c r="AE17" i="1"/>
  <c r="AR17" i="1" s="1"/>
  <c r="AC29" i="1"/>
  <c r="AP29" i="1" s="1"/>
  <c r="AG10" i="1"/>
  <c r="Z15" i="1"/>
  <c r="AM15" i="1" s="1"/>
  <c r="Z38" i="1"/>
  <c r="AM38" i="1" s="1"/>
  <c r="AD33" i="1"/>
  <c r="AB7" i="1"/>
  <c r="AI33" i="1"/>
  <c r="AV33" i="1" s="1"/>
  <c r="AF12" i="1"/>
  <c r="AH29" i="1"/>
  <c r="AU29" i="1" s="1"/>
  <c r="AG39" i="1"/>
  <c r="AT39" i="1" s="1"/>
  <c r="Z8" i="1"/>
  <c r="Z47" i="1" s="1"/>
  <c r="AM47" i="1" s="1"/>
  <c r="AH37" i="1"/>
  <c r="AU37" i="1" s="1"/>
  <c r="AE35" i="1"/>
  <c r="AR35" i="1" s="1"/>
  <c r="AA30" i="1"/>
  <c r="AI10" i="1"/>
  <c r="AF29" i="1"/>
  <c r="AG18" i="1"/>
  <c r="AT18" i="1" s="1"/>
  <c r="AI28" i="1"/>
  <c r="AV28" i="1" s="1"/>
  <c r="AA33" i="1"/>
  <c r="AI35" i="1"/>
  <c r="AV35" i="1" s="1"/>
  <c r="AE7" i="1"/>
  <c r="AC5" i="1"/>
  <c r="Z11" i="1"/>
  <c r="AD31" i="1"/>
  <c r="AH16" i="1"/>
  <c r="AU16" i="1" s="1"/>
  <c r="AF13" i="1"/>
  <c r="AB12" i="1"/>
  <c r="AF6" i="1"/>
  <c r="Z36" i="1"/>
  <c r="AM36" i="1" s="1"/>
  <c r="AC37" i="1"/>
  <c r="AP37" i="1" s="1"/>
  <c r="AF30" i="1"/>
  <c r="AI31" i="1"/>
  <c r="AV31" i="1" s="1"/>
  <c r="AB33" i="1"/>
  <c r="AO33" i="1" s="1"/>
  <c r="AC34" i="1"/>
  <c r="AP34" i="1" s="1"/>
  <c r="AD6" i="1"/>
  <c r="AG32" i="1"/>
  <c r="AT32" i="1" s="1"/>
  <c r="AE9" i="1"/>
  <c r="AB6" i="1"/>
  <c r="AB5" i="1"/>
  <c r="Z13" i="1"/>
  <c r="AM13" i="1" s="1"/>
  <c r="AF32" i="1"/>
  <c r="L9" i="23" l="1"/>
  <c r="G12" i="23"/>
  <c r="I9" i="23"/>
  <c r="I35" i="23"/>
  <c r="K35" i="23"/>
  <c r="H35" i="23"/>
  <c r="K36" i="23"/>
  <c r="H38" i="51"/>
  <c r="H48" i="51" s="1"/>
  <c r="H58" i="51" s="1"/>
  <c r="F38" i="51"/>
  <c r="F48" i="51" s="1"/>
  <c r="F58" i="51" s="1"/>
  <c r="AT13" i="1"/>
  <c r="I39" i="51"/>
  <c r="I35" i="51"/>
  <c r="AT19" i="1"/>
  <c r="I41" i="51"/>
  <c r="AT16" i="1"/>
  <c r="I40" i="51"/>
  <c r="AT28" i="1"/>
  <c r="I38" i="51"/>
  <c r="H41" i="51"/>
  <c r="F41" i="51"/>
  <c r="AP19" i="1"/>
  <c r="E41" i="51"/>
  <c r="AR19" i="1"/>
  <c r="G41" i="51"/>
  <c r="D41" i="51"/>
  <c r="AO19" i="1"/>
  <c r="AP16" i="1"/>
  <c r="E40" i="51"/>
  <c r="H40" i="51"/>
  <c r="D40" i="51"/>
  <c r="F40" i="51"/>
  <c r="AR16" i="1"/>
  <c r="G40" i="51"/>
  <c r="F39" i="51"/>
  <c r="H39" i="51"/>
  <c r="AO16" i="1"/>
  <c r="AP13" i="1"/>
  <c r="E39" i="51"/>
  <c r="AR13" i="1"/>
  <c r="G39" i="51"/>
  <c r="D39" i="51"/>
  <c r="D49" i="51" s="1"/>
  <c r="AO13" i="1"/>
  <c r="AR28" i="1"/>
  <c r="G38" i="51"/>
  <c r="AP28" i="1"/>
  <c r="E38" i="51"/>
  <c r="D38" i="51"/>
  <c r="H35" i="51"/>
  <c r="AO28" i="1"/>
  <c r="F35" i="51"/>
  <c r="G35" i="51"/>
  <c r="D35" i="51"/>
  <c r="E35" i="51"/>
  <c r="AK7" i="1"/>
  <c r="AK4" i="1"/>
  <c r="AK9" i="1"/>
  <c r="AK10" i="1"/>
  <c r="AS33" i="1"/>
  <c r="AK33" i="1"/>
  <c r="AS16" i="1"/>
  <c r="AK16" i="1"/>
  <c r="AK11" i="1"/>
  <c r="AK12" i="1"/>
  <c r="AS19" i="1"/>
  <c r="AK19" i="1"/>
  <c r="AS30" i="1"/>
  <c r="AK30" i="1"/>
  <c r="AS15" i="1"/>
  <c r="AK15" i="1"/>
  <c r="AS14" i="1"/>
  <c r="AK14" i="1"/>
  <c r="AS35" i="1"/>
  <c r="AK35" i="1"/>
  <c r="AS32" i="1"/>
  <c r="AK32" i="1"/>
  <c r="AS34" i="1"/>
  <c r="AK34" i="1"/>
  <c r="AS39" i="1"/>
  <c r="AK39" i="1"/>
  <c r="AK6" i="1"/>
  <c r="AS29" i="1"/>
  <c r="AK29" i="1"/>
  <c r="AS18" i="1"/>
  <c r="AK18" i="1"/>
  <c r="AS31" i="1"/>
  <c r="AK31" i="1"/>
  <c r="AS20" i="1"/>
  <c r="AK20" i="1"/>
  <c r="AS37" i="1"/>
  <c r="AK37" i="1"/>
  <c r="AS13" i="1"/>
  <c r="AK13" i="1"/>
  <c r="AS17" i="1"/>
  <c r="AK17" i="1"/>
  <c r="AS21" i="1"/>
  <c r="AK21" i="1"/>
  <c r="AK5" i="1"/>
  <c r="AS36" i="1"/>
  <c r="AK36" i="1"/>
  <c r="AK8" i="1"/>
  <c r="AS28" i="1"/>
  <c r="AK28" i="1"/>
  <c r="AS38" i="1"/>
  <c r="AK38" i="1"/>
  <c r="L15" i="23"/>
  <c r="L18" i="23" s="1"/>
  <c r="K30" i="23"/>
  <c r="L30" i="23" s="1"/>
  <c r="D71" i="51"/>
  <c r="D68" i="51"/>
  <c r="I29" i="23"/>
  <c r="H99" i="51"/>
  <c r="H108" i="51" s="1"/>
  <c r="H116" i="51" s="1"/>
  <c r="M40" i="23"/>
  <c r="AL4" i="1"/>
  <c r="H96" i="51"/>
  <c r="F96" i="51"/>
  <c r="G96" i="51"/>
  <c r="E99" i="51"/>
  <c r="F99" i="51"/>
  <c r="N108" i="51" s="1"/>
  <c r="N116" i="51" s="1"/>
  <c r="E96" i="51"/>
  <c r="E105" i="51" s="1"/>
  <c r="E113" i="51" s="1"/>
  <c r="G99" i="51"/>
  <c r="D99" i="51"/>
  <c r="D108" i="51" s="1"/>
  <c r="D116" i="51" s="1"/>
  <c r="D96" i="51"/>
  <c r="L105" i="51" s="1"/>
  <c r="L113" i="51" s="1"/>
  <c r="E153" i="51"/>
  <c r="F153" i="51"/>
  <c r="G156" i="51"/>
  <c r="E156" i="51"/>
  <c r="H153" i="51"/>
  <c r="F156" i="51"/>
  <c r="D153" i="51"/>
  <c r="D156" i="51"/>
  <c r="H156" i="51"/>
  <c r="G153" i="51"/>
  <c r="Z40" i="1"/>
  <c r="AN18" i="1"/>
  <c r="AN17" i="1"/>
  <c r="AN29" i="1"/>
  <c r="AN16" i="1"/>
  <c r="AN35" i="1"/>
  <c r="AN33" i="1"/>
  <c r="AN38" i="1"/>
  <c r="AN15" i="1"/>
  <c r="AN11" i="1"/>
  <c r="AN34" i="1"/>
  <c r="AN37" i="1"/>
  <c r="AN32" i="1"/>
  <c r="AN21" i="1"/>
  <c r="AN36" i="1"/>
  <c r="AN28" i="1"/>
  <c r="AN30" i="1"/>
  <c r="AN39" i="1"/>
  <c r="AN13" i="1"/>
  <c r="AN20" i="1"/>
  <c r="AN14" i="1"/>
  <c r="AN19" i="1"/>
  <c r="E6" i="51"/>
  <c r="H6" i="51"/>
  <c r="F11" i="51"/>
  <c r="G11" i="51" s="1"/>
  <c r="H11" i="51" s="1"/>
  <c r="F10" i="51"/>
  <c r="G10" i="51" s="1"/>
  <c r="H10" i="51" s="1"/>
  <c r="F68" i="51"/>
  <c r="G68" i="51"/>
  <c r="H68" i="51"/>
  <c r="P77" i="51" s="1"/>
  <c r="E68" i="51"/>
  <c r="F71" i="51"/>
  <c r="G71" i="51"/>
  <c r="H71" i="51"/>
  <c r="E71" i="51"/>
  <c r="G9" i="51"/>
  <c r="G13" i="51"/>
  <c r="H13" i="51" s="1"/>
  <c r="E9" i="51"/>
  <c r="G8" i="51"/>
  <c r="E8" i="51"/>
  <c r="G12" i="51"/>
  <c r="H12" i="51" s="1"/>
  <c r="H15" i="23"/>
  <c r="H18" i="23" s="1"/>
  <c r="AN31" i="1"/>
  <c r="AL9" i="1"/>
  <c r="AL6" i="1"/>
  <c r="AL5" i="1"/>
  <c r="AL8" i="1"/>
  <c r="AQ28" i="1"/>
  <c r="AL28" i="1"/>
  <c r="AL12" i="1"/>
  <c r="AQ16" i="1"/>
  <c r="AL16" i="1"/>
  <c r="AQ34" i="1"/>
  <c r="AL34" i="1"/>
  <c r="AQ36" i="1"/>
  <c r="AL36" i="1"/>
  <c r="AQ33" i="1"/>
  <c r="AL33" i="1"/>
  <c r="AQ30" i="1"/>
  <c r="AL30" i="1"/>
  <c r="AQ13" i="1"/>
  <c r="AL13" i="1"/>
  <c r="AQ29" i="1"/>
  <c r="AL29" i="1"/>
  <c r="AQ39" i="1"/>
  <c r="AL39" i="1"/>
  <c r="AQ32" i="1"/>
  <c r="AL32" i="1"/>
  <c r="AQ15" i="1"/>
  <c r="AL15" i="1"/>
  <c r="AQ38" i="1"/>
  <c r="AL38" i="1"/>
  <c r="AQ14" i="1"/>
  <c r="AL14" i="1"/>
  <c r="AQ10" i="1"/>
  <c r="AL10" i="1"/>
  <c r="AL11" i="1"/>
  <c r="AL7" i="1"/>
  <c r="AQ35" i="1"/>
  <c r="AL35" i="1"/>
  <c r="AQ19" i="1"/>
  <c r="AL19" i="1"/>
  <c r="AQ17" i="1"/>
  <c r="AL17" i="1"/>
  <c r="AQ20" i="1"/>
  <c r="AL20" i="1"/>
  <c r="AQ18" i="1"/>
  <c r="AL18" i="1"/>
  <c r="AQ21" i="1"/>
  <c r="AL21" i="1"/>
  <c r="AQ31" i="1"/>
  <c r="AL31" i="1"/>
  <c r="AQ37" i="1"/>
  <c r="AL37" i="1"/>
  <c r="K29" i="23"/>
  <c r="L14" i="23"/>
  <c r="L17" i="23" s="1"/>
  <c r="I15" i="23"/>
  <c r="I18" i="23" s="1"/>
  <c r="J14" i="23"/>
  <c r="J17" i="23" s="1"/>
  <c r="AV5" i="1"/>
  <c r="AR4" i="1"/>
  <c r="AS6" i="1"/>
  <c r="AQ6" i="1"/>
  <c r="AP4" i="1"/>
  <c r="AV4" i="1"/>
  <c r="AN5" i="1"/>
  <c r="AM5" i="1"/>
  <c r="AU5" i="1"/>
  <c r="AT5" i="1"/>
  <c r="AR6" i="1"/>
  <c r="AT6" i="1"/>
  <c r="AV6" i="1"/>
  <c r="AQ4" i="1"/>
  <c r="AU4" i="1"/>
  <c r="AO4" i="1"/>
  <c r="AP6" i="1"/>
  <c r="AT4" i="1"/>
  <c r="AS5" i="1"/>
  <c r="AO5" i="1"/>
  <c r="AM6" i="1"/>
  <c r="AQ5" i="1"/>
  <c r="AU6" i="1"/>
  <c r="AR5" i="1"/>
  <c r="AO6" i="1"/>
  <c r="AP5" i="1"/>
  <c r="AS4" i="1"/>
  <c r="AN4" i="1"/>
  <c r="AN6" i="1"/>
  <c r="AS8" i="1"/>
  <c r="AF47" i="1"/>
  <c r="AT9" i="1"/>
  <c r="AG48" i="1"/>
  <c r="AT48" i="1" s="1"/>
  <c r="AU7" i="1"/>
  <c r="AH46" i="1"/>
  <c r="AU46" i="1" s="1"/>
  <c r="AS7" i="1"/>
  <c r="AF46" i="1"/>
  <c r="AR8" i="1"/>
  <c r="AE47" i="1"/>
  <c r="AR7" i="1"/>
  <c r="AE46" i="1"/>
  <c r="AP8" i="1"/>
  <c r="AC47" i="1"/>
  <c r="AT8" i="1"/>
  <c r="AG47" i="1"/>
  <c r="AT47" i="1" s="1"/>
  <c r="AC48" i="1"/>
  <c r="AV8" i="1"/>
  <c r="AI47" i="1"/>
  <c r="AV47" i="1" s="1"/>
  <c r="AV7" i="1"/>
  <c r="AI46" i="1"/>
  <c r="AV46" i="1" s="1"/>
  <c r="AQ8" i="1"/>
  <c r="AD47" i="1"/>
  <c r="AO7" i="1"/>
  <c r="AB46" i="1"/>
  <c r="AN9" i="1"/>
  <c r="AA48" i="1"/>
  <c r="AR9" i="1"/>
  <c r="AE48" i="1"/>
  <c r="AS9" i="1"/>
  <c r="AF48" i="1"/>
  <c r="AV9" i="1"/>
  <c r="AI48" i="1"/>
  <c r="AU8" i="1"/>
  <c r="AH47" i="1"/>
  <c r="AU47" i="1" s="1"/>
  <c r="AQ9" i="1"/>
  <c r="AD48" i="1"/>
  <c r="AM8" i="1"/>
  <c r="AN7" i="1"/>
  <c r="AA46" i="1"/>
  <c r="AT7" i="1"/>
  <c r="AG46" i="1"/>
  <c r="AN8" i="1"/>
  <c r="AA47" i="1"/>
  <c r="AU9" i="1"/>
  <c r="AH48" i="1"/>
  <c r="AU48" i="1" s="1"/>
  <c r="AO9" i="1"/>
  <c r="AB48" i="1"/>
  <c r="AP7" i="1"/>
  <c r="AC46" i="1"/>
  <c r="AM9" i="1"/>
  <c r="Z48" i="1"/>
  <c r="AM48" i="1" s="1"/>
  <c r="AQ7" i="1"/>
  <c r="AD46" i="1"/>
  <c r="AB47" i="1"/>
  <c r="AM7" i="1"/>
  <c r="Z46" i="1"/>
  <c r="AM46" i="1" s="1"/>
  <c r="AV12" i="1"/>
  <c r="AI42" i="1"/>
  <c r="AO11" i="1"/>
  <c r="AB41" i="1"/>
  <c r="AS10" i="1"/>
  <c r="AF40" i="1"/>
  <c r="AN12" i="1"/>
  <c r="AA42" i="1"/>
  <c r="AR11" i="1"/>
  <c r="AE41" i="1"/>
  <c r="AR12" i="1"/>
  <c r="AE42" i="1"/>
  <c r="AV11" i="1"/>
  <c r="AI41" i="1"/>
  <c r="AS11" i="1"/>
  <c r="AF41" i="1"/>
  <c r="AO12" i="1"/>
  <c r="AB42" i="1"/>
  <c r="AU12" i="1"/>
  <c r="AH42" i="1"/>
  <c r="AD40" i="1"/>
  <c r="AR10" i="1"/>
  <c r="AE40" i="1"/>
  <c r="AQ11" i="1"/>
  <c r="AD41" i="1"/>
  <c r="AT10" i="1"/>
  <c r="AG40" i="1"/>
  <c r="AT11" i="1"/>
  <c r="AG41" i="1"/>
  <c r="AO10" i="1"/>
  <c r="AB40" i="1"/>
  <c r="AP12" i="1"/>
  <c r="AC42" i="1"/>
  <c r="AP11" i="1"/>
  <c r="AC41" i="1"/>
  <c r="AA41" i="1"/>
  <c r="AT12" i="1"/>
  <c r="AG42" i="1"/>
  <c r="AU10" i="1"/>
  <c r="AH40" i="1"/>
  <c r="AP10" i="1"/>
  <c r="AC40" i="1"/>
  <c r="AS12" i="1"/>
  <c r="AF42" i="1"/>
  <c r="AV10" i="1"/>
  <c r="AI40" i="1"/>
  <c r="AU11" i="1"/>
  <c r="AH41" i="1"/>
  <c r="AQ12" i="1"/>
  <c r="AD42" i="1"/>
  <c r="AN10" i="1"/>
  <c r="AA40" i="1"/>
  <c r="Z42" i="1"/>
  <c r="AM12" i="1"/>
  <c r="AM11" i="1"/>
  <c r="Z41" i="1"/>
  <c r="AM10" i="1"/>
  <c r="AE22" i="1"/>
  <c r="AR22" i="1" s="1"/>
  <c r="AF24" i="1"/>
  <c r="AF22" i="1"/>
  <c r="AH24" i="1"/>
  <c r="AU24" i="1" s="1"/>
  <c r="AI24" i="1"/>
  <c r="AV24" i="1" s="1"/>
  <c r="AB22" i="1"/>
  <c r="AO22" i="1" s="1"/>
  <c r="AC24" i="1"/>
  <c r="AP24" i="1" s="1"/>
  <c r="AH23" i="1"/>
  <c r="AU23" i="1" s="1"/>
  <c r="AB23" i="1"/>
  <c r="AO23" i="1" s="1"/>
  <c r="AC23" i="1"/>
  <c r="AP23" i="1" s="1"/>
  <c r="Z23" i="1"/>
  <c r="AM23" i="1" s="1"/>
  <c r="AB24" i="1"/>
  <c r="AO24" i="1" s="1"/>
  <c r="AI23" i="1"/>
  <c r="AV23" i="1" s="1"/>
  <c r="AI22" i="1"/>
  <c r="AV22" i="1" s="1"/>
  <c r="AG22" i="1"/>
  <c r="AT22" i="1" s="1"/>
  <c r="AH22" i="1"/>
  <c r="AU22" i="1" s="1"/>
  <c r="Z24" i="1"/>
  <c r="AM24" i="1" s="1"/>
  <c r="AD23" i="1"/>
  <c r="AG24" i="1"/>
  <c r="AT24" i="1" s="1"/>
  <c r="AE23" i="1"/>
  <c r="AR23" i="1" s="1"/>
  <c r="AC22" i="1"/>
  <c r="AP22" i="1" s="1"/>
  <c r="AA22" i="1"/>
  <c r="AA25" i="1" s="1"/>
  <c r="AA49" i="1" s="1"/>
  <c r="AD22" i="1"/>
  <c r="AA23" i="1"/>
  <c r="AA24" i="1"/>
  <c r="AD24" i="1"/>
  <c r="Z22" i="1"/>
  <c r="AM22" i="1" s="1"/>
  <c r="AG23" i="1"/>
  <c r="AT23" i="1" s="1"/>
  <c r="AF23" i="1"/>
  <c r="AE24" i="1"/>
  <c r="AR24" i="1" s="1"/>
  <c r="G17" i="51" l="1"/>
  <c r="G21" i="51"/>
  <c r="E16" i="51"/>
  <c r="E20" i="51"/>
  <c r="G16" i="51"/>
  <c r="G20" i="51"/>
  <c r="E17" i="51"/>
  <c r="E21" i="51"/>
  <c r="H33" i="23"/>
  <c r="M9" i="23"/>
  <c r="J8" i="23"/>
  <c r="K7" i="23"/>
  <c r="G11" i="23"/>
  <c r="K33" i="23"/>
  <c r="K32" i="23"/>
  <c r="P32" i="23"/>
  <c r="J9" i="23"/>
  <c r="K8" i="23"/>
  <c r="G7" i="23"/>
  <c r="O7" i="23"/>
  <c r="O6" i="23"/>
  <c r="M7" i="23"/>
  <c r="H8" i="23"/>
  <c r="N12" i="23"/>
  <c r="H34" i="23"/>
  <c r="P34" i="23"/>
  <c r="J32" i="23"/>
  <c r="G6" i="23"/>
  <c r="L7" i="23"/>
  <c r="O32" i="23"/>
  <c r="L6" i="23"/>
  <c r="H32" i="23"/>
  <c r="I33" i="23"/>
  <c r="N34" i="23"/>
  <c r="K34" i="23"/>
  <c r="O34" i="23"/>
  <c r="I6" i="23"/>
  <c r="P6" i="23"/>
  <c r="N8" i="23"/>
  <c r="P7" i="23"/>
  <c r="M6" i="23"/>
  <c r="O13" i="23"/>
  <c r="O11" i="23"/>
  <c r="O16" i="23" s="1"/>
  <c r="M32" i="23"/>
  <c r="M33" i="23"/>
  <c r="L34" i="23"/>
  <c r="M34" i="23"/>
  <c r="I8" i="23"/>
  <c r="N7" i="23"/>
  <c r="P11" i="23"/>
  <c r="P16" i="23" s="1"/>
  <c r="J33" i="23"/>
  <c r="N32" i="23"/>
  <c r="N33" i="23"/>
  <c r="L32" i="23"/>
  <c r="P8" i="23"/>
  <c r="H6" i="23"/>
  <c r="M8" i="23"/>
  <c r="O8" i="23"/>
  <c r="L8" i="23"/>
  <c r="I7" i="23"/>
  <c r="N13" i="23"/>
  <c r="I34" i="23"/>
  <c r="J34" i="23"/>
  <c r="O33" i="23"/>
  <c r="P33" i="23"/>
  <c r="K6" i="23"/>
  <c r="H7" i="23"/>
  <c r="J6" i="23"/>
  <c r="J7" i="23"/>
  <c r="N6" i="23"/>
  <c r="O12" i="23"/>
  <c r="P12" i="23"/>
  <c r="L33" i="23"/>
  <c r="I32" i="23"/>
  <c r="G33" i="23"/>
  <c r="J35" i="23"/>
  <c r="M15" i="23"/>
  <c r="M18" i="23" s="1"/>
  <c r="H36" i="23"/>
  <c r="P38" i="51"/>
  <c r="P48" i="51" s="1"/>
  <c r="P58" i="51" s="1"/>
  <c r="N38" i="51"/>
  <c r="N48" i="51" s="1"/>
  <c r="N58" i="51" s="1"/>
  <c r="I50" i="51"/>
  <c r="I60" i="51" s="1"/>
  <c r="Q40" i="51"/>
  <c r="Q50" i="51" s="1"/>
  <c r="Q60" i="51" s="1"/>
  <c r="I51" i="51"/>
  <c r="I61" i="51" s="1"/>
  <c r="Q41" i="51"/>
  <c r="Q51" i="51" s="1"/>
  <c r="Q61" i="51" s="1"/>
  <c r="I45" i="51"/>
  <c r="I55" i="51" s="1"/>
  <c r="Q35" i="51"/>
  <c r="Q45" i="51" s="1"/>
  <c r="Q55" i="51" s="1"/>
  <c r="I49" i="51"/>
  <c r="I59" i="51" s="1"/>
  <c r="Q39" i="51"/>
  <c r="Q49" i="51" s="1"/>
  <c r="Q59" i="51" s="1"/>
  <c r="I48" i="51"/>
  <c r="I58" i="51" s="1"/>
  <c r="Q38" i="51"/>
  <c r="Q48" i="51" s="1"/>
  <c r="Q58" i="51" s="1"/>
  <c r="AT46" i="1"/>
  <c r="I36" i="51"/>
  <c r="I37" i="51"/>
  <c r="M38" i="51"/>
  <c r="M48" i="51" s="1"/>
  <c r="M58" i="51" s="1"/>
  <c r="E48" i="51"/>
  <c r="E58" i="51" s="1"/>
  <c r="M41" i="51"/>
  <c r="M51" i="51" s="1"/>
  <c r="M61" i="51" s="1"/>
  <c r="E51" i="51"/>
  <c r="E61" i="51" s="1"/>
  <c r="M35" i="51"/>
  <c r="M45" i="51" s="1"/>
  <c r="M55" i="51" s="1"/>
  <c r="E45" i="51"/>
  <c r="E55" i="51" s="1"/>
  <c r="P40" i="51"/>
  <c r="P50" i="51" s="1"/>
  <c r="P60" i="51" s="1"/>
  <c r="H50" i="51"/>
  <c r="H60" i="51" s="1"/>
  <c r="M39" i="51"/>
  <c r="M49" i="51" s="1"/>
  <c r="M59" i="51" s="1"/>
  <c r="E49" i="51"/>
  <c r="E59" i="51" s="1"/>
  <c r="L40" i="51"/>
  <c r="L50" i="51" s="1"/>
  <c r="L60" i="51" s="1"/>
  <c r="D50" i="51"/>
  <c r="D60" i="51" s="1"/>
  <c r="L35" i="51"/>
  <c r="L45" i="51" s="1"/>
  <c r="L55" i="51" s="1"/>
  <c r="D45" i="51"/>
  <c r="D55" i="51" s="1"/>
  <c r="O38" i="51"/>
  <c r="O48" i="51" s="1"/>
  <c r="O58" i="51" s="1"/>
  <c r="G48" i="51"/>
  <c r="G58" i="51" s="1"/>
  <c r="M40" i="51"/>
  <c r="M50" i="51" s="1"/>
  <c r="M60" i="51" s="1"/>
  <c r="E50" i="51"/>
  <c r="E60" i="51" s="1"/>
  <c r="N41" i="51"/>
  <c r="N51" i="51" s="1"/>
  <c r="N61" i="51" s="1"/>
  <c r="F51" i="51"/>
  <c r="F61" i="51" s="1"/>
  <c r="O35" i="51"/>
  <c r="O45" i="51" s="1"/>
  <c r="O55" i="51" s="1"/>
  <c r="G45" i="51"/>
  <c r="G55" i="51" s="1"/>
  <c r="P39" i="51"/>
  <c r="P49" i="51" s="1"/>
  <c r="P59" i="51" s="1"/>
  <c r="H49" i="51"/>
  <c r="H59" i="51" s="1"/>
  <c r="P41" i="51"/>
  <c r="P51" i="51" s="1"/>
  <c r="P61" i="51" s="1"/>
  <c r="H51" i="51"/>
  <c r="H61" i="51" s="1"/>
  <c r="N35" i="51"/>
  <c r="N45" i="51" s="1"/>
  <c r="N55" i="51" s="1"/>
  <c r="F45" i="51"/>
  <c r="F55" i="51" s="1"/>
  <c r="N39" i="51"/>
  <c r="N49" i="51" s="1"/>
  <c r="N59" i="51" s="1"/>
  <c r="F49" i="51"/>
  <c r="F59" i="51" s="1"/>
  <c r="L39" i="51"/>
  <c r="L49" i="51" s="1"/>
  <c r="L59" i="51" s="1"/>
  <c r="D59" i="51"/>
  <c r="O40" i="51"/>
  <c r="O50" i="51" s="1"/>
  <c r="O60" i="51" s="1"/>
  <c r="G50" i="51"/>
  <c r="G60" i="51" s="1"/>
  <c r="L41" i="51"/>
  <c r="L51" i="51" s="1"/>
  <c r="L61" i="51" s="1"/>
  <c r="D51" i="51"/>
  <c r="D61" i="51" s="1"/>
  <c r="P35" i="51"/>
  <c r="P45" i="51" s="1"/>
  <c r="P55" i="51" s="1"/>
  <c r="H45" i="51"/>
  <c r="H55" i="51" s="1"/>
  <c r="O39" i="51"/>
  <c r="O49" i="51" s="1"/>
  <c r="O59" i="51" s="1"/>
  <c r="G49" i="51"/>
  <c r="G59" i="51" s="1"/>
  <c r="O41" i="51"/>
  <c r="O51" i="51" s="1"/>
  <c r="O61" i="51" s="1"/>
  <c r="G51" i="51"/>
  <c r="G61" i="51" s="1"/>
  <c r="L38" i="51"/>
  <c r="L48" i="51" s="1"/>
  <c r="L58" i="51" s="1"/>
  <c r="D48" i="51"/>
  <c r="D58" i="51" s="1"/>
  <c r="N40" i="51"/>
  <c r="N50" i="51" s="1"/>
  <c r="N60" i="51" s="1"/>
  <c r="F50" i="51"/>
  <c r="F60" i="51" s="1"/>
  <c r="E37" i="51"/>
  <c r="F37" i="51"/>
  <c r="G37" i="51"/>
  <c r="H37" i="51"/>
  <c r="D37" i="51"/>
  <c r="F36" i="51"/>
  <c r="D36" i="51"/>
  <c r="E36" i="51"/>
  <c r="E46" i="51" s="1"/>
  <c r="H36" i="51"/>
  <c r="G36" i="51"/>
  <c r="AS24" i="1"/>
  <c r="AK24" i="1"/>
  <c r="AK46" i="1"/>
  <c r="AK48" i="1"/>
  <c r="AS22" i="1"/>
  <c r="AK22" i="1"/>
  <c r="AK42" i="1"/>
  <c r="AK40" i="1"/>
  <c r="AK47" i="1"/>
  <c r="AK41" i="1"/>
  <c r="AS23" i="1"/>
  <c r="AK23" i="1"/>
  <c r="L77" i="51"/>
  <c r="D77" i="51"/>
  <c r="L36" i="23"/>
  <c r="AE25" i="1"/>
  <c r="AE27" i="1"/>
  <c r="AE26" i="1"/>
  <c r="E12" i="51"/>
  <c r="E13" i="51"/>
  <c r="G98" i="51"/>
  <c r="G107" i="51" s="1"/>
  <c r="G115" i="51" s="1"/>
  <c r="F98" i="51"/>
  <c r="E98" i="51"/>
  <c r="H98" i="51"/>
  <c r="D98" i="51"/>
  <c r="L108" i="51"/>
  <c r="L116" i="51" s="1"/>
  <c r="D155" i="51"/>
  <c r="H155" i="51"/>
  <c r="E155" i="51"/>
  <c r="F155" i="51"/>
  <c r="G155" i="51"/>
  <c r="G13" i="23"/>
  <c r="AV48" i="1"/>
  <c r="G8" i="23"/>
  <c r="G34" i="23"/>
  <c r="E166" i="51"/>
  <c r="E174" i="51" s="1"/>
  <c r="P166" i="51"/>
  <c r="P174" i="51" s="1"/>
  <c r="D166" i="51"/>
  <c r="D174" i="51" s="1"/>
  <c r="F166" i="51"/>
  <c r="F174" i="51" s="1"/>
  <c r="O166" i="51"/>
  <c r="O174" i="51" s="1"/>
  <c r="P169" i="51"/>
  <c r="P177" i="51" s="1"/>
  <c r="H169" i="51"/>
  <c r="H177" i="51" s="1"/>
  <c r="O169" i="51"/>
  <c r="O177" i="51" s="1"/>
  <c r="G169" i="51"/>
  <c r="G177" i="51" s="1"/>
  <c r="N169" i="51"/>
  <c r="N177" i="51" s="1"/>
  <c r="F169" i="51"/>
  <c r="F177" i="51" s="1"/>
  <c r="D169" i="51"/>
  <c r="D177" i="51" s="1"/>
  <c r="L169" i="51"/>
  <c r="L177" i="51" s="1"/>
  <c r="E169" i="51"/>
  <c r="E177" i="51" s="1"/>
  <c r="M169" i="51"/>
  <c r="M177" i="51" s="1"/>
  <c r="AN22" i="1"/>
  <c r="AN23" i="1"/>
  <c r="AN24" i="1"/>
  <c r="AO46" i="1"/>
  <c r="H8" i="51"/>
  <c r="H9" i="51"/>
  <c r="P108" i="51"/>
  <c r="P116" i="51" s="1"/>
  <c r="F108" i="51"/>
  <c r="F116" i="51" s="1"/>
  <c r="M105" i="51"/>
  <c r="M113" i="51" s="1"/>
  <c r="H105" i="51"/>
  <c r="H113" i="51" s="1"/>
  <c r="P105" i="51"/>
  <c r="P113" i="51" s="1"/>
  <c r="G105" i="51"/>
  <c r="G113" i="51" s="1"/>
  <c r="O105" i="51"/>
  <c r="O113" i="51" s="1"/>
  <c r="E108" i="51"/>
  <c r="E116" i="51" s="1"/>
  <c r="M108" i="51"/>
  <c r="M116" i="51" s="1"/>
  <c r="F105" i="51"/>
  <c r="F113" i="51" s="1"/>
  <c r="N105" i="51"/>
  <c r="N113" i="51" s="1"/>
  <c r="G108" i="51"/>
  <c r="G116" i="51" s="1"/>
  <c r="O108" i="51"/>
  <c r="O116" i="51" s="1"/>
  <c r="D105" i="51"/>
  <c r="D113" i="51" s="1"/>
  <c r="E77" i="51"/>
  <c r="H77" i="51"/>
  <c r="N77" i="51"/>
  <c r="F80" i="51"/>
  <c r="E80" i="51"/>
  <c r="O77" i="51"/>
  <c r="G80" i="51"/>
  <c r="AS48" i="1"/>
  <c r="AR48" i="1"/>
  <c r="AP48" i="1"/>
  <c r="AO48" i="1"/>
  <c r="E70" i="51"/>
  <c r="F70" i="51"/>
  <c r="M80" i="51"/>
  <c r="G70" i="51"/>
  <c r="G79" i="51" s="1"/>
  <c r="H70" i="51"/>
  <c r="AP47" i="1"/>
  <c r="AR47" i="1"/>
  <c r="AS47" i="1"/>
  <c r="G77" i="51"/>
  <c r="F77" i="51"/>
  <c r="AO47" i="1"/>
  <c r="D70" i="51"/>
  <c r="N80" i="51"/>
  <c r="M77" i="51"/>
  <c r="O80" i="51"/>
  <c r="L80" i="51"/>
  <c r="D80" i="51"/>
  <c r="P80" i="51"/>
  <c r="H80" i="51"/>
  <c r="E11" i="51"/>
  <c r="E10" i="51"/>
  <c r="AR46" i="1"/>
  <c r="AP46" i="1"/>
  <c r="AS46" i="1"/>
  <c r="M14" i="23"/>
  <c r="M17" i="23" s="1"/>
  <c r="L35" i="23"/>
  <c r="J15" i="23"/>
  <c r="J18" i="23" s="1"/>
  <c r="I36" i="23"/>
  <c r="M30" i="23"/>
  <c r="L29" i="23"/>
  <c r="J23" i="23"/>
  <c r="AN48" i="1"/>
  <c r="AN47" i="1"/>
  <c r="AN46" i="1"/>
  <c r="AL41" i="1"/>
  <c r="AQ22" i="1"/>
  <c r="AL22" i="1"/>
  <c r="AL40" i="1"/>
  <c r="AQ47" i="1"/>
  <c r="AL47" i="1"/>
  <c r="AQ46" i="1"/>
  <c r="AL46" i="1"/>
  <c r="AQ24" i="1"/>
  <c r="AL24" i="1"/>
  <c r="AQ23" i="1"/>
  <c r="AL23" i="1"/>
  <c r="AL42" i="1"/>
  <c r="AQ48" i="1"/>
  <c r="AL48" i="1"/>
  <c r="I30" i="23"/>
  <c r="Z25" i="1"/>
  <c r="AM25" i="1" s="1"/>
  <c r="AF25" i="1"/>
  <c r="AH26" i="1"/>
  <c r="AC27" i="1"/>
  <c r="AF27" i="1"/>
  <c r="AB25" i="1"/>
  <c r="AI27" i="1"/>
  <c r="AH27" i="1"/>
  <c r="Z26" i="1"/>
  <c r="AF26" i="1"/>
  <c r="AD25" i="1"/>
  <c r="AI26" i="1"/>
  <c r="AG26" i="1"/>
  <c r="AB27" i="1"/>
  <c r="Z27" i="1"/>
  <c r="AD27" i="1"/>
  <c r="AA26" i="1"/>
  <c r="AC25" i="1"/>
  <c r="AH25" i="1"/>
  <c r="AI25" i="1"/>
  <c r="AC26" i="1"/>
  <c r="AB26" i="1"/>
  <c r="AG27" i="1"/>
  <c r="AA27" i="1"/>
  <c r="AD26" i="1"/>
  <c r="AG25" i="1"/>
  <c r="H17" i="51" l="1"/>
  <c r="H21" i="51"/>
  <c r="H16" i="51"/>
  <c r="H20" i="51"/>
  <c r="AB50" i="1"/>
  <c r="M36" i="23"/>
  <c r="K13" i="23"/>
  <c r="H13" i="23"/>
  <c r="M11" i="23"/>
  <c r="M16" i="23" s="1"/>
  <c r="M12" i="23"/>
  <c r="I13" i="23"/>
  <c r="K12" i="23"/>
  <c r="J11" i="23"/>
  <c r="J16" i="23" s="1"/>
  <c r="L12" i="23"/>
  <c r="J13" i="23"/>
  <c r="K11" i="23"/>
  <c r="K16" i="23" s="1"/>
  <c r="L11" i="23"/>
  <c r="L16" i="23" s="1"/>
  <c r="J12" i="23"/>
  <c r="L13" i="23"/>
  <c r="H12" i="23"/>
  <c r="M13" i="23"/>
  <c r="I11" i="23"/>
  <c r="I16" i="23" s="1"/>
  <c r="N11" i="23"/>
  <c r="N16" i="23" s="1"/>
  <c r="P13" i="23"/>
  <c r="I12" i="23"/>
  <c r="H11" i="23"/>
  <c r="H16" i="23" s="1"/>
  <c r="J29" i="23"/>
  <c r="M35" i="23"/>
  <c r="J36" i="23"/>
  <c r="I47" i="51"/>
  <c r="I57" i="51" s="1"/>
  <c r="Q37" i="51"/>
  <c r="Q47" i="51" s="1"/>
  <c r="Q57" i="51" s="1"/>
  <c r="I46" i="51"/>
  <c r="I56" i="51" s="1"/>
  <c r="Q36" i="51"/>
  <c r="Q46" i="51" s="1"/>
  <c r="Q56" i="51" s="1"/>
  <c r="O36" i="51"/>
  <c r="O46" i="51" s="1"/>
  <c r="O56" i="51" s="1"/>
  <c r="G46" i="51"/>
  <c r="G56" i="51" s="1"/>
  <c r="P36" i="51"/>
  <c r="P46" i="51" s="1"/>
  <c r="P56" i="51" s="1"/>
  <c r="H46" i="51"/>
  <c r="H56" i="51" s="1"/>
  <c r="M37" i="51"/>
  <c r="M47" i="51" s="1"/>
  <c r="M57" i="51" s="1"/>
  <c r="E47" i="51"/>
  <c r="E57" i="51" s="1"/>
  <c r="N37" i="51"/>
  <c r="N47" i="51" s="1"/>
  <c r="N57" i="51" s="1"/>
  <c r="F47" i="51"/>
  <c r="F57" i="51" s="1"/>
  <c r="M36" i="51"/>
  <c r="M46" i="51" s="1"/>
  <c r="M56" i="51" s="1"/>
  <c r="E56" i="51"/>
  <c r="L36" i="51"/>
  <c r="L46" i="51" s="1"/>
  <c r="L56" i="51" s="1"/>
  <c r="D46" i="51"/>
  <c r="D56" i="51" s="1"/>
  <c r="N36" i="51"/>
  <c r="N46" i="51" s="1"/>
  <c r="N56" i="51" s="1"/>
  <c r="F46" i="51"/>
  <c r="F56" i="51" s="1"/>
  <c r="L37" i="51"/>
  <c r="L47" i="51" s="1"/>
  <c r="L57" i="51" s="1"/>
  <c r="D47" i="51"/>
  <c r="D57" i="51" s="1"/>
  <c r="P37" i="51"/>
  <c r="P47" i="51" s="1"/>
  <c r="P57" i="51" s="1"/>
  <c r="H47" i="51"/>
  <c r="H57" i="51" s="1"/>
  <c r="O37" i="51"/>
  <c r="O47" i="51" s="1"/>
  <c r="O57" i="51" s="1"/>
  <c r="G47" i="51"/>
  <c r="G57" i="51" s="1"/>
  <c r="AK25" i="1"/>
  <c r="AK26" i="1"/>
  <c r="AK27" i="1"/>
  <c r="F100" i="51"/>
  <c r="E100" i="51"/>
  <c r="E109" i="51" s="1"/>
  <c r="E117" i="51" s="1"/>
  <c r="G100" i="51"/>
  <c r="H100" i="51"/>
  <c r="D100" i="51"/>
  <c r="G157" i="51"/>
  <c r="F157" i="51"/>
  <c r="D157" i="51"/>
  <c r="H157" i="51"/>
  <c r="E157" i="51"/>
  <c r="N166" i="51"/>
  <c r="N174" i="51" s="1"/>
  <c r="M166" i="51"/>
  <c r="M174" i="51" s="1"/>
  <c r="H166" i="51"/>
  <c r="H174" i="51" s="1"/>
  <c r="G166" i="51"/>
  <c r="G174" i="51" s="1"/>
  <c r="L166" i="51"/>
  <c r="L174" i="51" s="1"/>
  <c r="E168" i="51"/>
  <c r="E176" i="51" s="1"/>
  <c r="M168" i="51"/>
  <c r="M176" i="51" s="1"/>
  <c r="L168" i="51"/>
  <c r="L176" i="51" s="1"/>
  <c r="D168" i="51"/>
  <c r="D176" i="51" s="1"/>
  <c r="H168" i="51"/>
  <c r="H176" i="51" s="1"/>
  <c r="P168" i="51"/>
  <c r="P176" i="51" s="1"/>
  <c r="F168" i="51"/>
  <c r="F176" i="51" s="1"/>
  <c r="N168" i="51"/>
  <c r="N176" i="51" s="1"/>
  <c r="G168" i="51"/>
  <c r="G176" i="51" s="1"/>
  <c r="O168" i="51"/>
  <c r="O176" i="51" s="1"/>
  <c r="N107" i="51"/>
  <c r="N115" i="51" s="1"/>
  <c r="F107" i="51"/>
  <c r="F115" i="51" s="1"/>
  <c r="O107" i="51"/>
  <c r="O115" i="51" s="1"/>
  <c r="E107" i="51"/>
  <c r="E115" i="51" s="1"/>
  <c r="M107" i="51"/>
  <c r="M115" i="51" s="1"/>
  <c r="D107" i="51"/>
  <c r="D115" i="51" s="1"/>
  <c r="L107" i="51"/>
  <c r="L115" i="51" s="1"/>
  <c r="H107" i="51"/>
  <c r="H115" i="51" s="1"/>
  <c r="P107" i="51"/>
  <c r="P115" i="51" s="1"/>
  <c r="E85" i="51"/>
  <c r="M85" i="51"/>
  <c r="H88" i="51"/>
  <c r="N88" i="51"/>
  <c r="O85" i="51"/>
  <c r="E88" i="51"/>
  <c r="N85" i="51"/>
  <c r="P88" i="51"/>
  <c r="O79" i="51"/>
  <c r="L88" i="51"/>
  <c r="F85" i="51"/>
  <c r="M88" i="51"/>
  <c r="F88" i="51"/>
  <c r="H85" i="51"/>
  <c r="D88" i="51"/>
  <c r="O88" i="51"/>
  <c r="G85" i="51"/>
  <c r="F79" i="51"/>
  <c r="G88" i="51"/>
  <c r="P85" i="51"/>
  <c r="L85" i="51"/>
  <c r="M79" i="51"/>
  <c r="D85" i="51"/>
  <c r="H72" i="51"/>
  <c r="P81" i="51" s="1"/>
  <c r="G72" i="51"/>
  <c r="E72" i="51"/>
  <c r="F72" i="51"/>
  <c r="D72" i="51"/>
  <c r="N79" i="51"/>
  <c r="E79" i="51"/>
  <c r="L79" i="51"/>
  <c r="D79" i="51"/>
  <c r="P79" i="51"/>
  <c r="H79" i="51"/>
  <c r="M29" i="23"/>
  <c r="J30" i="23"/>
  <c r="AL25" i="1"/>
  <c r="AL27" i="1"/>
  <c r="AL26" i="1"/>
  <c r="AU27" i="1"/>
  <c r="AH51" i="1"/>
  <c r="AU51" i="1" s="1"/>
  <c r="AV27" i="1"/>
  <c r="AI51" i="1"/>
  <c r="AO25" i="1"/>
  <c r="AB49" i="1"/>
  <c r="AT25" i="1"/>
  <c r="AG49" i="1"/>
  <c r="AT49" i="1" s="1"/>
  <c r="AP25" i="1"/>
  <c r="AC49" i="1"/>
  <c r="AN27" i="1"/>
  <c r="AA51" i="1"/>
  <c r="AN26" i="1"/>
  <c r="AA50" i="1"/>
  <c r="AQ25" i="1"/>
  <c r="AD49" i="1"/>
  <c r="AU26" i="1"/>
  <c r="AH50" i="1"/>
  <c r="AU50" i="1" s="1"/>
  <c r="AR26" i="1"/>
  <c r="AE50" i="1"/>
  <c r="AO27" i="1"/>
  <c r="AB51" i="1"/>
  <c r="AN25" i="1"/>
  <c r="AU25" i="1"/>
  <c r="AH49" i="1"/>
  <c r="AU49" i="1" s="1"/>
  <c r="AS27" i="1"/>
  <c r="AF51" i="1"/>
  <c r="AV26" i="1"/>
  <c r="AI50" i="1"/>
  <c r="AV50" i="1" s="1"/>
  <c r="AT27" i="1"/>
  <c r="AG51" i="1"/>
  <c r="AT51" i="1" s="1"/>
  <c r="AS26" i="1"/>
  <c r="AF50" i="1"/>
  <c r="AS25" i="1"/>
  <c r="AF49" i="1"/>
  <c r="AR27" i="1"/>
  <c r="AE51" i="1"/>
  <c r="AP26" i="1"/>
  <c r="AC50" i="1"/>
  <c r="AV25" i="1"/>
  <c r="AI49" i="1"/>
  <c r="AV49" i="1" s="1"/>
  <c r="AT26" i="1"/>
  <c r="AG50" i="1"/>
  <c r="AT50" i="1" s="1"/>
  <c r="AQ26" i="1"/>
  <c r="AD50" i="1"/>
  <c r="AP27" i="1"/>
  <c r="AC51" i="1"/>
  <c r="AQ27" i="1"/>
  <c r="AD51" i="1"/>
  <c r="AO26" i="1"/>
  <c r="AM27" i="1"/>
  <c r="Z51" i="1"/>
  <c r="AM51" i="1" s="1"/>
  <c r="AM26" i="1"/>
  <c r="Z50" i="1"/>
  <c r="AM50" i="1" s="1"/>
  <c r="AR25" i="1"/>
  <c r="AE49" i="1"/>
  <c r="G26" i="23"/>
  <c r="Z49" i="1"/>
  <c r="AM49" i="1" s="1"/>
  <c r="O21" i="23" l="1"/>
  <c r="P20" i="23"/>
  <c r="O20" i="23"/>
  <c r="O27" i="23"/>
  <c r="J26" i="23"/>
  <c r="O28" i="23"/>
  <c r="G20" i="23"/>
  <c r="N20" i="23"/>
  <c r="N27" i="23"/>
  <c r="P26" i="23"/>
  <c r="N26" i="23"/>
  <c r="O22" i="23"/>
  <c r="H26" i="23"/>
  <c r="G21" i="23"/>
  <c r="J28" i="23"/>
  <c r="J27" i="23"/>
  <c r="N28" i="23"/>
  <c r="M28" i="23"/>
  <c r="M27" i="23"/>
  <c r="L26" i="23"/>
  <c r="N22" i="23"/>
  <c r="K26" i="23"/>
  <c r="G27" i="23"/>
  <c r="P21" i="23"/>
  <c r="I28" i="23"/>
  <c r="H27" i="23"/>
  <c r="I26" i="23"/>
  <c r="I27" i="23"/>
  <c r="O26" i="23"/>
  <c r="M26" i="23"/>
  <c r="K28" i="23"/>
  <c r="K27" i="23"/>
  <c r="L28" i="23"/>
  <c r="P27" i="23"/>
  <c r="N21" i="23"/>
  <c r="L27" i="23"/>
  <c r="H28" i="23"/>
  <c r="P28" i="23"/>
  <c r="G18" i="51"/>
  <c r="G22" i="51"/>
  <c r="H18" i="51"/>
  <c r="H22" i="51"/>
  <c r="F18" i="51"/>
  <c r="F22" i="51"/>
  <c r="D18" i="51"/>
  <c r="D22" i="51"/>
  <c r="E18" i="51"/>
  <c r="E22" i="51"/>
  <c r="L62" i="51"/>
  <c r="Q62" i="51"/>
  <c r="I62" i="51"/>
  <c r="M62" i="51"/>
  <c r="P62" i="51"/>
  <c r="O62" i="51"/>
  <c r="D62" i="51"/>
  <c r="F62" i="51"/>
  <c r="N62" i="51"/>
  <c r="G62" i="51"/>
  <c r="E62" i="51"/>
  <c r="H62" i="51"/>
  <c r="AK51" i="1"/>
  <c r="AK49" i="1"/>
  <c r="AK50" i="1"/>
  <c r="H97" i="51"/>
  <c r="E97" i="51"/>
  <c r="E106" i="51" s="1"/>
  <c r="G97" i="51"/>
  <c r="F97" i="51"/>
  <c r="D97" i="51"/>
  <c r="H154" i="51"/>
  <c r="F154" i="51"/>
  <c r="E154" i="51"/>
  <c r="D154" i="51"/>
  <c r="G154" i="51"/>
  <c r="L173" i="51"/>
  <c r="G22" i="23"/>
  <c r="O173" i="51"/>
  <c r="G28" i="23"/>
  <c r="AV51" i="1"/>
  <c r="M170" i="51"/>
  <c r="M178" i="51" s="1"/>
  <c r="E170" i="51"/>
  <c r="E178" i="51" s="1"/>
  <c r="L170" i="51"/>
  <c r="L178" i="51" s="1"/>
  <c r="D170" i="51"/>
  <c r="D178" i="51" s="1"/>
  <c r="H170" i="51"/>
  <c r="H178" i="51" s="1"/>
  <c r="P170" i="51"/>
  <c r="P178" i="51" s="1"/>
  <c r="G170" i="51"/>
  <c r="G178" i="51" s="1"/>
  <c r="O170" i="51"/>
  <c r="O178" i="51" s="1"/>
  <c r="N170" i="51"/>
  <c r="N178" i="51" s="1"/>
  <c r="F170" i="51"/>
  <c r="F178" i="51" s="1"/>
  <c r="M109" i="51"/>
  <c r="M117" i="51" s="1"/>
  <c r="H109" i="51"/>
  <c r="H117" i="51" s="1"/>
  <c r="P109" i="51"/>
  <c r="P117" i="51" s="1"/>
  <c r="G109" i="51"/>
  <c r="G117" i="51" s="1"/>
  <c r="O109" i="51"/>
  <c r="O117" i="51" s="1"/>
  <c r="F109" i="51"/>
  <c r="F117" i="51" s="1"/>
  <c r="N109" i="51"/>
  <c r="N117" i="51" s="1"/>
  <c r="D109" i="51"/>
  <c r="D117" i="51" s="1"/>
  <c r="L109" i="51"/>
  <c r="L117" i="51" s="1"/>
  <c r="N87" i="51"/>
  <c r="O87" i="51"/>
  <c r="E87" i="51"/>
  <c r="G87" i="51"/>
  <c r="H87" i="51"/>
  <c r="M87" i="51"/>
  <c r="P87" i="51"/>
  <c r="M81" i="51"/>
  <c r="D87" i="51"/>
  <c r="G81" i="51"/>
  <c r="F87" i="51"/>
  <c r="N81" i="51"/>
  <c r="L87" i="51"/>
  <c r="E69" i="51"/>
  <c r="M78" i="51" s="1"/>
  <c r="AP51" i="1"/>
  <c r="AS51" i="1"/>
  <c r="AR51" i="1"/>
  <c r="AO51" i="1"/>
  <c r="H69" i="51"/>
  <c r="P78" i="51" s="1"/>
  <c r="F69" i="51"/>
  <c r="G69" i="51"/>
  <c r="AR50" i="1"/>
  <c r="AS50" i="1"/>
  <c r="AP50" i="1"/>
  <c r="AO50" i="1"/>
  <c r="D69" i="51"/>
  <c r="H81" i="51"/>
  <c r="F81" i="51"/>
  <c r="E81" i="51"/>
  <c r="O81" i="51"/>
  <c r="D81" i="51"/>
  <c r="D89" i="51" s="1"/>
  <c r="L81" i="51"/>
  <c r="AR49" i="1"/>
  <c r="AP49" i="1"/>
  <c r="AS49" i="1"/>
  <c r="AO49" i="1"/>
  <c r="AN49" i="1"/>
  <c r="AN50" i="1"/>
  <c r="AN51" i="1"/>
  <c r="AQ50" i="1"/>
  <c r="AL50" i="1"/>
  <c r="AQ51" i="1"/>
  <c r="AL51" i="1"/>
  <c r="AQ49" i="1"/>
  <c r="AL49" i="1"/>
  <c r="H21" i="23" l="1"/>
  <c r="I20" i="23"/>
  <c r="P22" i="23"/>
  <c r="M20" i="23"/>
  <c r="L20" i="23"/>
  <c r="L21" i="23"/>
  <c r="H20" i="23"/>
  <c r="K20" i="23"/>
  <c r="K22" i="23"/>
  <c r="J20" i="23"/>
  <c r="I22" i="23"/>
  <c r="I21" i="23"/>
  <c r="K21" i="23"/>
  <c r="L22" i="23"/>
  <c r="J21" i="23"/>
  <c r="M22" i="23"/>
  <c r="H22" i="23"/>
  <c r="M21" i="23"/>
  <c r="J22" i="23"/>
  <c r="M106" i="51"/>
  <c r="M114" i="51" s="1"/>
  <c r="N173" i="51"/>
  <c r="M173" i="51"/>
  <c r="N167" i="51"/>
  <c r="N175" i="51" s="1"/>
  <c r="F167" i="51"/>
  <c r="F175" i="51" s="1"/>
  <c r="O167" i="51"/>
  <c r="O175" i="51" s="1"/>
  <c r="G167" i="51"/>
  <c r="G175" i="51" s="1"/>
  <c r="M167" i="51"/>
  <c r="M175" i="51" s="1"/>
  <c r="E167" i="51"/>
  <c r="E175" i="51" s="1"/>
  <c r="H167" i="51"/>
  <c r="H175" i="51" s="1"/>
  <c r="P167" i="51"/>
  <c r="P175" i="51" s="1"/>
  <c r="L167" i="51"/>
  <c r="L175" i="51" s="1"/>
  <c r="D167" i="51"/>
  <c r="D175" i="51" s="1"/>
  <c r="G106" i="51"/>
  <c r="G114" i="51" s="1"/>
  <c r="O106" i="51"/>
  <c r="O114" i="51" s="1"/>
  <c r="D106" i="51"/>
  <c r="D114" i="51" s="1"/>
  <c r="L106" i="51"/>
  <c r="L114" i="51" s="1"/>
  <c r="E114" i="51"/>
  <c r="F106" i="51"/>
  <c r="F114" i="51" s="1"/>
  <c r="N106" i="51"/>
  <c r="N114" i="51" s="1"/>
  <c r="H106" i="51"/>
  <c r="H114" i="51" s="1"/>
  <c r="P106" i="51"/>
  <c r="P114" i="51" s="1"/>
  <c r="G89" i="51"/>
  <c r="L89" i="51"/>
  <c r="O89" i="51"/>
  <c r="E89" i="51"/>
  <c r="O78" i="51"/>
  <c r="D78" i="51"/>
  <c r="N89" i="51"/>
  <c r="F89" i="51"/>
  <c r="H89" i="51"/>
  <c r="H78" i="51"/>
  <c r="P89" i="51"/>
  <c r="M89" i="51"/>
  <c r="E78" i="51"/>
  <c r="G78" i="51"/>
  <c r="G86" i="51" s="1"/>
  <c r="L78" i="51"/>
  <c r="N78" i="51"/>
  <c r="F78" i="51"/>
  <c r="D86" i="51" l="1"/>
  <c r="F86" i="51"/>
  <c r="M86" i="51"/>
  <c r="L86" i="51"/>
  <c r="N86" i="51"/>
  <c r="E86" i="51"/>
  <c r="O86" i="51"/>
  <c r="P86" i="51"/>
  <c r="H86" i="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tc={35D18C07-6CC3-4C17-9A99-7DCB97879820}</author>
  </authors>
  <commentList>
    <comment ref="E58" authorId="0" shapeId="0" xr:uid="{35D18C07-6CC3-4C17-9A99-7DCB97879820}">
      <text>
        <t>[Threaded comment]
Your version of Excel allows you to read this threaded comment; however, any edits to it will get removed if the file is opened in a newer version of Excel. Learn more: https://go.microsoft.com/fwlink/?linkid=870924
Comment:
    *0.6 + *0.4 (What does this represent?)
Can this be put in another place (ie., Pop projections tab?)
Reply:
    Stats NZ's projections are for every five years, landing on years ending in 8 and 3. I.e 2028, 2033, 2038 .... This bit interpolates them to get projections for decade years. But because end of decade years are closer to the years ending in 8 than the years ending in 3, it's a weighted average. (I can lay out the maths if needed)</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Matthew Smith</author>
  </authors>
  <commentList>
    <comment ref="F6" authorId="0" shapeId="0" xr:uid="{AA414BBB-A573-4E49-B980-12D8A26A6EFA}">
      <text>
        <r>
          <rPr>
            <b/>
            <sz val="9"/>
            <color indexed="81"/>
            <rFont val="Tahoma"/>
            <family val="2"/>
          </rPr>
          <t>Matthew Smith:</t>
        </r>
        <r>
          <rPr>
            <sz val="9"/>
            <color indexed="81"/>
            <rFont val="Tahoma"/>
            <family val="2"/>
          </rPr>
          <t xml:space="preserve">
2050 target for net CO2 is strictly speaking to offset non-biogenic methane and all nitrous oxide and F gas emissions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tc={84D71C7F-66DF-4A75-A4AD-6666FB1E6CEC}</author>
    <author>tc={4360739E-E7AE-4915-A35D-9B8D9EC68E84}</author>
  </authors>
  <commentList>
    <comment ref="AH16" authorId="0" shapeId="0" xr:uid="{84D71C7F-66DF-4A75-A4AD-6666FB1E6CEC}">
      <text>
        <t>[Threaded comment]
Your version of Excel allows you to read this threaded comment; however, any edits to it will get removed if the file is opened in a newer version of Excel. Learn more: https://go.microsoft.com/fwlink/?linkid=870924
Comment:
    Estimates of Non NZ ETS emissions for 2020 &amp; 2021 added in 2023</t>
      </text>
    </comment>
    <comment ref="B31" authorId="1" shapeId="0" xr:uid="{4360739E-E7AE-4915-A35D-9B8D9EC68E84}">
      <text>
        <t>[Threaded comment]
Your version of Excel allows you to read this threaded comment; however, any edits to it will get removed if the file is opened in a newer version of Excel. Learn more: https://go.microsoft.com/fwlink/?linkid=870924
Comment:
    Updated Jan-23 after update to forestry model with new Dec-22 data</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Matthew Smith</author>
  </authors>
  <commentList>
    <comment ref="F6" authorId="0" shapeId="0" xr:uid="{2248CF38-94E0-4CCA-BDBA-996B3B3272D5}">
      <text>
        <r>
          <rPr>
            <b/>
            <sz val="9"/>
            <color indexed="81"/>
            <rFont val="Tahoma"/>
            <family val="2"/>
          </rPr>
          <t>Matthew Smith:</t>
        </r>
        <r>
          <rPr>
            <sz val="9"/>
            <color indexed="81"/>
            <rFont val="Tahoma"/>
            <family val="2"/>
          </rPr>
          <t xml:space="preserve">
Checks if the selected GWP exists (is greater than 0) returns it if it does, and if not defaults to AR5 GWPs as the most complete dataset</t>
        </r>
      </text>
    </comment>
    <comment ref="G6" authorId="0" shapeId="0" xr:uid="{ACCCF94B-6B09-43B3-924E-20A888F7D545}">
      <text>
        <r>
          <rPr>
            <b/>
            <sz val="9"/>
            <color indexed="81"/>
            <rFont val="Tahoma"/>
            <family val="2"/>
          </rPr>
          <t>Matthew Smith:</t>
        </r>
        <r>
          <rPr>
            <sz val="9"/>
            <color indexed="81"/>
            <rFont val="Tahoma"/>
            <family val="2"/>
          </rPr>
          <t xml:space="preserve">
Returns the GWP column that has been selected in the control sheet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<sst xmlns="http://schemas.openxmlformats.org/spreadsheetml/2006/main" count="16093" uniqueCount="1166">
  <si>
    <r>
      <t xml:space="preserve">This worksheet presents the calculations and analysis that supports the evaluation of the currennt 2050 emissions target against several equity lenses, as described in Chapter 2 of the discussion document </t>
    </r>
    <r>
      <rPr>
        <i/>
        <sz val="11"/>
        <color theme="1"/>
        <rFont val="Calibri"/>
        <family val="2"/>
        <scheme val="minor"/>
      </rPr>
      <t>Review of the 2050 emissions reduction target.</t>
    </r>
  </si>
  <si>
    <t>IPCC 1.5 degree pathway data sourced from IIASA AR6 Scenario explorer:</t>
  </si>
  <si>
    <t>https://data.ene.iiasa.ac.at/ar6/#/workspaces</t>
  </si>
  <si>
    <t>All figures for net emissions for Aotearoa New Zealand use the target accounting measure unless specified otherwise</t>
  </si>
  <si>
    <t>Aggregations of gases use GWPs from the IPCC's Fifth Asssessment Report (AR5)</t>
  </si>
  <si>
    <t>Tab</t>
  </si>
  <si>
    <t>Description</t>
  </si>
  <si>
    <t>AR6 Pathways</t>
  </si>
  <si>
    <t>Collates data from the IPCC AR6 1.5 degree pathways (C1) for different types of emissions and lays it out in a consistent format</t>
  </si>
  <si>
    <t>Capacity</t>
  </si>
  <si>
    <t>Calculates targets for Aotearoa New Zealand if globally required mitigation effort was apportioned in proportion to GDP</t>
  </si>
  <si>
    <t>Equal per capita</t>
  </si>
  <si>
    <t>Calculates equal per capita targets for different gases/measures and compares to the current 2050 target</t>
  </si>
  <si>
    <t>Current warming CH4</t>
  </si>
  <si>
    <t>Approximates the current warming from methane based on Aotearoa New Zealand's total share of global methane emissions</t>
  </si>
  <si>
    <t>Population World</t>
  </si>
  <si>
    <t xml:space="preserve">Population assumptions in 1.5 degree scenarios extracted from the IIASA scenario explorer </t>
  </si>
  <si>
    <t>NZ Pop hist</t>
  </si>
  <si>
    <t>Population data for Aotearoa New Zealand for 1991-2023 sourced from NZ Stats</t>
  </si>
  <si>
    <t>NZ Pop proj</t>
  </si>
  <si>
    <t>Population projections for Aotearoa New Zealand out to 2073 sourced from NZ Stats</t>
  </si>
  <si>
    <t>GDP WB PPP</t>
  </si>
  <si>
    <t>World Bank GDP data on a purchasing power parity (PPP) basis</t>
  </si>
  <si>
    <t>GDP WB MER</t>
  </si>
  <si>
    <t>World Bank GDP data on a market exchange rates (MER) basis</t>
  </si>
  <si>
    <t>1990-2050 Central estimate AR5</t>
  </si>
  <si>
    <t>Disaggregated emissions projection for Aotearoa New Zealand. Provided by the Ministry for the Environment. Available at https://environment.govt.nz/facts-and-science/climate-change/new-zealands-projected-greenhouse-gas-emissions-to-2050/</t>
  </si>
  <si>
    <t>Scenario Totals</t>
  </si>
  <si>
    <t>Aggregated totals for the emissions projection for Aotearoa New Zealand. Provided by the Ministry for the Environment. Available at https://environment.govt.nz/facts-and-science/climate-change/new-zealands-projected-greenhouse-gas-emissions-to-2050/</t>
  </si>
  <si>
    <t>Biogenic CH4 NZ</t>
  </si>
  <si>
    <t>Collates time series of biogenic methane emissions for Aotearoa New Zealand from both GHG inventiory and projections data</t>
  </si>
  <si>
    <t>Demonstration path data</t>
  </si>
  <si>
    <t xml:space="preserve">The Climate Commission's updated 2022 demonstrration path. Used in separating out fossil methane and fluorinated gases under the current target. </t>
  </si>
  <si>
    <t>GWPs</t>
  </si>
  <si>
    <t>List of global warming potential values from the IPCC assessment reports</t>
  </si>
  <si>
    <t>Net CO2</t>
  </si>
  <si>
    <t>Emissions scenario data for net carbon dioxide emissions in 1.5 degree compatible scenarios</t>
  </si>
  <si>
    <t>CO2 E+IP</t>
  </si>
  <si>
    <t>Emissions scenario data for carbon dioxide emissions from energy and industry processes in 1.5 degree compatible scenarios</t>
  </si>
  <si>
    <t>CO2 AFOLU</t>
  </si>
  <si>
    <t>Emissions scenario data for carbon dioxide emissions from agriculture, forestry and other land use in 1.5 degree compatible scenarios</t>
  </si>
  <si>
    <t>CO2 OTHER</t>
  </si>
  <si>
    <t>Emissions scenario data for carbon dioxide emissions from remaining sectors other than energy, industrial process, afolu and waste, in 1.5 degree compatible scenarios</t>
  </si>
  <si>
    <t>CH4 TOTAL</t>
  </si>
  <si>
    <t>Emissions scenario data for total methane emissions in 1.5 degree compatible scenarios</t>
  </si>
  <si>
    <t>CH4 AFOLU</t>
  </si>
  <si>
    <t>Emissions scenario data for methane emissions from agriculture, forestry and other land use in 1.5 degree compatible scenarios</t>
  </si>
  <si>
    <t>CH4 WASTE</t>
  </si>
  <si>
    <t>Emissions scenario data for methane emissions from waste in 1.5 degree compatible scenarios</t>
  </si>
  <si>
    <t>N2O AFOLU</t>
  </si>
  <si>
    <t>Emissions scenario data for nitrous oxide emissions from agriculture, forestry and other land use in 1.5 degree compatible scenarios</t>
  </si>
  <si>
    <t>N2O ENERGY</t>
  </si>
  <si>
    <t>Emissions scenario data for nitrous oxide emissions from energy use in 1.5 degree compatible scenarios</t>
  </si>
  <si>
    <t>N2O IP</t>
  </si>
  <si>
    <t>Emissions scenario data for nitrous oxide emissions from industrial processes in 1.5 degree compatible scenarios</t>
  </si>
  <si>
    <t>N2O TOTAL</t>
  </si>
  <si>
    <t>Emissions scenario data for nitrous oxide emissions from all sources in 1.5 degree compatible scenarios</t>
  </si>
  <si>
    <t>HFCs TOTAL</t>
  </si>
  <si>
    <t>Emissions scenario data for HFC emissions from all sources in 1.5 degree compatible scenarios</t>
  </si>
  <si>
    <t>PFCs TOTAL</t>
  </si>
  <si>
    <t>Emissions scenario data for PFC emissions from all sources in 1.5 degree compatible scenarios</t>
  </si>
  <si>
    <t>SF6 TOTAL</t>
  </si>
  <si>
    <t>Emissions scenario data for SF6 emissions from all sources in 1.5 degree compatible scenarios</t>
  </si>
  <si>
    <t>data source</t>
  </si>
  <si>
    <t>Variable</t>
  </si>
  <si>
    <t>Unit</t>
  </si>
  <si>
    <t>Global budget 2020-2070 (Mt or kt as relevant)</t>
  </si>
  <si>
    <t>Abatement gap 2020-2050 (Mt or kt as relevant)</t>
  </si>
  <si>
    <t>Global per capita emissions (tCO2e per capita)</t>
  </si>
  <si>
    <t>Median</t>
  </si>
  <si>
    <t>AR6 database</t>
  </si>
  <si>
    <t>Mt CH4/yr</t>
  </si>
  <si>
    <t>25pct</t>
  </si>
  <si>
    <t>75pc</t>
  </si>
  <si>
    <t>NET CO2</t>
  </si>
  <si>
    <t>Mt CO2/yr</t>
  </si>
  <si>
    <t>kt HFC134a-equiv/yr</t>
  </si>
  <si>
    <t>kt CF4-equiv/yr</t>
  </si>
  <si>
    <t>kt SF6/yr</t>
  </si>
  <si>
    <t>Calculated</t>
  </si>
  <si>
    <t>F-Gases</t>
  </si>
  <si>
    <t>Mt CO2-equiv/yr</t>
  </si>
  <si>
    <t>Kyoto Gases</t>
  </si>
  <si>
    <t>kt N2O/yr</t>
  </si>
  <si>
    <t>(estimated: net CO2-LULUCF-CDR)</t>
  </si>
  <si>
    <t>calculated: simple addition</t>
  </si>
  <si>
    <t>CO2+N2O</t>
  </si>
  <si>
    <t>Calculated": simple addition AFOLU+Waste</t>
  </si>
  <si>
    <t>biogenic CH4</t>
  </si>
  <si>
    <t>all gases other than biogenic CH4</t>
  </si>
  <si>
    <t>calculated</t>
  </si>
  <si>
    <t>Kyoto Gases (GWP* for methane)</t>
  </si>
  <si>
    <t>million</t>
  </si>
  <si>
    <t>Stats NZ</t>
  </si>
  <si>
    <t>Population NZ</t>
  </si>
  <si>
    <t>Current 2050 target</t>
  </si>
  <si>
    <t>Drew straight lines for net CO2 and all other gases between 2020 and 2050 levels</t>
  </si>
  <si>
    <t>Chose not to use demonstration path since that path overachieves the targets</t>
  </si>
  <si>
    <t>biogenic CH4 -24%</t>
  </si>
  <si>
    <t>Drew straight line from biogenic methane 2030 target to 2050 target</t>
  </si>
  <si>
    <t>biogenic CH4 -47%</t>
  </si>
  <si>
    <t>CH4 Total (-24%)</t>
  </si>
  <si>
    <t>Did use demonstration path to add non-biogenic methane in to determine total methane emissions</t>
  </si>
  <si>
    <t>CH4 Total (-47%)</t>
  </si>
  <si>
    <t>Kyoto Gases (net) (-24%)</t>
  </si>
  <si>
    <t>Kyoto Gases (net) (-47%)</t>
  </si>
  <si>
    <t>Graph</t>
  </si>
  <si>
    <t>Mt CO2e/year</t>
  </si>
  <si>
    <t>Capacity target</t>
  </si>
  <si>
    <t>kt CH4/year</t>
  </si>
  <si>
    <t>NZ share of world GDP</t>
  </si>
  <si>
    <t>World bank MER</t>
  </si>
  <si>
    <t>World bank PPP</t>
  </si>
  <si>
    <r>
      <t>Capacity approach by gas - median 1.5</t>
    </r>
    <r>
      <rPr>
        <sz val="11"/>
        <color theme="1"/>
        <rFont val="Calibri"/>
        <family val="2"/>
      </rPr>
      <t>°C pathway</t>
    </r>
  </si>
  <si>
    <t>Global reductions of each gas cf 2020</t>
  </si>
  <si>
    <t>Biogenic CH4</t>
  </si>
  <si>
    <t>Mt CH4/year</t>
  </si>
  <si>
    <t>Non-biogenic CH4</t>
  </si>
  <si>
    <t>N2O</t>
  </si>
  <si>
    <t>kt N2O/year</t>
  </si>
  <si>
    <t>HFCs</t>
  </si>
  <si>
    <t>PFCs</t>
  </si>
  <si>
    <t>SF6</t>
  </si>
  <si>
    <t>NZ share of global reductions of each gas cf 2020 - MER</t>
  </si>
  <si>
    <t>NZ share of global reductions of each gas cf 2020 - PPP</t>
  </si>
  <si>
    <t>NZ targets under capacity approach for all gases - MER</t>
  </si>
  <si>
    <t>NZ targets under capacity approach for all gases - PPP</t>
  </si>
  <si>
    <t>kt CO2</t>
  </si>
  <si>
    <t>kt CH4</t>
  </si>
  <si>
    <t>kt N2O</t>
  </si>
  <si>
    <t>Total methane</t>
  </si>
  <si>
    <t>Lower quartile emissions paths</t>
  </si>
  <si>
    <t>Total world abatement needed compared to 2020 world by:</t>
  </si>
  <si>
    <t>CH4 Total</t>
  </si>
  <si>
    <t>New Zealand share of world abatement (MER) in:</t>
  </si>
  <si>
    <t>New Zealand share of world abatement (PPP) in:</t>
  </si>
  <si>
    <t>NZ Capacity based (MER) abatement targets</t>
  </si>
  <si>
    <t>NZ Capacity based (PPP) abatement targets</t>
  </si>
  <si>
    <t>New Zealand emissions in 2020</t>
  </si>
  <si>
    <t>Kyoto Gases (net)</t>
  </si>
  <si>
    <t>Median emissions paths</t>
  </si>
  <si>
    <t>Upper quartile emissions paths</t>
  </si>
  <si>
    <t>Calculation of trajectory of all-nonbCH4 gases using emission budgets and biogenic methane target</t>
  </si>
  <si>
    <t>t CO2 per person</t>
  </si>
  <si>
    <t>Emission budgets</t>
  </si>
  <si>
    <t>https://environment.govt.nz/what-government-is-doing/areas-of-work/climate-change/emissions-budgets-and-the-emissions-reduction-plan/</t>
  </si>
  <si>
    <t>World 25% paths</t>
  </si>
  <si>
    <t>Budget (Mt CO2e AR5)</t>
  </si>
  <si>
    <t>Annual average (Mt CO2-e/year AR5)</t>
  </si>
  <si>
    <t>World 75% paths</t>
  </si>
  <si>
    <t>EB1 2022-2025</t>
  </si>
  <si>
    <t>Current NZ target</t>
  </si>
  <si>
    <t>EB2 2026-2030</t>
  </si>
  <si>
    <t>EB3 2031-2035</t>
  </si>
  <si>
    <t>t CO2e/person</t>
  </si>
  <si>
    <t>Current NZ target (-24%)</t>
  </si>
  <si>
    <t>2030 Biogenic methane target (Mt CO2e)</t>
  </si>
  <si>
    <t>Target level for biogenic methane in 2030</t>
  </si>
  <si>
    <t>Current NZ target (-47%)</t>
  </si>
  <si>
    <t>t CH4/person</t>
  </si>
  <si>
    <t>All other gases (aside from biogenic CH4)</t>
  </si>
  <si>
    <t>All other gases in 2030 (Mt CO2e)</t>
  </si>
  <si>
    <t>Expected level of all other gases (net) in 2030 if methane 2030 target and emission budgets are met</t>
  </si>
  <si>
    <t>All gases net</t>
  </si>
  <si>
    <t>NZ non-biogenic methane (kt CO2e)</t>
  </si>
  <si>
    <t>NZ non-biogenic methane (t CO2e/person)</t>
  </si>
  <si>
    <t>Non-biogenic methane derived from demonstration path. Demonstration path only goes out to 2050. Assumed last decade's rate of improvements to non-bCH4 continues to 2070</t>
  </si>
  <si>
    <t>Equal share of 1.5 degrees</t>
  </si>
  <si>
    <t>°C</t>
  </si>
  <si>
    <t>Low</t>
  </si>
  <si>
    <t>High</t>
  </si>
  <si>
    <t>Source</t>
  </si>
  <si>
    <t>Contribution of current methane to warming global</t>
  </si>
  <si>
    <t>degrees C</t>
  </si>
  <si>
    <t>IPCC AR6 Synthesis Report Full footnote 8</t>
  </si>
  <si>
    <t>https://www.ipcc.ch/report/sixth-assessment-report-cycle/</t>
  </si>
  <si>
    <t>World methane emissions at time of AR6 report</t>
  </si>
  <si>
    <t>Mt CH4 per annum</t>
  </si>
  <si>
    <t>Edgar emissions database v8.0</t>
  </si>
  <si>
    <t>https://edgar.jrc.ec.europa.eu/dataset_ghg80</t>
  </si>
  <si>
    <t>New Zealand share of world population</t>
  </si>
  <si>
    <t>Stats NZ for NZ population as at 2020, IIASA emissions scenario databse for AR6</t>
  </si>
  <si>
    <t>NZ total methane emissions in 2019</t>
  </si>
  <si>
    <t>Mt CH4</t>
  </si>
  <si>
    <t>MfE, NZ emission projections Nov 2023</t>
  </si>
  <si>
    <t>https://environment.govt.nz/facts-and-science/climate-change/new-zealands-projected-greenhouse-gas-emissions-to-2050/</t>
  </si>
  <si>
    <t>Warming from current NZ methane emissions</t>
  </si>
  <si>
    <t>NZ per capita share of 1.5 degrees warming</t>
  </si>
  <si>
    <t>Warming from methane if the world emitted methane at NZ rate</t>
  </si>
  <si>
    <t>NZ warming peak LTLS</t>
  </si>
  <si>
    <t>NZ warming 2100 LTLS</t>
  </si>
  <si>
    <t>World peak warming if world contributed warming at NZ rate</t>
  </si>
  <si>
    <t>World 2100 warming if world contributed warming at NZ per capita rate</t>
  </si>
  <si>
    <t>Model</t>
  </si>
  <si>
    <t>Scenario</t>
  </si>
  <si>
    <t>Region</t>
  </si>
  <si>
    <t>REMIND-MAgPIE 2.1-4.2</t>
  </si>
  <si>
    <t>EN_NPi2020_300f</t>
  </si>
  <si>
    <t>World</t>
  </si>
  <si>
    <t>Population</t>
  </si>
  <si>
    <t/>
  </si>
  <si>
    <t>NGFS2_Net-Zero 2050</t>
  </si>
  <si>
    <t>EN_NPi2020_600_COV</t>
  </si>
  <si>
    <t>REMIND 2.1</t>
  </si>
  <si>
    <t>CEMICS_GDPgrowth_1p5</t>
  </si>
  <si>
    <t>C-ROADS-5.005</t>
  </si>
  <si>
    <t>Ratchet-1.5-noCDR</t>
  </si>
  <si>
    <t>MESSAGEix-GLOBIOM_1.1</t>
  </si>
  <si>
    <t>EN_NPi2020_600_DR1p</t>
  </si>
  <si>
    <t>AIM/Hub-Global 2.0</t>
  </si>
  <si>
    <t>1.5C</t>
  </si>
  <si>
    <t>MESSAGE-GLOBIOM 1.0</t>
  </si>
  <si>
    <t>EMF33_1.5C_cost100</t>
  </si>
  <si>
    <t>SusDev_SDP-PkBudg1000</t>
  </si>
  <si>
    <t>GCAM 4.2</t>
  </si>
  <si>
    <t>SSP1-19</t>
  </si>
  <si>
    <t>MESSAGEix-GLOBIOM_1.2</t>
  </si>
  <si>
    <t>COV_SelfReliance_550</t>
  </si>
  <si>
    <t>REMIND 1.7</t>
  </si>
  <si>
    <t>CEMICS-1.5-CDR12</t>
  </si>
  <si>
    <t>WITCH-GLOBIOM 3.1</t>
  </si>
  <si>
    <t>SSP4-19</t>
  </si>
  <si>
    <t>REMIND-MAgPIE 2.1-4.3</t>
  </si>
  <si>
    <t>DeepElec_SSP2_ HighRE_Budg900</t>
  </si>
  <si>
    <t>EN_NPi2020_400f</t>
  </si>
  <si>
    <t>EN_NPi2020_600_DR2p</t>
  </si>
  <si>
    <t>REMIND-MAgPIE 1.7-3.0</t>
  </si>
  <si>
    <t>PEP_2C_red_eff</t>
  </si>
  <si>
    <t>PEP_1p5C_full_eff</t>
  </si>
  <si>
    <t>EN_NPi2020_600_DR3p</t>
  </si>
  <si>
    <t>EN_NPi2020_450</t>
  </si>
  <si>
    <t>GCAM 5.3</t>
  </si>
  <si>
    <t>R_MAC_35_n8</t>
  </si>
  <si>
    <t>WITCH 5.0</t>
  </si>
  <si>
    <t>PEP_1p5C_red_eff</t>
  </si>
  <si>
    <t>COV_SmartUse_550</t>
  </si>
  <si>
    <t>NGFS2_Net-Zero 2050 - IPD-95th</t>
  </si>
  <si>
    <t>R_MAC_45_n8</t>
  </si>
  <si>
    <t>EN_NPi2020_450f</t>
  </si>
  <si>
    <t>REMIND-MAgPIE 1.5</t>
  </si>
  <si>
    <t>SSP2-19</t>
  </si>
  <si>
    <t>EN_NPi2020_600_DR4p</t>
  </si>
  <si>
    <t>WITCH-GLOBIOM 4.4</t>
  </si>
  <si>
    <t>CD-LINKS_NPi2020_400</t>
  </si>
  <si>
    <t>GEM-E3_V2021</t>
  </si>
  <si>
    <t>CD-LINKS_NPi2020_1000</t>
  </si>
  <si>
    <t>AIM/CGE 2.1</t>
  </si>
  <si>
    <t>POLES EMF33</t>
  </si>
  <si>
    <t>EMF33_WB2C_cost100</t>
  </si>
  <si>
    <t>CEMICS_opt_1p5</t>
  </si>
  <si>
    <t>CEMICS_SSP2-1p5C-fullCDR</t>
  </si>
  <si>
    <t>CEMICS_Linear_1p5</t>
  </si>
  <si>
    <t>Ratchet-1.5-limCDR-noOS</t>
  </si>
  <si>
    <t>Ratchet-1.5-noCDR-noOS</t>
  </si>
  <si>
    <t>COV_NoPolicyNoCOVID_550</t>
  </si>
  <si>
    <t>POLES ADVANCE</t>
  </si>
  <si>
    <t>ADVANCE_2020_1.5C-2100</t>
  </si>
  <si>
    <t>AIM/CGE 2.2</t>
  </si>
  <si>
    <t>EN_NPi2020_600f_COV</t>
  </si>
  <si>
    <t>EMF33_WB2C_full</t>
  </si>
  <si>
    <t>EN_NPi2020_500f</t>
  </si>
  <si>
    <t>IMAGE 3.2</t>
  </si>
  <si>
    <t>SSP2_SPA1_19I_RE_LB</t>
  </si>
  <si>
    <t>CEMICS-1.5-CDR20</t>
  </si>
  <si>
    <t>CEMICS_SSP1-1p5C-fullCDR</t>
  </si>
  <si>
    <t>CEMICS-2.0-CDR8</t>
  </si>
  <si>
    <t>R_MAC_40_n8</t>
  </si>
  <si>
    <t>EN_NPi2020_500</t>
  </si>
  <si>
    <t>EN_NPi2020_200f</t>
  </si>
  <si>
    <t>DeepElec_SSP2_def_Budg900</t>
  </si>
  <si>
    <t>R_MAC_50_n8</t>
  </si>
  <si>
    <t>R_MAC_30_n0</t>
  </si>
  <si>
    <t>COV_GreenPush_550</t>
  </si>
  <si>
    <t>NGFS2_Divergent Net Zero Policies</t>
  </si>
  <si>
    <t>SMP_2C_lifesty</t>
  </si>
  <si>
    <t>SusDev_SSP2-PkBudg900</t>
  </si>
  <si>
    <t>SSP2_SPA1_19I_LIRE_LB</t>
  </si>
  <si>
    <t>CEMICS_HotellingConst_1p5</t>
  </si>
  <si>
    <t>R2p1_SSP5-PkBudg900</t>
  </si>
  <si>
    <t>SusDev_SSP1-PkBudg900</t>
  </si>
  <si>
    <t>EN_NPi2020_600</t>
  </si>
  <si>
    <t>R2p1_SSP2-PkBudg900</t>
  </si>
  <si>
    <t>MESSAGEix-GLOBIOM 1.0</t>
  </si>
  <si>
    <t>LowEnergyDemand_1.3_IPCC</t>
  </si>
  <si>
    <t>R2p1_SSP1-PkBudg900</t>
  </si>
  <si>
    <t>LeastTotalCost_LTC_brkLR15_SSP1_P50</t>
  </si>
  <si>
    <t>EN_NPi2020_400</t>
  </si>
  <si>
    <t>COV_Restore_550</t>
  </si>
  <si>
    <t>EMF33_WB2C_nofuel</t>
  </si>
  <si>
    <t>CEMICS_SSP1-1p5C-minCDR</t>
  </si>
  <si>
    <t>EMF33_1.5C_full</t>
  </si>
  <si>
    <t>EMF33_1.5C_nofuel</t>
  </si>
  <si>
    <t>SSP1_SPA1_19I_LIRE_LB</t>
  </si>
  <si>
    <t>SSP1_SPA1_19I_D_LB</t>
  </si>
  <si>
    <t>CEMICS-1.5-CDR8</t>
  </si>
  <si>
    <t>SSP2_SPA1_19I_D_LB</t>
  </si>
  <si>
    <t>CEMICS_SSP2-1p5C-minCDR</t>
  </si>
  <si>
    <t>NGFS2_Net-Zero 2050 - IPD-median</t>
  </si>
  <si>
    <t>SSP1_SPA1_19I_RE_LB</t>
  </si>
  <si>
    <t>SSP2_SPA2_19I_LI</t>
  </si>
  <si>
    <t>Estimated Resident Population by Age and Sex (1991+) (Annual-Jun)</t>
  </si>
  <si>
    <t>As at</t>
  </si>
  <si>
    <t>Stats NZ Infoshare</t>
  </si>
  <si>
    <t>Total</t>
  </si>
  <si>
    <t>https://infoshare.stats.govt.nz/SelectVariables.aspx?pxID=d4bab39f-13ea-452b-8b60-d9bcb46edcdb</t>
  </si>
  <si>
    <t>Total All Ages</t>
  </si>
  <si>
    <t>2023</t>
  </si>
  <si>
    <r>
      <t>Table information:</t>
    </r>
    <r>
      <rPr>
        <sz val="11"/>
        <color theme="1"/>
        <rFont val="Calibri"/>
        <family val="2"/>
        <scheme val="minor"/>
      </rPr>
      <t xml:space="preserve"> </t>
    </r>
  </si>
  <si>
    <t>Units:</t>
  </si>
  <si>
    <t>Number, Magnitude = Units</t>
  </si>
  <si>
    <t>Footnotes:</t>
  </si>
  <si>
    <t>All population estimates at 30 June 2018 and beyond use the 2018-base ERP.</t>
  </si>
  <si>
    <t>Estimates flagged as provisional are subject to revision, mainly to incorporate revisions to external (international) migration estimates.</t>
  </si>
  <si>
    <t>Symbols:</t>
  </si>
  <si>
    <t>.. figure not available</t>
  </si>
  <si>
    <t>C: Confidential</t>
  </si>
  <si>
    <t>E: Early Estimate</t>
  </si>
  <si>
    <t>P: Provisional</t>
  </si>
  <si>
    <t>R: Revised</t>
  </si>
  <si>
    <t>S: Suppressed</t>
  </si>
  <si>
    <t>Status flags are not displayed</t>
  </si>
  <si>
    <t>Table reference:</t>
  </si>
  <si>
    <t>DPE056AA</t>
  </si>
  <si>
    <t>Last updated:</t>
  </si>
  <si>
    <t>Total All Ages: 16 August 2023 10:45am</t>
  </si>
  <si>
    <t>Source: Statistics New Zealand</t>
  </si>
  <si>
    <t>Contact: Information Centre</t>
  </si>
  <si>
    <t>Telephone: 0508 525 525</t>
  </si>
  <si>
    <t>Email:info@stats.govt.nz</t>
  </si>
  <si>
    <t>Table 1</t>
  </si>
  <si>
    <t>Summary of New Zealand population projections</t>
  </si>
  <si>
    <t>2022(base)–2073</t>
  </si>
  <si>
    <t>Year at
30 June</t>
  </si>
  <si>
    <r>
      <t>Projected probability distribution (percentiles)</t>
    </r>
    <r>
      <rPr>
        <vertAlign val="superscript"/>
        <sz val="8"/>
        <rFont val="Arial Mäori"/>
        <family val="2"/>
      </rPr>
      <t>(1)</t>
    </r>
  </si>
  <si>
    <t>5th</t>
  </si>
  <si>
    <t>25th</t>
  </si>
  <si>
    <t>50th
(Median)</t>
  </si>
  <si>
    <t>75th</t>
  </si>
  <si>
    <t>95th</t>
  </si>
  <si>
    <r>
      <t>Very high
fertility</t>
    </r>
    <r>
      <rPr>
        <vertAlign val="superscript"/>
        <sz val="8"/>
        <rFont val="Arial"/>
        <family val="2"/>
      </rPr>
      <t>(2)</t>
    </r>
  </si>
  <si>
    <r>
      <t>Very low
mortality</t>
    </r>
    <r>
      <rPr>
        <vertAlign val="superscript"/>
        <sz val="8"/>
        <rFont val="Arial Mäori"/>
        <family val="2"/>
      </rPr>
      <t>(3)</t>
    </r>
  </si>
  <si>
    <r>
      <t xml:space="preserve">No
migration
</t>
    </r>
    <r>
      <rPr>
        <vertAlign val="superscript"/>
        <sz val="8"/>
        <rFont val="Arial Mäori"/>
        <family val="2"/>
      </rPr>
      <t>(4)(5)</t>
    </r>
  </si>
  <si>
    <r>
      <t xml:space="preserve">Cyclic
migration
</t>
    </r>
    <r>
      <rPr>
        <vertAlign val="superscript"/>
        <sz val="8"/>
        <rFont val="Arial Mäori"/>
        <family val="2"/>
      </rPr>
      <t>(4)(6)</t>
    </r>
  </si>
  <si>
    <r>
      <t xml:space="preserve">Very high
migration
</t>
    </r>
    <r>
      <rPr>
        <vertAlign val="superscript"/>
        <sz val="8"/>
        <rFont val="Arial Mäori"/>
        <family val="2"/>
      </rPr>
      <t>(4)(7)</t>
    </r>
  </si>
  <si>
    <t>Population (000)</t>
  </si>
  <si>
    <t>2022 (base)</t>
  </si>
  <si>
    <t>National population projections: 2022(base)–2073</t>
  </si>
  <si>
    <t>https://www.stats.govt.nz/information-releases/national-population-projections-2022base2073/</t>
  </si>
  <si>
    <t>Published by Stats NZ</t>
  </si>
  <si>
    <t>27 July 2022</t>
  </si>
  <si>
    <t>www.stats.govt.nz</t>
  </si>
  <si>
    <r>
      <t>Annual population growth (000)</t>
    </r>
    <r>
      <rPr>
        <b/>
        <vertAlign val="superscript"/>
        <sz val="8"/>
        <rFont val="Arial Mäori"/>
        <family val="2"/>
      </rPr>
      <t>(8)</t>
    </r>
  </si>
  <si>
    <r>
      <rPr>
        <b/>
        <sz val="8"/>
        <rFont val="Arial Mäori"/>
        <family val="2"/>
      </rPr>
      <t>Annual population growth (percent)</t>
    </r>
    <r>
      <rPr>
        <b/>
        <vertAlign val="superscript"/>
        <sz val="8"/>
        <rFont val="Arial Mäori"/>
        <family val="2"/>
      </rPr>
      <t>(8)</t>
    </r>
  </si>
  <si>
    <t>Population aged 0–14 years (000)</t>
  </si>
  <si>
    <t>Population aged 15–39 years (000)</t>
  </si>
  <si>
    <t>Population aged 40–64 years (000)</t>
  </si>
  <si>
    <t>Population aged 65+ years (000)</t>
  </si>
  <si>
    <t>Population aged 85+ years (000)</t>
  </si>
  <si>
    <t>Population aged 0–14 years (percent)</t>
  </si>
  <si>
    <t>Population aged 15–39 years (percent)</t>
  </si>
  <si>
    <t>Population aged 40–64 years (percent)</t>
  </si>
  <si>
    <t>Population aged 65+ years (percent)</t>
  </si>
  <si>
    <t>Population aged 85+ years (percent)</t>
  </si>
  <si>
    <r>
      <t>Median age</t>
    </r>
    <r>
      <rPr>
        <b/>
        <vertAlign val="superscript"/>
        <sz val="8"/>
        <rFont val="Arial Mäori"/>
        <family val="2"/>
      </rPr>
      <t>(9)</t>
    </r>
    <r>
      <rPr>
        <b/>
        <sz val="8"/>
        <rFont val="Arial Mäori"/>
        <family val="2"/>
      </rPr>
      <t xml:space="preserve"> (years)</t>
    </r>
  </si>
  <si>
    <r>
      <t>0–14 dependency ratio</t>
    </r>
    <r>
      <rPr>
        <b/>
        <vertAlign val="superscript"/>
        <sz val="8"/>
        <rFont val="Arial Mäori"/>
        <family val="2"/>
      </rPr>
      <t>(10)</t>
    </r>
  </si>
  <si>
    <r>
      <t>65+ dependency ratio</t>
    </r>
    <r>
      <rPr>
        <b/>
        <vertAlign val="superscript"/>
        <sz val="8"/>
        <rFont val="Arial Mäori"/>
        <family val="2"/>
      </rPr>
      <t>(11)</t>
    </r>
  </si>
  <si>
    <r>
      <t>Total (0–14 + 65+) dependency ratio</t>
    </r>
    <r>
      <rPr>
        <b/>
        <vertAlign val="superscript"/>
        <sz val="8"/>
        <rFont val="Arial Mäori"/>
        <family val="2"/>
      </rPr>
      <t>(12)</t>
    </r>
  </si>
  <si>
    <r>
      <rPr>
        <b/>
        <sz val="8"/>
        <rFont val="Arial Mäori"/>
        <family val="2"/>
      </rPr>
      <t>Births (000)</t>
    </r>
    <r>
      <rPr>
        <b/>
        <vertAlign val="superscript"/>
        <sz val="8"/>
        <rFont val="Arial Mäori"/>
        <family val="2"/>
      </rPr>
      <t>(8)</t>
    </r>
  </si>
  <si>
    <r>
      <t>Deaths (000)</t>
    </r>
    <r>
      <rPr>
        <b/>
        <vertAlign val="superscript"/>
        <sz val="8"/>
        <rFont val="Arial Mäori"/>
        <family val="2"/>
      </rPr>
      <t>(8)</t>
    </r>
  </si>
  <si>
    <r>
      <t>Natural increase (000)</t>
    </r>
    <r>
      <rPr>
        <b/>
        <vertAlign val="superscript"/>
        <sz val="8"/>
        <rFont val="Arial Mäori"/>
        <family val="2"/>
      </rPr>
      <t>(8)(13)</t>
    </r>
  </si>
  <si>
    <r>
      <t>Net migration (000)</t>
    </r>
    <r>
      <rPr>
        <b/>
        <vertAlign val="superscript"/>
        <sz val="8"/>
        <rFont val="Arial Mäori"/>
        <family val="2"/>
      </rPr>
      <t>(8)(14)</t>
    </r>
  </si>
  <si>
    <r>
      <t>Total fertility rate</t>
    </r>
    <r>
      <rPr>
        <b/>
        <vertAlign val="superscript"/>
        <sz val="8"/>
        <rFont val="Arial Mäori"/>
        <family val="2"/>
      </rPr>
      <t>(8)(15)</t>
    </r>
  </si>
  <si>
    <r>
      <t>Male period life expectancy at birth</t>
    </r>
    <r>
      <rPr>
        <b/>
        <vertAlign val="superscript"/>
        <sz val="8"/>
        <rFont val="Arial Mäori"/>
        <family val="2"/>
      </rPr>
      <t>(8)(16)</t>
    </r>
  </si>
  <si>
    <r>
      <t>Female period life expectancy at birth</t>
    </r>
    <r>
      <rPr>
        <b/>
        <vertAlign val="superscript"/>
        <sz val="8"/>
        <rFont val="Arial Mäori"/>
        <family val="2"/>
      </rPr>
      <t>(8)(16)</t>
    </r>
  </si>
  <si>
    <t>1.</t>
  </si>
  <si>
    <t>Percentiles indicate the probability that the actual result is lower than this percentile. For example, the 25th percentile indicates a 25 percent</t>
  </si>
  <si>
    <t>probability that the actual result for a given year is lower than this percentile.</t>
  </si>
  <si>
    <t>2.</t>
  </si>
  <si>
    <t>Assumes a total fertility rate of 1.65 births per woman in the long term. The mortality and migration assumptions are consistent with the 50th</t>
  </si>
  <si>
    <t>percentile of the projected probability distribution.</t>
  </si>
  <si>
    <t>3.</t>
  </si>
  <si>
    <t>Assumes life expectancy at birth increases at about 0.3 years of life for males and females reaching 96.0 years for both males and females</t>
  </si>
  <si>
    <t xml:space="preserve"> in 2073. Fertility and migration assumptions are consistent with the 50th percentile of the projected probability distribution.</t>
  </si>
  <si>
    <t>4.</t>
  </si>
  <si>
    <t>The fertility and mortality assumptions are consistent with the 50th percentile of the projected probability distribution.</t>
  </si>
  <si>
    <t>5.</t>
  </si>
  <si>
    <t>Assumes no external migration (i.e. a 'closed' population).</t>
  </si>
  <si>
    <t>6.</t>
  </si>
  <si>
    <t xml:space="preserve">Assumes annual net migration fluctuates between -5,000 and 60,000 over a 10-year cycle, with an average of 25,000. </t>
  </si>
  <si>
    <t>7.</t>
  </si>
  <si>
    <t>Assumes net migration of 50,000 in each year from 2026.</t>
  </si>
  <si>
    <t>8.</t>
  </si>
  <si>
    <t>Year ended 30 June.</t>
  </si>
  <si>
    <t>9.</t>
  </si>
  <si>
    <t>Half the population is younger, and half older, than this age.</t>
  </si>
  <si>
    <t>10.</t>
  </si>
  <si>
    <t>The number of people aged 0–14 years per 100 people aged 15–64 years.</t>
  </si>
  <si>
    <t>11.</t>
  </si>
  <si>
    <t>The number of people aged 65+ years per 100 people aged 15–64 years.</t>
  </si>
  <si>
    <t>12.</t>
  </si>
  <si>
    <t>The number of people aged 0–14 and 65+ years per 100 people aged 15–64 years.</t>
  </si>
  <si>
    <t>13.</t>
  </si>
  <si>
    <t>Births minus deaths. Negative values denote natural decrease.</t>
  </si>
  <si>
    <t>14.</t>
  </si>
  <si>
    <t>Arrivals minus departures.</t>
  </si>
  <si>
    <t>15.</t>
  </si>
  <si>
    <t>The average number of live births that women would have during their life if they experienced the age-specific fertility rates of that year.</t>
  </si>
  <si>
    <t>16.</t>
  </si>
  <si>
    <t>The average length of life of newborn babies assuming they experienced the age-specific mortality rates of that year throughout their life.</t>
  </si>
  <si>
    <r>
      <t>Note:</t>
    </r>
    <r>
      <rPr>
        <sz val="8"/>
        <rFont val="Arial"/>
        <family val="2"/>
      </rPr>
      <t xml:space="preserve"> Owing to rounding, individual figures may not sum to give the stated totals.</t>
    </r>
  </si>
  <si>
    <t xml:space="preserve">          Percentiles are non-additive except the 50th percentile (median). For example, percentiles for the population aged 15–39 and 40–64 years</t>
  </si>
  <si>
    <t xml:space="preserve">          cannot be added together to give the equivalent percentile for the population aged 15–64 years.</t>
  </si>
  <si>
    <r>
      <t>Source:</t>
    </r>
    <r>
      <rPr>
        <sz val="8"/>
        <rFont val="Arial"/>
        <family val="2"/>
      </rPr>
      <t xml:space="preserve"> Stats NZ</t>
    </r>
  </si>
  <si>
    <t>Data Source</t>
  </si>
  <si>
    <t>World Development Indicators</t>
  </si>
  <si>
    <t>Last Updated Date</t>
  </si>
  <si>
    <t>https://data.worldbank.org/indicator/NY.GDP.MKTP.PP.KD</t>
  </si>
  <si>
    <t>Country Name</t>
  </si>
  <si>
    <t>Country Code</t>
  </si>
  <si>
    <t>Indicator Name</t>
  </si>
  <si>
    <t>Indicator Code</t>
  </si>
  <si>
    <t>1960</t>
  </si>
  <si>
    <t>1961</t>
  </si>
  <si>
    <t>1962</t>
  </si>
  <si>
    <t>1963</t>
  </si>
  <si>
    <t>1964</t>
  </si>
  <si>
    <t>1965</t>
  </si>
  <si>
    <t>1966</t>
  </si>
  <si>
    <t>1967</t>
  </si>
  <si>
    <t>1968</t>
  </si>
  <si>
    <t>1969</t>
  </si>
  <si>
    <t>1970</t>
  </si>
  <si>
    <t>1971</t>
  </si>
  <si>
    <t>1972</t>
  </si>
  <si>
    <t>1973</t>
  </si>
  <si>
    <t>1974</t>
  </si>
  <si>
    <t>1975</t>
  </si>
  <si>
    <t>1976</t>
  </si>
  <si>
    <t>1977</t>
  </si>
  <si>
    <t>1978</t>
  </si>
  <si>
    <t>1979</t>
  </si>
  <si>
    <t>1980</t>
  </si>
  <si>
    <t>1981</t>
  </si>
  <si>
    <t>1982</t>
  </si>
  <si>
    <t>1983</t>
  </si>
  <si>
    <t>1984</t>
  </si>
  <si>
    <t>1985</t>
  </si>
  <si>
    <t>1986</t>
  </si>
  <si>
    <t>1987</t>
  </si>
  <si>
    <t>1988</t>
  </si>
  <si>
    <t>1989</t>
  </si>
  <si>
    <t>1990</t>
  </si>
  <si>
    <t>1991</t>
  </si>
  <si>
    <t>1992</t>
  </si>
  <si>
    <t>1993</t>
  </si>
  <si>
    <t>1994</t>
  </si>
  <si>
    <t>1995</t>
  </si>
  <si>
    <t>1996</t>
  </si>
  <si>
    <t>1997</t>
  </si>
  <si>
    <t>1998</t>
  </si>
  <si>
    <t>1999</t>
  </si>
  <si>
    <t>2000</t>
  </si>
  <si>
    <t>2001</t>
  </si>
  <si>
    <t>2002</t>
  </si>
  <si>
    <t>2003</t>
  </si>
  <si>
    <t>2004</t>
  </si>
  <si>
    <t>2005</t>
  </si>
  <si>
    <t>2006</t>
  </si>
  <si>
    <t>2007</t>
  </si>
  <si>
    <t>2008</t>
  </si>
  <si>
    <t>2009</t>
  </si>
  <si>
    <t>2010</t>
  </si>
  <si>
    <t>2011</t>
  </si>
  <si>
    <t>2012</t>
  </si>
  <si>
    <t>2013</t>
  </si>
  <si>
    <t>2014</t>
  </si>
  <si>
    <t>2015</t>
  </si>
  <si>
    <t>2016</t>
  </si>
  <si>
    <t>2017</t>
  </si>
  <si>
    <t>2018</t>
  </si>
  <si>
    <t>2019</t>
  </si>
  <si>
    <t>2020</t>
  </si>
  <si>
    <t>2021</t>
  </si>
  <si>
    <t>2022</t>
  </si>
  <si>
    <t>Aruba</t>
  </si>
  <si>
    <t>ABW</t>
  </si>
  <si>
    <t>GDP, PPP (constant 2017 international $)</t>
  </si>
  <si>
    <t>NY.GDP.MKTP.PP.KD</t>
  </si>
  <si>
    <t>Africa Eastern and Southern</t>
  </si>
  <si>
    <t>AFE</t>
  </si>
  <si>
    <t>Afghanistan</t>
  </si>
  <si>
    <t>AFG</t>
  </si>
  <si>
    <t>Africa Western and Central</t>
  </si>
  <si>
    <t>AFW</t>
  </si>
  <si>
    <t>Angola</t>
  </si>
  <si>
    <t>AGO</t>
  </si>
  <si>
    <t>Albania</t>
  </si>
  <si>
    <t>ALB</t>
  </si>
  <si>
    <t>Andorra</t>
  </si>
  <si>
    <t>AND</t>
  </si>
  <si>
    <t>Arab World</t>
  </si>
  <si>
    <t>ARB</t>
  </si>
  <si>
    <t>United Arab Emirates</t>
  </si>
  <si>
    <t>ARE</t>
  </si>
  <si>
    <t>Argentina</t>
  </si>
  <si>
    <t>ARG</t>
  </si>
  <si>
    <t>Armenia</t>
  </si>
  <si>
    <t>ARM</t>
  </si>
  <si>
    <t>American Samoa</t>
  </si>
  <si>
    <t>ASM</t>
  </si>
  <si>
    <t>Antigua and Barbuda</t>
  </si>
  <si>
    <t>ATG</t>
  </si>
  <si>
    <t>Australia</t>
  </si>
  <si>
    <t>AUS</t>
  </si>
  <si>
    <t>Austria</t>
  </si>
  <si>
    <t>AUT</t>
  </si>
  <si>
    <t>Azerbaijan</t>
  </si>
  <si>
    <t>AZE</t>
  </si>
  <si>
    <t>Burundi</t>
  </si>
  <si>
    <t>BDI</t>
  </si>
  <si>
    <t>Belgium</t>
  </si>
  <si>
    <t>BEL</t>
  </si>
  <si>
    <t>Benin</t>
  </si>
  <si>
    <t>BEN</t>
  </si>
  <si>
    <t>Burkina Faso</t>
  </si>
  <si>
    <t>BFA</t>
  </si>
  <si>
    <t>Bangladesh</t>
  </si>
  <si>
    <t>BGD</t>
  </si>
  <si>
    <t>Bulgaria</t>
  </si>
  <si>
    <t>BGR</t>
  </si>
  <si>
    <t>Bahrain</t>
  </si>
  <si>
    <t>BHR</t>
  </si>
  <si>
    <t>Bahamas, The</t>
  </si>
  <si>
    <t>BHS</t>
  </si>
  <si>
    <t>Bosnia and Herzegovina</t>
  </si>
  <si>
    <t>BIH</t>
  </si>
  <si>
    <t>Belarus</t>
  </si>
  <si>
    <t>BLR</t>
  </si>
  <si>
    <t>Belize</t>
  </si>
  <si>
    <t>BLZ</t>
  </si>
  <si>
    <t>Bermuda</t>
  </si>
  <si>
    <t>BMU</t>
  </si>
  <si>
    <t>Bolivia</t>
  </si>
  <si>
    <t>BOL</t>
  </si>
  <si>
    <t>Brazil</t>
  </si>
  <si>
    <t>BRA</t>
  </si>
  <si>
    <t>Barbados</t>
  </si>
  <si>
    <t>BRB</t>
  </si>
  <si>
    <t>Brunei Darussalam</t>
  </si>
  <si>
    <t>BRN</t>
  </si>
  <si>
    <t>Bhutan</t>
  </si>
  <si>
    <t>BTN</t>
  </si>
  <si>
    <t>Botswana</t>
  </si>
  <si>
    <t>BWA</t>
  </si>
  <si>
    <t>Central African Republic</t>
  </si>
  <si>
    <t>CAF</t>
  </si>
  <si>
    <t>Canada</t>
  </si>
  <si>
    <t>CAN</t>
  </si>
  <si>
    <t>Central Europe and the Baltics</t>
  </si>
  <si>
    <t>CEB</t>
  </si>
  <si>
    <t>Switzerland</t>
  </si>
  <si>
    <t>CHE</t>
  </si>
  <si>
    <t>Channel Islands</t>
  </si>
  <si>
    <t>CHI</t>
  </si>
  <si>
    <t>Chile</t>
  </si>
  <si>
    <t>CHL</t>
  </si>
  <si>
    <t>China</t>
  </si>
  <si>
    <t>CHN</t>
  </si>
  <si>
    <t>Cote d'Ivoire</t>
  </si>
  <si>
    <t>CIV</t>
  </si>
  <si>
    <t>Cameroon</t>
  </si>
  <si>
    <t>CMR</t>
  </si>
  <si>
    <t>Congo, Dem. Rep.</t>
  </si>
  <si>
    <t>COD</t>
  </si>
  <si>
    <t>Congo, Rep.</t>
  </si>
  <si>
    <t>COG</t>
  </si>
  <si>
    <t>Colombia</t>
  </si>
  <si>
    <t>COL</t>
  </si>
  <si>
    <t>Comoros</t>
  </si>
  <si>
    <t>COM</t>
  </si>
  <si>
    <t>Cabo Verde</t>
  </si>
  <si>
    <t>CPV</t>
  </si>
  <si>
    <t>Costa Rica</t>
  </si>
  <si>
    <t>CRI</t>
  </si>
  <si>
    <t>Caribbean small states</t>
  </si>
  <si>
    <t>CSS</t>
  </si>
  <si>
    <t>Cuba</t>
  </si>
  <si>
    <t>CUB</t>
  </si>
  <si>
    <t>Curacao</t>
  </si>
  <si>
    <t>CUW</t>
  </si>
  <si>
    <t>Cayman Islands</t>
  </si>
  <si>
    <t>CYM</t>
  </si>
  <si>
    <t>Cyprus</t>
  </si>
  <si>
    <t>CYP</t>
  </si>
  <si>
    <t>Czechia</t>
  </si>
  <si>
    <t>CZE</t>
  </si>
  <si>
    <t>Germany</t>
  </si>
  <si>
    <t>DEU</t>
  </si>
  <si>
    <t>Djibouti</t>
  </si>
  <si>
    <t>DJI</t>
  </si>
  <si>
    <t>Dominica</t>
  </si>
  <si>
    <t>DMA</t>
  </si>
  <si>
    <t>Denmark</t>
  </si>
  <si>
    <t>DNK</t>
  </si>
  <si>
    <t>Dominican Republic</t>
  </si>
  <si>
    <t>DOM</t>
  </si>
  <si>
    <t>Algeria</t>
  </si>
  <si>
    <t>DZA</t>
  </si>
  <si>
    <t>East Asia &amp; Pacific (excluding high income)</t>
  </si>
  <si>
    <t>EAP</t>
  </si>
  <si>
    <t>Early-demographic dividend</t>
  </si>
  <si>
    <t>EAR</t>
  </si>
  <si>
    <t>East Asia &amp; Pacific</t>
  </si>
  <si>
    <t>EAS</t>
  </si>
  <si>
    <t>Europe &amp; Central Asia (excluding high income)</t>
  </si>
  <si>
    <t>ECA</t>
  </si>
  <si>
    <t>Europe &amp; Central Asia</t>
  </si>
  <si>
    <t>ECS</t>
  </si>
  <si>
    <t>Ecuador</t>
  </si>
  <si>
    <t>ECU</t>
  </si>
  <si>
    <t>Egypt, Arab Rep.</t>
  </si>
  <si>
    <t>EGY</t>
  </si>
  <si>
    <t>Euro area</t>
  </si>
  <si>
    <t>EMU</t>
  </si>
  <si>
    <t>Eritrea</t>
  </si>
  <si>
    <t>ERI</t>
  </si>
  <si>
    <t>Spain</t>
  </si>
  <si>
    <t>ESP</t>
  </si>
  <si>
    <t>Estonia</t>
  </si>
  <si>
    <t>EST</t>
  </si>
  <si>
    <t>Ethiopia</t>
  </si>
  <si>
    <t>ETH</t>
  </si>
  <si>
    <t>European Union</t>
  </si>
  <si>
    <t>EUU</t>
  </si>
  <si>
    <t>Fragile and conflict affected situations</t>
  </si>
  <si>
    <t>FCS</t>
  </si>
  <si>
    <t>Finland</t>
  </si>
  <si>
    <t>FIN</t>
  </si>
  <si>
    <t>Fiji</t>
  </si>
  <si>
    <t>FJI</t>
  </si>
  <si>
    <t>France</t>
  </si>
  <si>
    <t>FRA</t>
  </si>
  <si>
    <t>Faroe Islands</t>
  </si>
  <si>
    <t>FRO</t>
  </si>
  <si>
    <t>Micronesia, Fed. Sts.</t>
  </si>
  <si>
    <t>FSM</t>
  </si>
  <si>
    <t>Gabon</t>
  </si>
  <si>
    <t>GAB</t>
  </si>
  <si>
    <t>United Kingdom</t>
  </si>
  <si>
    <t>GBR</t>
  </si>
  <si>
    <t>Georgia</t>
  </si>
  <si>
    <t>GEO</t>
  </si>
  <si>
    <t>Ghana</t>
  </si>
  <si>
    <t>GHA</t>
  </si>
  <si>
    <t>Gibraltar</t>
  </si>
  <si>
    <t>GIB</t>
  </si>
  <si>
    <t>Guinea</t>
  </si>
  <si>
    <t>GIN</t>
  </si>
  <si>
    <t>Gambia, The</t>
  </si>
  <si>
    <t>GMB</t>
  </si>
  <si>
    <t>Guinea-Bissau</t>
  </si>
  <si>
    <t>GNB</t>
  </si>
  <si>
    <t>Equatorial Guinea</t>
  </si>
  <si>
    <t>GNQ</t>
  </si>
  <si>
    <t>Greece</t>
  </si>
  <si>
    <t>GRC</t>
  </si>
  <si>
    <t>Grenada</t>
  </si>
  <si>
    <t>GRD</t>
  </si>
  <si>
    <t>Greenland</t>
  </si>
  <si>
    <t>GRL</t>
  </si>
  <si>
    <t>Guatemala</t>
  </si>
  <si>
    <t>GTM</t>
  </si>
  <si>
    <t>Guam</t>
  </si>
  <si>
    <t>GUM</t>
  </si>
  <si>
    <t>Guyana</t>
  </si>
  <si>
    <t>GUY</t>
  </si>
  <si>
    <t>High income</t>
  </si>
  <si>
    <t>HIC</t>
  </si>
  <si>
    <t>Hong Kong SAR, China</t>
  </si>
  <si>
    <t>HKG</t>
  </si>
  <si>
    <t>Honduras</t>
  </si>
  <si>
    <t>HND</t>
  </si>
  <si>
    <t>Heavily indebted poor countries (HIPC)</t>
  </si>
  <si>
    <t>HPC</t>
  </si>
  <si>
    <t>Croatia</t>
  </si>
  <si>
    <t>HRV</t>
  </si>
  <si>
    <t>Haiti</t>
  </si>
  <si>
    <t>HTI</t>
  </si>
  <si>
    <t>Hungary</t>
  </si>
  <si>
    <t>HUN</t>
  </si>
  <si>
    <t>IBRD only</t>
  </si>
  <si>
    <t>IBD</t>
  </si>
  <si>
    <t>IDA &amp; IBRD total</t>
  </si>
  <si>
    <t>IBT</t>
  </si>
  <si>
    <t>IDA total</t>
  </si>
  <si>
    <t>IDA</t>
  </si>
  <si>
    <t>IDA blend</t>
  </si>
  <si>
    <t>IDB</t>
  </si>
  <si>
    <t>Indonesia</t>
  </si>
  <si>
    <t>IDN</t>
  </si>
  <si>
    <t>IDA only</t>
  </si>
  <si>
    <t>IDX</t>
  </si>
  <si>
    <t>Isle of Man</t>
  </si>
  <si>
    <t>IMN</t>
  </si>
  <si>
    <t>India</t>
  </si>
  <si>
    <t>IND</t>
  </si>
  <si>
    <t>Not classified</t>
  </si>
  <si>
    <t>INX</t>
  </si>
  <si>
    <t>Ireland</t>
  </si>
  <si>
    <t>IRL</t>
  </si>
  <si>
    <t>Iran, Islamic Rep.</t>
  </si>
  <si>
    <t>IRN</t>
  </si>
  <si>
    <t>Iraq</t>
  </si>
  <si>
    <t>IRQ</t>
  </si>
  <si>
    <t>Iceland</t>
  </si>
  <si>
    <t>ISL</t>
  </si>
  <si>
    <t>Israel</t>
  </si>
  <si>
    <t>ISR</t>
  </si>
  <si>
    <t>Italy</t>
  </si>
  <si>
    <t>ITA</t>
  </si>
  <si>
    <t>Jamaica</t>
  </si>
  <si>
    <t>JAM</t>
  </si>
  <si>
    <t>Jordan</t>
  </si>
  <si>
    <t>JOR</t>
  </si>
  <si>
    <t>Japan</t>
  </si>
  <si>
    <t>JPN</t>
  </si>
  <si>
    <t>Kazakhstan</t>
  </si>
  <si>
    <t>KAZ</t>
  </si>
  <si>
    <t>Kenya</t>
  </si>
  <si>
    <t>KEN</t>
  </si>
  <si>
    <t>Kyrgyz Republic</t>
  </si>
  <si>
    <t>KGZ</t>
  </si>
  <si>
    <t>Cambodia</t>
  </si>
  <si>
    <t>KHM</t>
  </si>
  <si>
    <t>Kiribati</t>
  </si>
  <si>
    <t>KIR</t>
  </si>
  <si>
    <t>St. Kitts and Nevis</t>
  </si>
  <si>
    <t>KNA</t>
  </si>
  <si>
    <t>Korea, Rep.</t>
  </si>
  <si>
    <t>KOR</t>
  </si>
  <si>
    <t>Kuwait</t>
  </si>
  <si>
    <t>KWT</t>
  </si>
  <si>
    <t>Latin America &amp; Caribbean (excluding high income)</t>
  </si>
  <si>
    <t>LAC</t>
  </si>
  <si>
    <t>Lao PDR</t>
  </si>
  <si>
    <t>LAO</t>
  </si>
  <si>
    <t>Lebanon</t>
  </si>
  <si>
    <t>LBN</t>
  </si>
  <si>
    <t>Liberia</t>
  </si>
  <si>
    <t>LBR</t>
  </si>
  <si>
    <t>Libya</t>
  </si>
  <si>
    <t>LBY</t>
  </si>
  <si>
    <t>St. Lucia</t>
  </si>
  <si>
    <t>LCA</t>
  </si>
  <si>
    <t>Latin America &amp; Caribbean</t>
  </si>
  <si>
    <t>LCN</t>
  </si>
  <si>
    <t>Least developed countries: UN classification</t>
  </si>
  <si>
    <t>LDC</t>
  </si>
  <si>
    <t>Low income</t>
  </si>
  <si>
    <t>LIC</t>
  </si>
  <si>
    <t>Liechtenstein</t>
  </si>
  <si>
    <t>LIE</t>
  </si>
  <si>
    <t>Sri Lanka</t>
  </si>
  <si>
    <t>LKA</t>
  </si>
  <si>
    <t>Lower middle income</t>
  </si>
  <si>
    <t>LMC</t>
  </si>
  <si>
    <t>Low &amp; middle income</t>
  </si>
  <si>
    <t>LMY</t>
  </si>
  <si>
    <t>Lesotho</t>
  </si>
  <si>
    <t>LSO</t>
  </si>
  <si>
    <t>Late-demographic dividend</t>
  </si>
  <si>
    <t>LTE</t>
  </si>
  <si>
    <t>Lithuania</t>
  </si>
  <si>
    <t>LTU</t>
  </si>
  <si>
    <t>Luxembourg</t>
  </si>
  <si>
    <t>LUX</t>
  </si>
  <si>
    <t>Latvia</t>
  </si>
  <si>
    <t>LVA</t>
  </si>
  <si>
    <t>Macao SAR, China</t>
  </si>
  <si>
    <t>MAC</t>
  </si>
  <si>
    <t>St. Martin (French part)</t>
  </si>
  <si>
    <t>MAF</t>
  </si>
  <si>
    <t>Morocco</t>
  </si>
  <si>
    <t>MAR</t>
  </si>
  <si>
    <t>Monaco</t>
  </si>
  <si>
    <t>MCO</t>
  </si>
  <si>
    <t>Moldova</t>
  </si>
  <si>
    <t>MDA</t>
  </si>
  <si>
    <t>Madagascar</t>
  </si>
  <si>
    <t>MDG</t>
  </si>
  <si>
    <t>Maldives</t>
  </si>
  <si>
    <t>MDV</t>
  </si>
  <si>
    <t>Middle East &amp; North Africa</t>
  </si>
  <si>
    <t>MEA</t>
  </si>
  <si>
    <t>Mexico</t>
  </si>
  <si>
    <t>MEX</t>
  </si>
  <si>
    <t>Marshall Islands</t>
  </si>
  <si>
    <t>MHL</t>
  </si>
  <si>
    <t>Middle income</t>
  </si>
  <si>
    <t>MIC</t>
  </si>
  <si>
    <t>North Macedonia</t>
  </si>
  <si>
    <t>MKD</t>
  </si>
  <si>
    <t>Mali</t>
  </si>
  <si>
    <t>MLI</t>
  </si>
  <si>
    <t>Malta</t>
  </si>
  <si>
    <t>MLT</t>
  </si>
  <si>
    <t>Myanmar</t>
  </si>
  <si>
    <t>MMR</t>
  </si>
  <si>
    <t>Middle East &amp; North Africa (excluding high income)</t>
  </si>
  <si>
    <t>MNA</t>
  </si>
  <si>
    <t>Montenegro</t>
  </si>
  <si>
    <t>MNE</t>
  </si>
  <si>
    <t>Mongolia</t>
  </si>
  <si>
    <t>MNG</t>
  </si>
  <si>
    <t>Northern Mariana Islands</t>
  </si>
  <si>
    <t>MNP</t>
  </si>
  <si>
    <t>Mozambique</t>
  </si>
  <si>
    <t>MOZ</t>
  </si>
  <si>
    <t>Mauritania</t>
  </si>
  <si>
    <t>MRT</t>
  </si>
  <si>
    <t>Mauritius</t>
  </si>
  <si>
    <t>MUS</t>
  </si>
  <si>
    <t>Malawi</t>
  </si>
  <si>
    <t>MWI</t>
  </si>
  <si>
    <t>Malaysia</t>
  </si>
  <si>
    <t>MYS</t>
  </si>
  <si>
    <t>North America</t>
  </si>
  <si>
    <t>NAC</t>
  </si>
  <si>
    <t>Namibia</t>
  </si>
  <si>
    <t>NAM</t>
  </si>
  <si>
    <t>New Caledonia</t>
  </si>
  <si>
    <t>NCL</t>
  </si>
  <si>
    <t>Niger</t>
  </si>
  <si>
    <t>NER</t>
  </si>
  <si>
    <t>Nigeria</t>
  </si>
  <si>
    <t>NGA</t>
  </si>
  <si>
    <t>Nicaragua</t>
  </si>
  <si>
    <t>NIC</t>
  </si>
  <si>
    <t>Netherlands</t>
  </si>
  <si>
    <t>NLD</t>
  </si>
  <si>
    <t>Norway</t>
  </si>
  <si>
    <t>NOR</t>
  </si>
  <si>
    <t>Nepal</t>
  </si>
  <si>
    <t>NPL</t>
  </si>
  <si>
    <t>Nauru</t>
  </si>
  <si>
    <t>NRU</t>
  </si>
  <si>
    <t>New Zealand</t>
  </si>
  <si>
    <t>NZL</t>
  </si>
  <si>
    <t>OECD members</t>
  </si>
  <si>
    <t>OED</t>
  </si>
  <si>
    <t>Oman</t>
  </si>
  <si>
    <t>OMN</t>
  </si>
  <si>
    <t>Other small states</t>
  </si>
  <si>
    <t>OSS</t>
  </si>
  <si>
    <t>Pakistan</t>
  </si>
  <si>
    <t>PAK</t>
  </si>
  <si>
    <t>Panama</t>
  </si>
  <si>
    <t>PAN</t>
  </si>
  <si>
    <t>Peru</t>
  </si>
  <si>
    <t>PER</t>
  </si>
  <si>
    <t>Philippines</t>
  </si>
  <si>
    <t>PHL</t>
  </si>
  <si>
    <t>Palau</t>
  </si>
  <si>
    <t>PLW</t>
  </si>
  <si>
    <t>Papua New Guinea</t>
  </si>
  <si>
    <t>PNG</t>
  </si>
  <si>
    <t>Poland</t>
  </si>
  <si>
    <t>POL</t>
  </si>
  <si>
    <t>Pre-demographic dividend</t>
  </si>
  <si>
    <t>PRE</t>
  </si>
  <si>
    <t>Puerto Rico</t>
  </si>
  <si>
    <t>PRI</t>
  </si>
  <si>
    <t>Korea, Dem. People's Rep.</t>
  </si>
  <si>
    <t>PRK</t>
  </si>
  <si>
    <t>Portugal</t>
  </si>
  <si>
    <t>PRT</t>
  </si>
  <si>
    <t>Paraguay</t>
  </si>
  <si>
    <t>PRY</t>
  </si>
  <si>
    <t>West Bank and Gaza</t>
  </si>
  <si>
    <t>PSE</t>
  </si>
  <si>
    <t>Pacific island small states</t>
  </si>
  <si>
    <t>PSS</t>
  </si>
  <si>
    <t>Post-demographic dividend</t>
  </si>
  <si>
    <t>PST</t>
  </si>
  <si>
    <t>French Polynesia</t>
  </si>
  <si>
    <t>PYF</t>
  </si>
  <si>
    <t>Qatar</t>
  </si>
  <si>
    <t>QAT</t>
  </si>
  <si>
    <t>Romania</t>
  </si>
  <si>
    <t>ROU</t>
  </si>
  <si>
    <t>Russian Federation</t>
  </si>
  <si>
    <t>RUS</t>
  </si>
  <si>
    <t>Rwanda</t>
  </si>
  <si>
    <t>RWA</t>
  </si>
  <si>
    <t>South Asia</t>
  </si>
  <si>
    <t>SAS</t>
  </si>
  <si>
    <t>Saudi Arabia</t>
  </si>
  <si>
    <t>SAU</t>
  </si>
  <si>
    <t>Sudan</t>
  </si>
  <si>
    <t>SDN</t>
  </si>
  <si>
    <t>Senegal</t>
  </si>
  <si>
    <t>SEN</t>
  </si>
  <si>
    <t>Singapore</t>
  </si>
  <si>
    <t>SGP</t>
  </si>
  <si>
    <t>Solomon Islands</t>
  </si>
  <si>
    <t>SLB</t>
  </si>
  <si>
    <t>Sierra Leone</t>
  </si>
  <si>
    <t>SLE</t>
  </si>
  <si>
    <t>El Salvador</t>
  </si>
  <si>
    <t>SLV</t>
  </si>
  <si>
    <t>San Marino</t>
  </si>
  <si>
    <t>SMR</t>
  </si>
  <si>
    <t>Somalia</t>
  </si>
  <si>
    <t>SOM</t>
  </si>
  <si>
    <t>Serbia</t>
  </si>
  <si>
    <t>SRB</t>
  </si>
  <si>
    <t>Sub-Saharan Africa (excluding high income)</t>
  </si>
  <si>
    <t>SSA</t>
  </si>
  <si>
    <t>South Sudan</t>
  </si>
  <si>
    <t>SSD</t>
  </si>
  <si>
    <t>Sub-Saharan Africa</t>
  </si>
  <si>
    <t>SSF</t>
  </si>
  <si>
    <t>Small states</t>
  </si>
  <si>
    <t>SST</t>
  </si>
  <si>
    <t>Sao Tome and Principe</t>
  </si>
  <si>
    <t>STP</t>
  </si>
  <si>
    <t>Suriname</t>
  </si>
  <si>
    <t>SUR</t>
  </si>
  <si>
    <t>Slovak Republic</t>
  </si>
  <si>
    <t>SVK</t>
  </si>
  <si>
    <t>Slovenia</t>
  </si>
  <si>
    <t>SVN</t>
  </si>
  <si>
    <t>Sweden</t>
  </si>
  <si>
    <t>SWE</t>
  </si>
  <si>
    <t>Eswatini</t>
  </si>
  <si>
    <t>SWZ</t>
  </si>
  <si>
    <t>Sint Maarten (Dutch part)</t>
  </si>
  <si>
    <t>SXM</t>
  </si>
  <si>
    <t>Seychelles</t>
  </si>
  <si>
    <t>SYC</t>
  </si>
  <si>
    <t>Syrian Arab Republic</t>
  </si>
  <si>
    <t>SYR</t>
  </si>
  <si>
    <t>Turks and Caicos Islands</t>
  </si>
  <si>
    <t>TCA</t>
  </si>
  <si>
    <t>Chad</t>
  </si>
  <si>
    <t>TCD</t>
  </si>
  <si>
    <t>East Asia &amp; Pacific (IDA &amp; IBRD countries)</t>
  </si>
  <si>
    <t>TEA</t>
  </si>
  <si>
    <t>Europe &amp; Central Asia (IDA &amp; IBRD countries)</t>
  </si>
  <si>
    <t>TEC</t>
  </si>
  <si>
    <t>Togo</t>
  </si>
  <si>
    <t>TGO</t>
  </si>
  <si>
    <t>Thailand</t>
  </si>
  <si>
    <t>THA</t>
  </si>
  <si>
    <t>Tajikistan</t>
  </si>
  <si>
    <t>TJK</t>
  </si>
  <si>
    <t>Turkmenistan</t>
  </si>
  <si>
    <t>TKM</t>
  </si>
  <si>
    <t>Latin America &amp; the Caribbean (IDA &amp; IBRD countries)</t>
  </si>
  <si>
    <t>TLA</t>
  </si>
  <si>
    <t>Timor-Leste</t>
  </si>
  <si>
    <t>TLS</t>
  </si>
  <si>
    <t>Middle East &amp; North Africa (IDA &amp; IBRD countries)</t>
  </si>
  <si>
    <t>TMN</t>
  </si>
  <si>
    <t>Tonga</t>
  </si>
  <si>
    <t>TON</t>
  </si>
  <si>
    <t>South Asia (IDA &amp; IBRD)</t>
  </si>
  <si>
    <t>TSA</t>
  </si>
  <si>
    <t>Sub-Saharan Africa (IDA &amp; IBRD countries)</t>
  </si>
  <si>
    <t>TSS</t>
  </si>
  <si>
    <t>Trinidad and Tobago</t>
  </si>
  <si>
    <t>TTO</t>
  </si>
  <si>
    <t>Tunisia</t>
  </si>
  <si>
    <t>TUN</t>
  </si>
  <si>
    <t>Turkiye</t>
  </si>
  <si>
    <t>TUR</t>
  </si>
  <si>
    <t>Tuvalu</t>
  </si>
  <si>
    <t>TUV</t>
  </si>
  <si>
    <t>Tanzania</t>
  </si>
  <si>
    <t>TZA</t>
  </si>
  <si>
    <t>Uganda</t>
  </si>
  <si>
    <t>UGA</t>
  </si>
  <si>
    <t>Ukraine</t>
  </si>
  <si>
    <t>UKR</t>
  </si>
  <si>
    <t>Upper middle income</t>
  </si>
  <si>
    <t>UMC</t>
  </si>
  <si>
    <t>Uruguay</t>
  </si>
  <si>
    <t>URY</t>
  </si>
  <si>
    <t>United States</t>
  </si>
  <si>
    <t>USA</t>
  </si>
  <si>
    <t>Uzbekistan</t>
  </si>
  <si>
    <t>UZB</t>
  </si>
  <si>
    <t>St. Vincent and the Grenadines</t>
  </si>
  <si>
    <t>VCT</t>
  </si>
  <si>
    <t>Venezuela, RB</t>
  </si>
  <si>
    <t>VEN</t>
  </si>
  <si>
    <t>British Virgin Islands</t>
  </si>
  <si>
    <t>VGB</t>
  </si>
  <si>
    <t>Virgin Islands (U.S.)</t>
  </si>
  <si>
    <t>VIR</t>
  </si>
  <si>
    <t>Vietnam</t>
  </si>
  <si>
    <t>VNM</t>
  </si>
  <si>
    <t>Vanuatu</t>
  </si>
  <si>
    <t>VUT</t>
  </si>
  <si>
    <t>WLD</t>
  </si>
  <si>
    <t>Samoa</t>
  </si>
  <si>
    <t>WSM</t>
  </si>
  <si>
    <t>Kosovo</t>
  </si>
  <si>
    <t>XKX</t>
  </si>
  <si>
    <t>Yemen, Rep.</t>
  </si>
  <si>
    <t>YEM</t>
  </si>
  <si>
    <t>South Africa</t>
  </si>
  <si>
    <t>ZAF</t>
  </si>
  <si>
    <t>Zambia</t>
  </si>
  <si>
    <t>ZMB</t>
  </si>
  <si>
    <t>Zimbabwe</t>
  </si>
  <si>
    <t>ZWE</t>
  </si>
  <si>
    <t>https://data.worldbank.org/indicator/NY.GDP.MKTP.CD</t>
  </si>
  <si>
    <t>GDP (current US$)</t>
  </si>
  <si>
    <t>NY.GDP.MKTP.CD</t>
  </si>
  <si>
    <t>AR5 Historical and projected greenhouse gas emissions (November 2023)</t>
  </si>
  <si>
    <t>Notes:</t>
  </si>
  <si>
    <r>
      <t>1) all gases are expressed in kilotonnes of carbon dioxide equivalent (kt CO</t>
    </r>
    <r>
      <rPr>
        <vertAlign val="subscript"/>
        <sz val="11"/>
        <color theme="1"/>
        <rFont val="Calibri"/>
        <family val="2"/>
        <scheme val="minor"/>
      </rPr>
      <t>2</t>
    </r>
    <r>
      <rPr>
        <sz val="11"/>
        <color theme="1"/>
        <rFont val="Calibri"/>
        <family val="2"/>
        <scheme val="minor"/>
      </rPr>
      <t>-e)</t>
    </r>
  </si>
  <si>
    <r>
      <t>2) CO</t>
    </r>
    <r>
      <rPr>
        <vertAlign val="subscript"/>
        <sz val="11"/>
        <color theme="1"/>
        <rFont val="Calibri"/>
        <family val="2"/>
        <scheme val="minor"/>
      </rPr>
      <t>2</t>
    </r>
    <r>
      <rPr>
        <sz val="11"/>
        <color theme="1"/>
        <rFont val="Calibri"/>
        <family val="2"/>
        <scheme val="minor"/>
      </rPr>
      <t xml:space="preserve"> equivalents determined using the 100-year time horizon global warming potentials for the non-carbon dioxide gases based on the values provided in the Intergovernmental Panel on Climate Change’s Fifth Assessment Report (AR5). </t>
    </r>
  </si>
  <si>
    <t>3) the "historical emissions" (1990-2021) should be as per the latest GHG inventory (2023 publication)</t>
  </si>
  <si>
    <t>4) negatives represent removals from the atmosphere, while positives represent emissions to the atmosphere</t>
  </si>
  <si>
    <r>
      <t>5) AR5 (no feedbacks): CO</t>
    </r>
    <r>
      <rPr>
        <vertAlign val="subscript"/>
        <sz val="11"/>
        <color rgb="FF000000"/>
        <rFont val="Calibri"/>
        <family val="2"/>
        <scheme val="minor"/>
      </rPr>
      <t>2</t>
    </r>
    <r>
      <rPr>
        <sz val="11"/>
        <color rgb="FF000000"/>
        <rFont val="Calibri"/>
        <family val="2"/>
        <scheme val="minor"/>
      </rPr>
      <t xml:space="preserve"> = 1, CH</t>
    </r>
    <r>
      <rPr>
        <vertAlign val="subscript"/>
        <sz val="11"/>
        <color rgb="FF000000"/>
        <rFont val="Calibri"/>
        <family val="2"/>
        <scheme val="minor"/>
      </rPr>
      <t>4</t>
    </r>
    <r>
      <rPr>
        <sz val="11"/>
        <color rgb="FF000000"/>
        <rFont val="Calibri"/>
        <family val="2"/>
        <scheme val="minor"/>
      </rPr>
      <t xml:space="preserve"> = 28, N</t>
    </r>
    <r>
      <rPr>
        <vertAlign val="subscript"/>
        <sz val="11"/>
        <color rgb="FF000000"/>
        <rFont val="Calibri"/>
        <family val="2"/>
        <scheme val="minor"/>
      </rPr>
      <t>2</t>
    </r>
    <r>
      <rPr>
        <sz val="11"/>
        <color rgb="FF000000"/>
        <rFont val="Calibri"/>
        <family val="2"/>
        <scheme val="minor"/>
      </rPr>
      <t>O = 265, SF</t>
    </r>
    <r>
      <rPr>
        <vertAlign val="subscript"/>
        <sz val="11"/>
        <color rgb="FF000000"/>
        <rFont val="Calibri"/>
        <family val="2"/>
        <scheme val="minor"/>
      </rPr>
      <t>6</t>
    </r>
    <r>
      <rPr>
        <sz val="11"/>
        <color rgb="FF000000"/>
        <rFont val="Calibri"/>
        <family val="2"/>
        <scheme val="minor"/>
      </rPr>
      <t xml:space="preserve"> = 23500. For all other gases, please see Table 8.7 of </t>
    </r>
    <r>
      <rPr>
        <sz val="11"/>
        <color theme="1"/>
        <rFont val="Calibri"/>
        <family val="2"/>
        <scheme val="minor"/>
      </rPr>
      <t>Climate Change 2013: The Physical Science Basis. Contribution of Working Group I to the Fifth Assessment Report of the Intergovernmental Panel on Climate Change: https://archive.ipcc.ch/pdf/assessment-report/ar5/wg1/WG1AR5_Chapter08_FINAL.pdf</t>
    </r>
    <r>
      <rPr>
        <sz val="11"/>
        <color rgb="FF000000"/>
        <rFont val="Calibri"/>
        <family val="2"/>
        <scheme val="minor"/>
      </rPr>
      <t xml:space="preserve"> </t>
    </r>
  </si>
  <si>
    <t>&lt;- Historical (inventory)</t>
  </si>
  <si>
    <t>Projected -&gt;</t>
  </si>
  <si>
    <t>6) All emissions estimates and projections are subject to both modelling limitations and significant uncertainty around input data and assumptions. There is uncertainty around the many critical underlying factors that drive and determine  greenhouse gas emissions and removals.</t>
  </si>
  <si>
    <t>Sector</t>
  </si>
  <si>
    <t>Gas</t>
  </si>
  <si>
    <t>Energy (excluding transport)</t>
  </si>
  <si>
    <r>
      <t>CO</t>
    </r>
    <r>
      <rPr>
        <vertAlign val="subscript"/>
        <sz val="11"/>
        <color theme="1"/>
        <rFont val="Calibri"/>
        <family val="2"/>
        <scheme val="minor"/>
      </rPr>
      <t>2</t>
    </r>
  </si>
  <si>
    <r>
      <t>CH</t>
    </r>
    <r>
      <rPr>
        <vertAlign val="subscript"/>
        <sz val="11"/>
        <color theme="1"/>
        <rFont val="Calibri"/>
        <family val="2"/>
        <scheme val="minor"/>
      </rPr>
      <t>4</t>
    </r>
  </si>
  <si>
    <r>
      <t>N</t>
    </r>
    <r>
      <rPr>
        <vertAlign val="subscript"/>
        <sz val="11"/>
        <color theme="1"/>
        <rFont val="Calibri"/>
        <family val="2"/>
        <scheme val="minor"/>
      </rPr>
      <t>2</t>
    </r>
    <r>
      <rPr>
        <sz val="11"/>
        <color theme="1"/>
        <rFont val="Calibri"/>
        <family val="2"/>
        <scheme val="minor"/>
      </rPr>
      <t>O</t>
    </r>
  </si>
  <si>
    <t>Transport</t>
  </si>
  <si>
    <t>Agriculture</t>
  </si>
  <si>
    <t>Waste</t>
  </si>
  <si>
    <t>LULUCF accounting under NZ's first NDC</t>
  </si>
  <si>
    <t>Industrial processes and product use (IPPU)</t>
  </si>
  <si>
    <r>
      <t>SF</t>
    </r>
    <r>
      <rPr>
        <vertAlign val="subscript"/>
        <sz val="11"/>
        <color theme="1"/>
        <rFont val="Calibri"/>
        <family val="2"/>
        <scheme val="minor"/>
      </rPr>
      <t>6</t>
    </r>
  </si>
  <si>
    <t>Totals by gas</t>
  </si>
  <si>
    <t>1.A.3</t>
  </si>
  <si>
    <t xml:space="preserve">            [1.A.3  Transport]</t>
  </si>
  <si>
    <t xml:space="preserve">    [3.  Agriculture]</t>
  </si>
  <si>
    <t xml:space="preserve">    [5.  Waste]</t>
  </si>
  <si>
    <t xml:space="preserve">    [2.  Industrial Processes and Product Use]</t>
  </si>
  <si>
    <t>Gross - excluding LULUCF</t>
  </si>
  <si>
    <t>Net - inluding LULUCF under target accounting</t>
  </si>
  <si>
    <t>Total Net</t>
  </si>
  <si>
    <t>Total Gross</t>
  </si>
  <si>
    <t>https://environment.govt.nz/facts-and-science/climate-change/measuring-greenhouse-gas-emissions/about-new-zealands-greenhouse-gas-inventory/</t>
  </si>
  <si>
    <t>6) Target accounting emissions include all of our gross emissions, but only a subset of emissions and removals in the LULUCF sector – namely emissions and removals that are the result of recent and future forestry activities. This is used to measure progress towards our international targets. Target accounting is designed to incentivise emissions reductions and to avoid relying on actions that occurred before 1990 (such as forest planting in the 1970s and 1980s) that continue to result in emissions and removals today.</t>
  </si>
  <si>
    <t>7) All emissions estimates and projections are subject to both modelling limitations and significant uncertainty around input data and assumptions. There is uncertainty around the many critical underlying factors that drive and determine  greenhouse gas emissions and removals.</t>
  </si>
  <si>
    <t>Totals by Scenario (AR5)</t>
  </si>
  <si>
    <t>Gross - Central</t>
  </si>
  <si>
    <t>Gross - High</t>
  </si>
  <si>
    <t>Gross - Low</t>
  </si>
  <si>
    <t>Net - Target accounting - Central</t>
  </si>
  <si>
    <t>Net - Target accounting - High</t>
  </si>
  <si>
    <t>Net - Target accounting - Low</t>
  </si>
  <si>
    <t>Draws on the methane emissions from the 2023 GHG Inventory presented in the AR5 - CH4 tab to show a time series of biogenic methane emissions i.e methane from agriculture and waste specifically</t>
  </si>
  <si>
    <t>kt CO2-e (AR5)</t>
  </si>
  <si>
    <t>kt CO2e (variable GWP)</t>
  </si>
  <si>
    <t>Historical</t>
  </si>
  <si>
    <t>Projected</t>
  </si>
  <si>
    <t>2022 Demonstration path update</t>
  </si>
  <si>
    <t>Key inputs converted to AR5 GWP values</t>
  </si>
  <si>
    <t>Total emissions by inventory category (kt CO2e)</t>
  </si>
  <si>
    <t>Transport Energy</t>
  </si>
  <si>
    <t>Non-Transport Energy</t>
  </si>
  <si>
    <t>IPPU</t>
  </si>
  <si>
    <t>Forests</t>
  </si>
  <si>
    <t>Net</t>
  </si>
  <si>
    <t>Gross</t>
  </si>
  <si>
    <t>Total combustion emissions by fuel</t>
  </si>
  <si>
    <t>Coal</t>
  </si>
  <si>
    <t>Liquid fuels</t>
  </si>
  <si>
    <t>Biomass</t>
  </si>
  <si>
    <t>Municipal solid waste emissions (kt CO2e)</t>
  </si>
  <si>
    <t>F-gas emissions, total (kt CO2e)</t>
  </si>
  <si>
    <t>Iron and steel emissions (kt CO2e)</t>
  </si>
  <si>
    <t>Fugitive emissions, Coal mining and handling (kt CO2e)</t>
  </si>
  <si>
    <t>IPPU emissions not covered by NZ ETS (kt CO2e)</t>
  </si>
  <si>
    <t>Net forestry emissions inside and outside NZ ETS (kt CO2e)</t>
  </si>
  <si>
    <t>Inside NZ ETS</t>
  </si>
  <si>
    <t>Outside NZ ETS</t>
  </si>
  <si>
    <t>Sum forestry</t>
  </si>
  <si>
    <t>% outside ETS</t>
  </si>
  <si>
    <t>Supplementary data</t>
  </si>
  <si>
    <t>Total emissions by inventory category using AR4 GWP values (kt CO2e)</t>
  </si>
  <si>
    <t>Gross emissions by gas and inventory category (kt of gas)</t>
  </si>
  <si>
    <t>IPPU, excluding F-gases</t>
  </si>
  <si>
    <t>F-gases, AR4</t>
  </si>
  <si>
    <t>kt CO2e</t>
  </si>
  <si>
    <t>Total by gas</t>
  </si>
  <si>
    <t>ktCO2e net CO2+N2O</t>
  </si>
  <si>
    <t>Mt CO2e net CO2+N2O</t>
  </si>
  <si>
    <t>Previous advice net forestry emissions inside and outside NZ ETS</t>
  </si>
  <si>
    <t>Inside ETS</t>
  </si>
  <si>
    <t>Outside ETS</t>
  </si>
  <si>
    <t>Non-biogenic methane</t>
  </si>
  <si>
    <t>ktCH4</t>
  </si>
  <si>
    <t>Biogenic methane</t>
  </si>
  <si>
    <t>All other gases net</t>
  </si>
  <si>
    <t>kt CO2 gross</t>
  </si>
  <si>
    <t>Source:</t>
  </si>
  <si>
    <t>https://www.ghgprotocol.org/sites/default/files/ghgp/Global-Warming-Potential-Values%20%28Feb%2016%202016%29_1.pdf</t>
  </si>
  <si>
    <t>GWP selected</t>
  </si>
  <si>
    <t>AR6 data drawn from Table 7.15 of the WG1 full report</t>
  </si>
  <si>
    <t>AR2</t>
  </si>
  <si>
    <t>AR4</t>
  </si>
  <si>
    <t>AR5</t>
  </si>
  <si>
    <t>AR6</t>
  </si>
  <si>
    <t>Active</t>
  </si>
  <si>
    <t>Selected</t>
  </si>
  <si>
    <t>Methane</t>
  </si>
  <si>
    <t>Nitrous oxide</t>
  </si>
  <si>
    <t>HFC-23</t>
  </si>
  <si>
    <t>HFC-32</t>
  </si>
  <si>
    <t>HFC-41</t>
  </si>
  <si>
    <t>HFC-43-10mee</t>
  </si>
  <si>
    <t>HFC-125</t>
  </si>
  <si>
    <t>HFC-134</t>
  </si>
  <si>
    <t>HFC-134a</t>
  </si>
  <si>
    <t>HFC-143</t>
  </si>
  <si>
    <t>HFC-143a</t>
  </si>
  <si>
    <t>HFC-152</t>
  </si>
  <si>
    <t>HFC-152a</t>
  </si>
  <si>
    <t>HFC-161</t>
  </si>
  <si>
    <t>HFC-227ea</t>
  </si>
  <si>
    <t>HFC-236cb</t>
  </si>
  <si>
    <t>HFC-236ea</t>
  </si>
  <si>
    <t>HFC-236fa</t>
  </si>
  <si>
    <t>HFC-245ca</t>
  </si>
  <si>
    <t>HFC-245fa</t>
  </si>
  <si>
    <t>HFC-365mfc</t>
  </si>
  <si>
    <t>Methane fossil</t>
  </si>
  <si>
    <t>Methane non-fossil</t>
  </si>
  <si>
    <r>
      <t>CF</t>
    </r>
    <r>
      <rPr>
        <vertAlign val="subscript"/>
        <sz val="9"/>
        <rFont val="Times New Roman"/>
        <family val="1"/>
      </rPr>
      <t>4</t>
    </r>
  </si>
  <si>
    <r>
      <t>C</t>
    </r>
    <r>
      <rPr>
        <vertAlign val="subscript"/>
        <sz val="9"/>
        <rFont val="Times New Roman"/>
        <family val="1"/>
      </rPr>
      <t>2</t>
    </r>
    <r>
      <rPr>
        <sz val="9"/>
        <rFont val="Times New Roman"/>
        <family val="1"/>
      </rPr>
      <t>F</t>
    </r>
    <r>
      <rPr>
        <vertAlign val="subscript"/>
        <sz val="9"/>
        <rFont val="Times New Roman"/>
        <family val="1"/>
      </rPr>
      <t>6</t>
    </r>
  </si>
  <si>
    <r>
      <t>C</t>
    </r>
    <r>
      <rPr>
        <vertAlign val="subscript"/>
        <sz val="9"/>
        <rFont val="Times New Roman"/>
        <family val="1"/>
      </rPr>
      <t>3</t>
    </r>
    <r>
      <rPr>
        <sz val="9"/>
        <rFont val="Times New Roman"/>
        <family val="1"/>
      </rPr>
      <t>F</t>
    </r>
    <r>
      <rPr>
        <vertAlign val="subscript"/>
        <sz val="9"/>
        <rFont val="Times New Roman"/>
        <family val="1"/>
      </rPr>
      <t>8</t>
    </r>
  </si>
  <si>
    <r>
      <t>C</t>
    </r>
    <r>
      <rPr>
        <vertAlign val="subscript"/>
        <sz val="9"/>
        <rFont val="Times New Roman"/>
        <family val="1"/>
      </rPr>
      <t>4</t>
    </r>
    <r>
      <rPr>
        <sz val="9"/>
        <rFont val="Times New Roman"/>
        <family val="1"/>
      </rPr>
      <t>F</t>
    </r>
    <r>
      <rPr>
        <vertAlign val="subscript"/>
        <sz val="9"/>
        <rFont val="Times New Roman"/>
        <family val="1"/>
      </rPr>
      <t>10</t>
    </r>
  </si>
  <si>
    <r>
      <t>c-C</t>
    </r>
    <r>
      <rPr>
        <vertAlign val="subscript"/>
        <sz val="9"/>
        <rFont val="Times New Roman"/>
        <family val="1"/>
      </rPr>
      <t>4</t>
    </r>
    <r>
      <rPr>
        <sz val="9"/>
        <rFont val="Times New Roman"/>
        <family val="1"/>
      </rPr>
      <t>F</t>
    </r>
    <r>
      <rPr>
        <vertAlign val="subscript"/>
        <sz val="9"/>
        <rFont val="Times New Roman"/>
        <family val="1"/>
      </rPr>
      <t>8</t>
    </r>
  </si>
  <si>
    <r>
      <t>C</t>
    </r>
    <r>
      <rPr>
        <vertAlign val="subscript"/>
        <sz val="9"/>
        <rFont val="Times New Roman"/>
        <family val="1"/>
      </rPr>
      <t>5</t>
    </r>
    <r>
      <rPr>
        <sz val="9"/>
        <rFont val="Times New Roman"/>
        <family val="1"/>
      </rPr>
      <t>F</t>
    </r>
    <r>
      <rPr>
        <vertAlign val="subscript"/>
        <sz val="9"/>
        <rFont val="Times New Roman"/>
        <family val="1"/>
      </rPr>
      <t>12</t>
    </r>
  </si>
  <si>
    <r>
      <t>C</t>
    </r>
    <r>
      <rPr>
        <vertAlign val="subscript"/>
        <sz val="9"/>
        <rFont val="Times New Roman"/>
        <family val="1"/>
      </rPr>
      <t>6</t>
    </r>
    <r>
      <rPr>
        <sz val="9"/>
        <rFont val="Times New Roman"/>
        <family val="1"/>
      </rPr>
      <t>F</t>
    </r>
    <r>
      <rPr>
        <vertAlign val="subscript"/>
        <sz val="9"/>
        <rFont val="Times New Roman"/>
        <family val="1"/>
      </rPr>
      <t>14</t>
    </r>
  </si>
  <si>
    <r>
      <t>C</t>
    </r>
    <r>
      <rPr>
        <vertAlign val="subscript"/>
        <sz val="9"/>
        <rFont val="Times New Roman"/>
        <family val="1"/>
      </rPr>
      <t>10</t>
    </r>
    <r>
      <rPr>
        <sz val="9"/>
        <rFont val="Times New Roman"/>
        <family val="1"/>
      </rPr>
      <t>F</t>
    </r>
    <r>
      <rPr>
        <vertAlign val="subscript"/>
        <sz val="9"/>
        <rFont val="Times New Roman"/>
        <family val="1"/>
      </rPr>
      <t>18</t>
    </r>
  </si>
  <si>
    <t>Noting that AR4 said the GWP was "&gt;7500"</t>
  </si>
  <si>
    <r>
      <t>c-C</t>
    </r>
    <r>
      <rPr>
        <vertAlign val="subscript"/>
        <sz val="9"/>
        <rFont val="Times New Roman"/>
        <family val="1"/>
      </rPr>
      <t>3</t>
    </r>
    <r>
      <rPr>
        <sz val="9"/>
        <rFont val="Times New Roman"/>
        <family val="1"/>
      </rPr>
      <t>F</t>
    </r>
    <r>
      <rPr>
        <vertAlign val="subscript"/>
        <sz val="9"/>
        <rFont val="Times New Roman"/>
        <family val="1"/>
      </rPr>
      <t>6</t>
    </r>
  </si>
  <si>
    <r>
      <t>SF</t>
    </r>
    <r>
      <rPr>
        <vertAlign val="subscript"/>
        <sz val="9"/>
        <rFont val="Times New Roman"/>
        <family val="1"/>
      </rPr>
      <t>6</t>
    </r>
  </si>
  <si>
    <t>Emissions|CO2</t>
  </si>
  <si>
    <t>COFFEE 1.1</t>
  </si>
  <si>
    <t>Emissions|CO2|Energy and Industrial Processes</t>
  </si>
  <si>
    <t>Emissions|CO2|AFOLU</t>
  </si>
  <si>
    <t>Emissions|CO2|Other</t>
  </si>
  <si>
    <t>Emissions|CH4</t>
  </si>
  <si>
    <t>Emissions|CH4|AFOLU</t>
  </si>
  <si>
    <t>Emissions|CH4|Waste</t>
  </si>
  <si>
    <t>Emissions|N2O|AFOLU</t>
  </si>
  <si>
    <t>Emissions|N2O|Energy</t>
  </si>
  <si>
    <t>Emissions|N2O|Industrial Processes</t>
  </si>
  <si>
    <t>Emissions|N2O</t>
  </si>
  <si>
    <t>Emissions|HFC</t>
  </si>
  <si>
    <t>Emissions|PFC</t>
  </si>
  <si>
    <t>Emissions|SF6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</si>
</sst>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64" formatCode="_-&quot;$&quot;* #,##0.00_-;\-&quot;$&quot;* #,##0.00_-;_-&quot;$&quot;* &quot;-&quot;??_-;_-@_-"/>
    <numFmt numFmtId="165" formatCode="_-* #,##0.00_-;\-* #,##0.00_-;_-* &quot;-&quot;??_-;_-@_-"/>
    <numFmt numFmtId="166" formatCode="0.000000000"/>
    <numFmt numFmtId="167" formatCode="0.00000000000000000000000000E+00"/>
    <numFmt numFmtId="168" formatCode="#,#00\ \ \ \ "/>
    <numFmt numFmtId="169" formatCode="0\ \ \ \ "/>
    <numFmt numFmtId="170" formatCode="0.0\ \ \ \ "/>
    <numFmt numFmtId="171" formatCode="0.0"/>
    <numFmt numFmtId="172" formatCode="0.00\ \ \ \ "/>
    <numFmt numFmtId="173" formatCode="0.0000%"/>
    <numFmt numFmtId="174" formatCode="#,##0_ ;\-#,##0\ "/>
    <numFmt numFmtId="175" formatCode="#,##0.0_ ;\-#,##0.0\ "/>
    <numFmt numFmtId="176" formatCode="_-* #,##0.0_-;\-* #,##0.0_-;_-* &quot;-&quot;??_-;_-@_-"/>
    <numFmt numFmtId="177" formatCode="0.000"/>
    <numFmt numFmtId="178" formatCode="0.0%"/>
    <numFmt numFmtId="179" formatCode="#,##0.0000000000000000000000000"/>
    <numFmt numFmtId="180" formatCode="#,##0.00000000000000000000000000000000"/>
    <numFmt numFmtId="181" formatCode="_-* #,##0.000_-;\-* #,##0.000_-;_-* &quot;-&quot;??_-;_-@_-"/>
    <numFmt numFmtId="182" formatCode="_-&quot;$&quot;* #,##0_-;\-&quot;$&quot;* #,##0_-;_-&quot;$&quot;* &quot;-&quot;??_-;_-@_-"/>
    <numFmt numFmtId="183" formatCode="_-* #,##0_-;\-* #,##0_-;_-* &quot;-&quot;??_-;_-@_-"/>
    <numFmt numFmtId="184" formatCode="0.000000"/>
  </numFmts>
  <fonts count="45">
    <font>
      <sz val="11"/>
      <color theme="1"/>
      <name val="Calibri"/>
      <family val="2"/>
      <scheme val="minor"/>
    </font>
    <font>
      <b/>
      <sz val="12"/>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sz val="10"/>
      <name val="Arial"/>
      <family val="2"/>
    </font>
    <font>
      <sz val="9"/>
      <name val="Times New Roman"/>
      <family val="1"/>
    </font>
    <font>
      <i/>
      <sz val="11"/>
      <color theme="1"/>
      <name val="Calibri"/>
      <family val="2"/>
      <scheme val="minor"/>
    </font>
    <font>
      <vertAlign val="subscript"/>
      <sz val="9"/>
      <name val="Times New Roman"/>
      <family val="1"/>
    </font>
    <font>
      <sz val="9"/>
      <color indexed="81"/>
      <name val="Tahoma"/>
      <family val="2"/>
    </font>
    <font>
      <b/>
      <sz val="9"/>
      <color indexed="81"/>
      <name val="Tahoma"/>
      <family val="2"/>
    </font>
    <font>
      <sz val="10"/>
      <name val="Times New Roman"/>
      <family val="1"/>
    </font>
    <font>
      <sz val="10"/>
      <name val="Arial Mäori"/>
      <family val="2"/>
    </font>
    <font>
      <b/>
      <sz val="10"/>
      <color rgb="FFFF0000"/>
      <name val="Arial"/>
      <family val="2"/>
    </font>
    <font>
      <b/>
      <sz val="10"/>
      <color rgb="FF00B050"/>
      <name val="Arial"/>
      <family val="2"/>
    </font>
    <font>
      <b/>
      <sz val="11"/>
      <name val="Arial Mäori"/>
      <family val="2"/>
    </font>
    <font>
      <b/>
      <sz val="11"/>
      <name val="Arial"/>
      <family val="2"/>
    </font>
    <font>
      <sz val="11"/>
      <name val="Arial Mäori"/>
      <family val="2"/>
    </font>
    <font>
      <i/>
      <sz val="11"/>
      <name val="Arial"/>
      <family val="2"/>
    </font>
    <font>
      <sz val="8"/>
      <name val="Arial Mäori"/>
      <family val="2"/>
    </font>
    <font>
      <vertAlign val="superscript"/>
      <sz val="8"/>
      <name val="Arial Mäori"/>
      <family val="2"/>
    </font>
    <font>
      <sz val="8"/>
      <name val="Arial"/>
      <family val="2"/>
    </font>
    <font>
      <vertAlign val="superscript"/>
      <sz val="8"/>
      <name val="Arial"/>
      <family val="2"/>
    </font>
    <font>
      <b/>
      <sz val="8"/>
      <name val="Arial Mäori"/>
      <family val="2"/>
    </font>
    <font>
      <b/>
      <sz val="12"/>
      <name val="Arial Mäori"/>
      <family val="2"/>
    </font>
    <font>
      <u/>
      <sz val="10"/>
      <color indexed="12"/>
      <name val="Arial"/>
      <family val="2"/>
    </font>
    <font>
      <u/>
      <sz val="10"/>
      <color theme="10"/>
      <name val="Arial"/>
      <family val="2"/>
    </font>
    <font>
      <u/>
      <sz val="10"/>
      <color indexed="12"/>
      <name val="Arial Mäori"/>
      <family val="2"/>
    </font>
    <font>
      <b/>
      <vertAlign val="superscript"/>
      <sz val="8"/>
      <name val="Arial Mäori"/>
      <family val="2"/>
    </font>
    <font>
      <b/>
      <sz val="10"/>
      <name val="Arial"/>
      <family val="2"/>
    </font>
    <font>
      <b/>
      <sz val="8"/>
      <name val="Arial"/>
      <family val="2"/>
    </font>
    <font>
      <sz val="11"/>
      <color theme="1"/>
      <name val="Calibri"/>
      <family val="2"/>
      <scheme val="minor"/>
    </font>
    <font>
      <b/>
      <sz val="9"/>
      <name val="Times New Roman"/>
      <family val="1"/>
    </font>
    <font>
      <b/>
      <u/>
      <sz val="11"/>
      <color theme="1"/>
      <name val="Calibri"/>
      <family val="2"/>
      <scheme val="minor"/>
    </font>
    <font>
      <vertAlign val="subscript"/>
      <sz val="11"/>
      <color theme="1"/>
      <name val="Calibri"/>
      <family val="2"/>
      <scheme val="minor"/>
    </font>
    <font>
      <sz val="11"/>
      <color rgb="FF000000"/>
      <name val="Calibri"/>
      <family val="2"/>
      <scheme val="minor"/>
    </font>
    <font>
      <vertAlign val="subscript"/>
      <sz val="11"/>
      <color rgb="FF000000"/>
      <name val="Calibri"/>
      <family val="2"/>
      <scheme val="minor"/>
    </font>
    <font>
      <b/>
      <i/>
      <sz val="11"/>
      <color theme="1"/>
      <name val="Calibri"/>
      <family val="2"/>
      <scheme val="minor"/>
    </font>
    <font>
      <b/>
      <sz val="16"/>
      <color rgb="FF000000"/>
      <name val="Calibri"/>
      <family val="2"/>
      <scheme val="minor"/>
    </font>
    <font>
      <b/>
      <u/>
      <sz val="11"/>
      <color rgb="FF000000"/>
      <name val="Calibri"/>
      <family val="2"/>
      <scheme val="minor"/>
    </font>
    <font>
      <b/>
      <sz val="11"/>
      <color rgb="FF000000"/>
      <name val="Calibri"/>
      <family val="2"/>
      <scheme val="minor"/>
    </font>
    <font>
      <b/>
      <u/>
      <sz val="14"/>
      <color rgb="FFFF0000"/>
      <name val="Calibri"/>
      <family val="2"/>
      <scheme val="minor"/>
    </font>
    <font>
      <u/>
      <sz val="14"/>
      <color rgb="FFFF0000"/>
      <name val="Calibri"/>
      <family val="2"/>
      <scheme val="minor"/>
    </font>
    <font>
      <u/>
      <sz val="11"/>
      <color theme="1"/>
      <name val="Calibri"/>
      <family val="2"/>
      <scheme val="minor"/>
    </font>
    <font>
      <sz val="11"/>
      <color theme="1"/>
      <name val="Calibri"/>
      <family val="2"/>
    </font>
  </fonts>
  <fills count="29">
    <fill>
      <patternFill patternType="none"/>
    </fill>
    <fill>
      <patternFill patternType="gray125"/>
    </fill>
    <fill>
      <patternFill patternType="solid">
        <fgColor theme="0" tint="-0.14999847407452621"/>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8" tint="0.59999389629810485"/>
        <bgColor indexed="64"/>
      </patternFill>
    </fill>
    <fill>
      <patternFill patternType="solid">
        <fgColor theme="2" tint="-0.249977111117893"/>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7" tint="-0.249977111117893"/>
        <bgColor indexed="64"/>
      </patternFill>
    </fill>
    <fill>
      <patternFill patternType="solid">
        <fgColor indexed="22"/>
        <bgColor indexed="64"/>
      </patternFill>
    </fill>
    <fill>
      <patternFill patternType="solid">
        <fgColor theme="0"/>
        <bgColor indexed="64"/>
      </patternFill>
    </fill>
    <fill>
      <patternFill patternType="solid">
        <fgColor theme="4" tint="0.79998168889431442"/>
        <bgColor indexed="64"/>
      </patternFill>
    </fill>
    <fill>
      <patternFill patternType="solid">
        <fgColor rgb="FFD8E7F3"/>
      </patternFill>
    </fill>
    <fill>
      <patternFill patternType="solid">
        <fgColor theme="3" tint="0.89999084444715716"/>
        <bgColor indexed="64"/>
      </patternFill>
    </fill>
    <fill>
      <patternFill patternType="solid">
        <fgColor theme="2"/>
        <bgColor indexed="64"/>
      </patternFill>
    </fill>
    <fill>
      <patternFill patternType="solid">
        <fgColor rgb="FFFFFF00"/>
        <bgColor indexed="64"/>
      </patternFill>
    </fill>
    <fill>
      <patternFill patternType="solid">
        <fgColor rgb="FFFFFFFF"/>
        <bgColor rgb="FF000000"/>
      </patternFill>
    </fill>
    <fill>
      <patternFill patternType="solid">
        <fgColor rgb="FFD8E7F3"/>
        <bgColor rgb="FF000000"/>
      </patternFill>
    </fill>
    <fill>
      <patternFill patternType="solid">
        <fgColor rgb="FFE2EFDA"/>
        <bgColor rgb="FF000000"/>
      </patternFill>
    </fill>
    <fill>
      <patternFill patternType="solid">
        <fgColor theme="8" tint="0.79998168889431442"/>
        <bgColor indexed="64"/>
      </patternFill>
    </fill>
    <fill>
      <patternFill patternType="solid">
        <fgColor theme="5" tint="0.79998168889431442"/>
        <bgColor indexed="64"/>
      </patternFill>
    </fill>
  </fills>
  <borders count="20">
    <border>
      <left/>
      <right/>
      <top/>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22"/>
      </top>
      <bottom style="thin">
        <color indexed="64"/>
      </bottom>
      <diagonal/>
    </border>
    <border>
      <left/>
      <right style="thin">
        <color indexed="64"/>
      </right>
      <top style="thin">
        <color indexed="22"/>
      </top>
      <bottom style="thin">
        <color indexed="64"/>
      </bottom>
      <diagonal/>
    </border>
    <border>
      <left style="thin">
        <color indexed="64"/>
      </left>
      <right/>
      <top style="thin">
        <color indexed="22"/>
      </top>
      <bottom style="thin">
        <color indexed="64"/>
      </bottom>
      <diagonal/>
    </border>
    <border>
      <left style="thin">
        <color rgb="FFC0C0C0"/>
      </left>
      <right style="thin">
        <color rgb="FFC0C0C0"/>
      </right>
      <top style="thin">
        <color rgb="FFC0C0C0"/>
      </top>
      <bottom style="thin">
        <color rgb="FFC0C0C0"/>
      </bottom>
      <diagonal/>
    </border>
    <border>
      <left style="thin">
        <color indexed="64"/>
      </left>
      <right style="thin">
        <color indexed="64"/>
      </right>
      <top/>
      <bottom style="thin">
        <color indexed="64"/>
      </bottom>
      <diagonal/>
    </border>
    <border>
      <left style="thin">
        <color theme="0" tint="-0.24994659260841701"/>
      </left>
      <right/>
      <top/>
      <bottom style="thin">
        <color theme="0" tint="-0.14996795556505021"/>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diagonal/>
    </border>
    <border>
      <left style="hair">
        <color auto="1"/>
      </left>
      <right style="hair">
        <color auto="1"/>
      </right>
      <top style="hair">
        <color auto="1"/>
      </top>
      <bottom style="hair">
        <color auto="1"/>
      </bottom>
      <diagonal/>
    </border>
    <border>
      <left style="hair">
        <color auto="1"/>
      </left>
      <right style="thin">
        <color indexed="64"/>
      </right>
      <top style="hair">
        <color auto="1"/>
      </top>
      <bottom style="hair">
        <color auto="1"/>
      </bottom>
      <diagonal/>
    </border>
    <border>
      <left/>
      <right style="hair">
        <color auto="1"/>
      </right>
      <top style="hair">
        <color auto="1"/>
      </top>
      <bottom style="hair">
        <color auto="1"/>
      </bottom>
      <diagonal/>
    </border>
  </borders>
  <cellStyleXfs count="17">
    <xf numFmtId="0" fontId="0" fillId="0" borderId="0"/>
    <xf numFmtId="0" fontId="2" fillId="0" borderId="0"/>
    <xf numFmtId="0" fontId="4" fillId="0" borderId="0" applyNumberFormat="0" applyFill="0" applyBorder="0" applyAlignment="0" applyProtection="0"/>
    <xf numFmtId="0" fontId="5" fillId="0" borderId="0"/>
    <xf numFmtId="0" fontId="6" fillId="0" borderId="0"/>
    <xf numFmtId="0" fontId="11" fillId="0" borderId="0"/>
    <xf numFmtId="0" fontId="5" fillId="0" borderId="0"/>
    <xf numFmtId="0" fontId="5" fillId="0" borderId="0"/>
    <xf numFmtId="0" fontId="25" fillId="0" borderId="0" applyNumberFormat="0" applyFill="0" applyBorder="0" applyAlignment="0" applyProtection="0">
      <alignment vertical="top"/>
      <protection locked="0"/>
    </xf>
    <xf numFmtId="0" fontId="11" fillId="0" borderId="0"/>
    <xf numFmtId="0" fontId="26" fillId="0" borderId="0" applyNumberFormat="0" applyFill="0" applyBorder="0" applyAlignment="0" applyProtection="0">
      <alignment vertical="top"/>
      <protection locked="0"/>
    </xf>
    <xf numFmtId="165" fontId="31" fillId="0" borderId="0" applyFont="0" applyFill="0" applyBorder="0" applyAlignment="0" applyProtection="0"/>
    <xf numFmtId="164" fontId="31" fillId="0" borderId="0" applyFont="0" applyFill="0" applyBorder="0" applyAlignment="0" applyProtection="0"/>
    <xf numFmtId="0" fontId="32" fillId="0" borderId="0" applyNumberFormat="0" applyFill="0" applyBorder="0" applyProtection="0">
      <alignment horizontal="left" vertical="center"/>
    </xf>
    <xf numFmtId="0" fontId="31" fillId="0" borderId="0"/>
    <xf numFmtId="0" fontId="31" fillId="0" borderId="0"/>
    <xf numFmtId="9" fontId="31" fillId="0" borderId="0" applyFont="0" applyFill="0" applyBorder="0" applyAlignment="0" applyProtection="0"/>
  </cellStyleXfs>
  <cellXfs count="230">
    <xf numFmtId="0" fontId="0" fillId="0" borderId="0" xfId="0"/>
    <xf numFmtId="49" fontId="1" fillId="2" borderId="0" xfId="0" applyNumberFormat="1" applyFont="1" applyFill="1" applyAlignment="1">
      <alignment horizontal="center" vertical="top" wrapText="1"/>
    </xf>
    <xf numFmtId="49" fontId="1" fillId="2" borderId="0" xfId="0" applyNumberFormat="1" applyFont="1" applyFill="1" applyAlignment="1">
      <alignment horizontal="left" vertical="top" wrapText="1"/>
    </xf>
    <xf numFmtId="0" fontId="0" fillId="3" borderId="0" xfId="0" applyFill="1"/>
    <xf numFmtId="0" fontId="1" fillId="3" borderId="0" xfId="0" applyFont="1" applyFill="1" applyAlignment="1">
      <alignment horizontal="left"/>
    </xf>
    <xf numFmtId="0" fontId="0" fillId="4" borderId="0" xfId="0" applyFill="1"/>
    <xf numFmtId="0" fontId="1" fillId="4" borderId="0" xfId="0" applyFont="1" applyFill="1" applyAlignment="1">
      <alignment horizontal="left"/>
    </xf>
    <xf numFmtId="0" fontId="0" fillId="5" borderId="0" xfId="0" applyFill="1"/>
    <xf numFmtId="0" fontId="1" fillId="5" borderId="0" xfId="0" applyFont="1" applyFill="1" applyAlignment="1">
      <alignment horizontal="left"/>
    </xf>
    <xf numFmtId="0" fontId="0" fillId="6" borderId="0" xfId="0" applyFill="1"/>
    <xf numFmtId="0" fontId="1" fillId="6" borderId="0" xfId="0" applyFont="1" applyFill="1" applyAlignment="1">
      <alignment horizontal="left"/>
    </xf>
    <xf numFmtId="0" fontId="0" fillId="7" borderId="0" xfId="0" applyFill="1"/>
    <xf numFmtId="0" fontId="1" fillId="7" borderId="0" xfId="0" applyFont="1" applyFill="1" applyAlignment="1">
      <alignment horizontal="left"/>
    </xf>
    <xf numFmtId="0" fontId="0" fillId="8" borderId="0" xfId="0" applyFill="1"/>
    <xf numFmtId="0" fontId="1" fillId="8" borderId="0" xfId="0" applyFont="1" applyFill="1" applyAlignment="1">
      <alignment horizontal="left"/>
    </xf>
    <xf numFmtId="0" fontId="0" fillId="9" borderId="0" xfId="0" applyFill="1"/>
    <xf numFmtId="0" fontId="1" fillId="9" borderId="0" xfId="0" applyFont="1" applyFill="1" applyAlignment="1">
      <alignment horizontal="left"/>
    </xf>
    <xf numFmtId="0" fontId="0" fillId="10" borderId="0" xfId="0" applyFill="1"/>
    <xf numFmtId="0" fontId="1" fillId="10" borderId="0" xfId="0" applyFont="1" applyFill="1" applyAlignment="1">
      <alignment horizontal="left"/>
    </xf>
    <xf numFmtId="0" fontId="0" fillId="11" borderId="0" xfId="0" applyFill="1"/>
    <xf numFmtId="0" fontId="1" fillId="11" borderId="0" xfId="0" applyFont="1" applyFill="1" applyAlignment="1">
      <alignment horizontal="left"/>
    </xf>
    <xf numFmtId="0" fontId="0" fillId="12" borderId="0" xfId="0" applyFill="1"/>
    <xf numFmtId="0" fontId="1" fillId="12" borderId="0" xfId="0" applyFont="1" applyFill="1" applyAlignment="1">
      <alignment horizontal="left"/>
    </xf>
    <xf numFmtId="0" fontId="0" fillId="13" borderId="0" xfId="0" applyFill="1"/>
    <xf numFmtId="0" fontId="1" fillId="13" borderId="0" xfId="0" applyFont="1" applyFill="1" applyAlignment="1">
      <alignment horizontal="left"/>
    </xf>
    <xf numFmtId="0" fontId="0" fillId="2" borderId="0" xfId="0" applyFill="1"/>
    <xf numFmtId="0" fontId="1" fillId="2" borderId="0" xfId="0" applyFont="1" applyFill="1" applyAlignment="1">
      <alignment horizontal="left"/>
    </xf>
    <xf numFmtId="0" fontId="2" fillId="0" borderId="0" xfId="1"/>
    <xf numFmtId="0" fontId="0" fillId="3" borderId="0" xfId="0" applyFill="1" applyAlignment="1">
      <alignment horizontal="left"/>
    </xf>
    <xf numFmtId="0" fontId="0" fillId="4" borderId="0" xfId="0" applyFill="1" applyAlignment="1">
      <alignment horizontal="left"/>
    </xf>
    <xf numFmtId="0" fontId="0" fillId="5" borderId="0" xfId="0" applyFill="1" applyAlignment="1">
      <alignment horizontal="left"/>
    </xf>
    <xf numFmtId="0" fontId="0" fillId="6" borderId="0" xfId="0" applyFill="1" applyAlignment="1">
      <alignment horizontal="left"/>
    </xf>
    <xf numFmtId="0" fontId="0" fillId="7" borderId="0" xfId="0" applyFill="1" applyAlignment="1">
      <alignment horizontal="left"/>
    </xf>
    <xf numFmtId="0" fontId="0" fillId="8" borderId="0" xfId="0" applyFill="1" applyAlignment="1">
      <alignment horizontal="left"/>
    </xf>
    <xf numFmtId="0" fontId="0" fillId="9" borderId="0" xfId="0" applyFill="1" applyAlignment="1">
      <alignment horizontal="left"/>
    </xf>
    <xf numFmtId="0" fontId="0" fillId="10" borderId="0" xfId="0" applyFill="1" applyAlignment="1">
      <alignment horizontal="left"/>
    </xf>
    <xf numFmtId="0" fontId="0" fillId="11" borderId="0" xfId="0" applyFill="1" applyAlignment="1">
      <alignment horizontal="left"/>
    </xf>
    <xf numFmtId="0" fontId="0" fillId="12" borderId="0" xfId="0" applyFill="1" applyAlignment="1">
      <alignment horizontal="left"/>
    </xf>
    <xf numFmtId="0" fontId="0" fillId="13" borderId="0" xfId="0" applyFill="1" applyAlignment="1">
      <alignment horizontal="left"/>
    </xf>
    <xf numFmtId="0" fontId="0" fillId="2" borderId="0" xfId="0" applyFill="1" applyAlignment="1">
      <alignment horizontal="left"/>
    </xf>
    <xf numFmtId="0" fontId="0" fillId="14" borderId="0" xfId="0" applyFill="1"/>
    <xf numFmtId="0" fontId="1" fillId="14" borderId="0" xfId="0" applyFont="1" applyFill="1" applyAlignment="1">
      <alignment horizontal="left"/>
    </xf>
    <xf numFmtId="0" fontId="0" fillId="15" borderId="0" xfId="0" applyFill="1"/>
    <xf numFmtId="0" fontId="1" fillId="15" borderId="0" xfId="0" applyFont="1" applyFill="1" applyAlignment="1">
      <alignment horizontal="left"/>
    </xf>
    <xf numFmtId="0" fontId="2" fillId="14" borderId="0" xfId="0" applyFont="1" applyFill="1" applyAlignment="1">
      <alignment horizontal="left"/>
    </xf>
    <xf numFmtId="0" fontId="2" fillId="15" borderId="0" xfId="0" applyFont="1" applyFill="1" applyAlignment="1">
      <alignment horizontal="left"/>
    </xf>
    <xf numFmtId="0" fontId="4" fillId="0" borderId="0" xfId="2"/>
    <xf numFmtId="0" fontId="3" fillId="0" borderId="0" xfId="0" applyFont="1"/>
    <xf numFmtId="166" fontId="0" fillId="0" borderId="0" xfId="0" applyNumberFormat="1"/>
    <xf numFmtId="167" fontId="0" fillId="0" borderId="0" xfId="0" applyNumberFormat="1"/>
    <xf numFmtId="0" fontId="7" fillId="0" borderId="0" xfId="0" applyFont="1"/>
    <xf numFmtId="1" fontId="1" fillId="2" borderId="0" xfId="0" applyNumberFormat="1" applyFont="1" applyFill="1" applyAlignment="1">
      <alignment horizontal="center" vertical="top" wrapText="1"/>
    </xf>
    <xf numFmtId="0" fontId="1" fillId="2" borderId="0" xfId="1" applyFont="1" applyFill="1"/>
    <xf numFmtId="0" fontId="3" fillId="2" borderId="0" xfId="0" applyFont="1" applyFill="1"/>
    <xf numFmtId="0" fontId="0" fillId="16" borderId="0" xfId="0" applyFill="1"/>
    <xf numFmtId="0" fontId="1" fillId="16" borderId="0" xfId="0" applyFont="1" applyFill="1" applyAlignment="1">
      <alignment horizontal="left"/>
    </xf>
    <xf numFmtId="0" fontId="2" fillId="16" borderId="0" xfId="1" applyFill="1"/>
    <xf numFmtId="0" fontId="1" fillId="2" borderId="0" xfId="1" applyFont="1" applyFill="1" applyAlignment="1">
      <alignment wrapText="1"/>
    </xf>
    <xf numFmtId="49" fontId="3" fillId="0" borderId="0" xfId="0" applyNumberFormat="1" applyFont="1" applyAlignment="1">
      <alignment horizontal="center" vertical="center" wrapText="1"/>
    </xf>
    <xf numFmtId="49" fontId="0" fillId="0" borderId="0" xfId="0" applyNumberFormat="1" applyAlignment="1">
      <alignment vertical="center" wrapText="1"/>
    </xf>
    <xf numFmtId="3" fontId="0" fillId="0" borderId="0" xfId="0" applyNumberFormat="1"/>
    <xf numFmtId="0" fontId="12" fillId="0" borderId="0" xfId="5" applyFont="1"/>
    <xf numFmtId="0" fontId="13" fillId="0" borderId="0" xfId="6" applyFont="1"/>
    <xf numFmtId="0" fontId="5" fillId="0" borderId="0" xfId="6"/>
    <xf numFmtId="0" fontId="5" fillId="0" borderId="0" xfId="7"/>
    <xf numFmtId="0" fontId="14" fillId="0" borderId="0" xfId="6" applyFont="1"/>
    <xf numFmtId="0" fontId="15" fillId="0" borderId="0" xfId="5" applyFont="1" applyAlignment="1">
      <alignment horizontal="left"/>
    </xf>
    <xf numFmtId="0" fontId="16" fillId="0" borderId="0" xfId="6" applyFont="1"/>
    <xf numFmtId="0" fontId="17" fillId="0" borderId="0" xfId="5" applyFont="1" applyAlignment="1">
      <alignment horizontal="left" vertical="center"/>
    </xf>
    <xf numFmtId="0" fontId="18" fillId="0" borderId="0" xfId="7" applyFont="1"/>
    <xf numFmtId="0" fontId="19" fillId="0" borderId="1" xfId="5" applyFont="1" applyBorder="1"/>
    <xf numFmtId="0" fontId="19" fillId="0" borderId="0" xfId="5" applyFont="1"/>
    <xf numFmtId="0" fontId="19" fillId="0" borderId="5" xfId="6" applyFont="1" applyBorder="1" applyAlignment="1">
      <alignment horizontal="centerContinuous" vertical="center"/>
    </xf>
    <xf numFmtId="0" fontId="21" fillId="0" borderId="0" xfId="7" applyFont="1" applyAlignment="1">
      <alignment vertical="center"/>
    </xf>
    <xf numFmtId="3" fontId="19" fillId="0" borderId="8" xfId="6" applyNumberFormat="1" applyFont="1" applyBorder="1" applyAlignment="1">
      <alignment horizontal="center" vertical="top"/>
    </xf>
    <xf numFmtId="3" fontId="19" fillId="0" borderId="9" xfId="6" applyNumberFormat="1" applyFont="1" applyBorder="1" applyAlignment="1">
      <alignment horizontal="center" vertical="top"/>
    </xf>
    <xf numFmtId="3" fontId="19" fillId="0" borderId="9" xfId="6" applyNumberFormat="1" applyFont="1" applyBorder="1" applyAlignment="1">
      <alignment horizontal="center" vertical="top" wrapText="1"/>
    </xf>
    <xf numFmtId="3" fontId="19" fillId="0" borderId="10" xfId="6" applyNumberFormat="1" applyFont="1" applyBorder="1" applyAlignment="1">
      <alignment horizontal="center" vertical="top" wrapText="1"/>
    </xf>
    <xf numFmtId="0" fontId="21" fillId="0" borderId="0" xfId="7" applyFont="1"/>
    <xf numFmtId="168" fontId="19" fillId="0" borderId="0" xfId="7" applyNumberFormat="1" applyFont="1"/>
    <xf numFmtId="0" fontId="24" fillId="0" borderId="0" xfId="5" applyFont="1" applyAlignment="1">
      <alignment horizontal="left" vertical="top"/>
    </xf>
    <xf numFmtId="0" fontId="12" fillId="0" borderId="0" xfId="5" applyFont="1" applyAlignment="1">
      <alignment vertical="top"/>
    </xf>
    <xf numFmtId="0" fontId="11" fillId="0" borderId="0" xfId="5"/>
    <xf numFmtId="0" fontId="15" fillId="0" borderId="0" xfId="5" applyFont="1" applyAlignment="1">
      <alignment horizontal="left" vertical="top"/>
    </xf>
    <xf numFmtId="0" fontId="12" fillId="0" borderId="0" xfId="9" applyFont="1" applyAlignment="1">
      <alignment vertical="top"/>
    </xf>
    <xf numFmtId="0" fontId="27" fillId="0" borderId="0" xfId="10" applyFont="1" applyAlignment="1" applyProtection="1">
      <alignment horizontal="left" vertical="top"/>
    </xf>
    <xf numFmtId="0" fontId="27" fillId="0" borderId="0" xfId="10" applyFont="1" applyAlignment="1" applyProtection="1">
      <alignment horizontal="left" vertical="top" wrapText="1"/>
    </xf>
    <xf numFmtId="0" fontId="12" fillId="0" borderId="0" xfId="9" applyFont="1" applyAlignment="1">
      <alignment horizontal="left" vertical="top"/>
    </xf>
    <xf numFmtId="169" fontId="19" fillId="0" borderId="0" xfId="7" applyNumberFormat="1" applyFont="1"/>
    <xf numFmtId="0" fontId="25" fillId="0" borderId="0" xfId="10" applyFont="1" applyFill="1" applyAlignment="1" applyProtection="1">
      <alignment horizontal="left" vertical="top"/>
    </xf>
    <xf numFmtId="0" fontId="11" fillId="0" borderId="0" xfId="5" applyAlignment="1">
      <alignment horizontal="left" vertical="top"/>
    </xf>
    <xf numFmtId="0" fontId="15" fillId="0" borderId="0" xfId="10" applyFont="1" applyAlignment="1" applyProtection="1">
      <alignment horizontal="left"/>
    </xf>
    <xf numFmtId="0" fontId="12" fillId="0" borderId="0" xfId="5" applyFont="1" applyAlignment="1">
      <alignment horizontal="left"/>
    </xf>
    <xf numFmtId="0" fontId="27" fillId="0" borderId="0" xfId="10" applyFont="1" applyAlignment="1" applyProtection="1"/>
    <xf numFmtId="0" fontId="29" fillId="0" borderId="0" xfId="5" applyFont="1"/>
    <xf numFmtId="49" fontId="5" fillId="0" borderId="0" xfId="5" applyNumberFormat="1" applyFont="1"/>
    <xf numFmtId="0" fontId="25" fillId="0" borderId="0" xfId="8" applyAlignment="1" applyProtection="1"/>
    <xf numFmtId="170" fontId="19" fillId="0" borderId="0" xfId="7" applyNumberFormat="1" applyFont="1"/>
    <xf numFmtId="171" fontId="21" fillId="0" borderId="11" xfId="3" applyNumberFormat="1" applyFont="1" applyBorder="1" applyAlignment="1">
      <alignment horizontal="right"/>
    </xf>
    <xf numFmtId="172" fontId="19" fillId="0" borderId="0" xfId="7" applyNumberFormat="1" applyFont="1"/>
    <xf numFmtId="170" fontId="19" fillId="0" borderId="1" xfId="7" applyNumberFormat="1" applyFont="1" applyBorder="1"/>
    <xf numFmtId="0" fontId="19" fillId="0" borderId="0" xfId="6" applyFont="1"/>
    <xf numFmtId="0" fontId="19" fillId="0" borderId="0" xfId="6" applyFont="1" applyAlignment="1">
      <alignment horizontal="center"/>
    </xf>
    <xf numFmtId="49" fontId="19" fillId="0" borderId="0" xfId="5" applyNumberFormat="1" applyFont="1" applyAlignment="1">
      <alignment horizontal="left"/>
    </xf>
    <xf numFmtId="0" fontId="21" fillId="0" borderId="0" xfId="5" applyFont="1" applyAlignment="1">
      <alignment horizontal="left"/>
    </xf>
    <xf numFmtId="0" fontId="21" fillId="0" borderId="0" xfId="5" applyFont="1"/>
    <xf numFmtId="0" fontId="30" fillId="0" borderId="0" xfId="6" applyFont="1"/>
    <xf numFmtId="0" fontId="21" fillId="0" borderId="0" xfId="6" applyFont="1"/>
    <xf numFmtId="0" fontId="30" fillId="0" borderId="0" xfId="5" applyFont="1"/>
    <xf numFmtId="0" fontId="0" fillId="0" borderId="0" xfId="0" applyAlignment="1">
      <alignment wrapText="1"/>
    </xf>
    <xf numFmtId="14" fontId="0" fillId="0" borderId="0" xfId="0" applyNumberFormat="1"/>
    <xf numFmtId="2" fontId="0" fillId="0" borderId="0" xfId="0" applyNumberFormat="1"/>
    <xf numFmtId="4" fontId="0" fillId="0" borderId="0" xfId="0" applyNumberFormat="1"/>
    <xf numFmtId="0" fontId="0" fillId="18" borderId="0" xfId="0" applyFill="1"/>
    <xf numFmtId="0" fontId="4" fillId="18" borderId="0" xfId="2" applyFill="1" applyBorder="1"/>
    <xf numFmtId="0" fontId="33" fillId="18" borderId="0" xfId="0" applyFont="1" applyFill="1"/>
    <xf numFmtId="0" fontId="35" fillId="0" borderId="0" xfId="0" applyFont="1"/>
    <xf numFmtId="0" fontId="3" fillId="19" borderId="0" xfId="0" applyFont="1" applyFill="1"/>
    <xf numFmtId="1" fontId="3" fillId="20" borderId="0" xfId="0" applyNumberFormat="1" applyFont="1" applyFill="1"/>
    <xf numFmtId="0" fontId="0" fillId="19" borderId="0" xfId="0" applyFill="1"/>
    <xf numFmtId="0" fontId="0" fillId="19" borderId="0" xfId="0" applyFill="1" applyAlignment="1">
      <alignment horizontal="left"/>
    </xf>
    <xf numFmtId="0" fontId="0" fillId="0" borderId="0" xfId="0" applyAlignment="1">
      <alignment horizontal="right"/>
    </xf>
    <xf numFmtId="0" fontId="4" fillId="18" borderId="0" xfId="2" applyFill="1" applyBorder="1" applyAlignment="1">
      <alignment horizontal="left" vertical="center" indent="5"/>
    </xf>
    <xf numFmtId="1" fontId="0" fillId="0" borderId="0" xfId="0" applyNumberFormat="1"/>
    <xf numFmtId="1" fontId="3" fillId="19" borderId="0" xfId="0" applyNumberFormat="1" applyFont="1" applyFill="1"/>
    <xf numFmtId="0" fontId="31" fillId="0" borderId="0" xfId="15"/>
    <xf numFmtId="165" fontId="0" fillId="0" borderId="0" xfId="12" applyNumberFormat="1" applyFont="1"/>
    <xf numFmtId="165" fontId="0" fillId="0" borderId="0" xfId="0" applyNumberFormat="1"/>
    <xf numFmtId="9" fontId="0" fillId="0" borderId="0" xfId="16" applyFont="1"/>
    <xf numFmtId="10" fontId="0" fillId="0" borderId="0" xfId="16" applyNumberFormat="1" applyFont="1"/>
    <xf numFmtId="173" fontId="0" fillId="0" borderId="0" xfId="16" applyNumberFormat="1" applyFont="1"/>
    <xf numFmtId="174" fontId="0" fillId="0" borderId="0" xfId="0" applyNumberFormat="1"/>
    <xf numFmtId="0" fontId="3" fillId="21" borderId="0" xfId="0" applyFont="1" applyFill="1"/>
    <xf numFmtId="0" fontId="0" fillId="21" borderId="0" xfId="0" applyFill="1"/>
    <xf numFmtId="171" fontId="7" fillId="22" borderId="0" xfId="0" applyNumberFormat="1" applyFont="1" applyFill="1"/>
    <xf numFmtId="171" fontId="7" fillId="22" borderId="0" xfId="11" applyNumberFormat="1" applyFont="1" applyFill="1"/>
    <xf numFmtId="175" fontId="0" fillId="0" borderId="0" xfId="0" applyNumberFormat="1"/>
    <xf numFmtId="176" fontId="0" fillId="0" borderId="0" xfId="11" applyNumberFormat="1" applyFont="1"/>
    <xf numFmtId="171" fontId="0" fillId="0" borderId="0" xfId="0" applyNumberFormat="1"/>
    <xf numFmtId="0" fontId="0" fillId="0" borderId="0" xfId="0" applyAlignment="1">
      <alignment horizontal="left" vertical="top" wrapText="1"/>
    </xf>
    <xf numFmtId="0" fontId="0" fillId="0" borderId="0" xfId="0" quotePrefix="1"/>
    <xf numFmtId="0" fontId="0" fillId="0" borderId="15" xfId="0" applyBorder="1"/>
    <xf numFmtId="4" fontId="0" fillId="0" borderId="14" xfId="0" applyNumberFormat="1" applyBorder="1"/>
    <xf numFmtId="0" fontId="37" fillId="0" borderId="0" xfId="0" applyFont="1"/>
    <xf numFmtId="0" fontId="2" fillId="23" borderId="0" xfId="1" applyFill="1"/>
    <xf numFmtId="0" fontId="38" fillId="24" borderId="0" xfId="0" applyFont="1" applyFill="1"/>
    <xf numFmtId="0" fontId="39" fillId="24" borderId="0" xfId="0" applyFont="1" applyFill="1"/>
    <xf numFmtId="0" fontId="0" fillId="0" borderId="16" xfId="0" applyBorder="1" applyAlignment="1">
      <alignment horizontal="right"/>
    </xf>
    <xf numFmtId="0" fontId="35" fillId="0" borderId="16" xfId="0" applyFont="1" applyBorder="1"/>
    <xf numFmtId="0" fontId="40" fillId="25" borderId="0" xfId="0" applyFont="1" applyFill="1"/>
    <xf numFmtId="0" fontId="40" fillId="25" borderId="16" xfId="0" applyFont="1" applyFill="1" applyBorder="1"/>
    <xf numFmtId="0" fontId="35" fillId="25" borderId="0" xfId="0" applyFont="1" applyFill="1"/>
    <xf numFmtId="3" fontId="35" fillId="26" borderId="0" xfId="0" applyNumberFormat="1" applyFont="1" applyFill="1"/>
    <xf numFmtId="3" fontId="35" fillId="26" borderId="16" xfId="0" applyNumberFormat="1" applyFont="1" applyFill="1" applyBorder="1"/>
    <xf numFmtId="178" fontId="0" fillId="0" borderId="0" xfId="16" applyNumberFormat="1" applyFont="1"/>
    <xf numFmtId="0" fontId="41" fillId="18" borderId="0" xfId="0" applyFont="1" applyFill="1"/>
    <xf numFmtId="0" fontId="42" fillId="18" borderId="0" xfId="0" applyFont="1" applyFill="1"/>
    <xf numFmtId="0" fontId="43" fillId="18" borderId="0" xfId="0" applyFont="1" applyFill="1"/>
    <xf numFmtId="0" fontId="0" fillId="0" borderId="16" xfId="0" applyBorder="1"/>
    <xf numFmtId="0" fontId="3" fillId="0" borderId="16" xfId="0" applyFont="1" applyBorder="1" applyAlignment="1">
      <alignment horizontal="right"/>
    </xf>
    <xf numFmtId="1" fontId="3" fillId="19" borderId="16" xfId="0" applyNumberFormat="1" applyFont="1" applyFill="1" applyBorder="1"/>
    <xf numFmtId="0" fontId="0" fillId="20" borderId="0" xfId="0" applyFill="1"/>
    <xf numFmtId="1" fontId="0" fillId="13" borderId="0" xfId="0" applyNumberFormat="1" applyFill="1"/>
    <xf numFmtId="1" fontId="0" fillId="13" borderId="16" xfId="0" applyNumberFormat="1" applyFill="1" applyBorder="1"/>
    <xf numFmtId="1" fontId="0" fillId="6" borderId="17" xfId="0" applyNumberFormat="1" applyFill="1" applyBorder="1"/>
    <xf numFmtId="1" fontId="0" fillId="6" borderId="18" xfId="0" applyNumberFormat="1" applyFill="1" applyBorder="1"/>
    <xf numFmtId="1" fontId="0" fillId="6" borderId="19" xfId="0" applyNumberFormat="1" applyFill="1" applyBorder="1"/>
    <xf numFmtId="0" fontId="0" fillId="0" borderId="0" xfId="0" applyAlignment="1">
      <alignment horizontal="left" indent="2"/>
    </xf>
    <xf numFmtId="1" fontId="0" fillId="0" borderId="16" xfId="0" applyNumberFormat="1" applyBorder="1"/>
    <xf numFmtId="1" fontId="0" fillId="0" borderId="0" xfId="0" applyNumberFormat="1" applyAlignment="1">
      <alignment horizontal="right"/>
    </xf>
    <xf numFmtId="1" fontId="0" fillId="0" borderId="16" xfId="0" applyNumberFormat="1" applyBorder="1" applyAlignment="1">
      <alignment horizontal="right"/>
    </xf>
    <xf numFmtId="0" fontId="3" fillId="20" borderId="0" xfId="0" applyFont="1" applyFill="1"/>
    <xf numFmtId="1" fontId="3" fillId="20" borderId="16" xfId="0" applyNumberFormat="1" applyFont="1" applyFill="1" applyBorder="1"/>
    <xf numFmtId="4" fontId="0" fillId="0" borderId="16" xfId="0" applyNumberFormat="1" applyBorder="1"/>
    <xf numFmtId="171" fontId="0" fillId="0" borderId="13" xfId="11" quotePrefix="1" applyNumberFormat="1" applyFont="1" applyFill="1" applyBorder="1"/>
    <xf numFmtId="0" fontId="0" fillId="0" borderId="13" xfId="11" quotePrefix="1" applyNumberFormat="1" applyFont="1" applyFill="1" applyBorder="1"/>
    <xf numFmtId="177" fontId="0" fillId="0" borderId="13" xfId="11" quotePrefix="1" applyNumberFormat="1" applyFont="1" applyFill="1" applyBorder="1"/>
    <xf numFmtId="171" fontId="0" fillId="0" borderId="13" xfId="11" quotePrefix="1" applyNumberFormat="1" applyFont="1" applyBorder="1"/>
    <xf numFmtId="0" fontId="0" fillId="0" borderId="13" xfId="11" quotePrefix="1" applyNumberFormat="1" applyFont="1" applyBorder="1"/>
    <xf numFmtId="177" fontId="0" fillId="0" borderId="13" xfId="11" quotePrefix="1" applyNumberFormat="1" applyFont="1" applyBorder="1"/>
    <xf numFmtId="2" fontId="31" fillId="0" borderId="0" xfId="15" applyNumberFormat="1"/>
    <xf numFmtId="0" fontId="0" fillId="0" borderId="13" xfId="11" applyNumberFormat="1" applyFont="1" applyBorder="1"/>
    <xf numFmtId="177" fontId="0" fillId="0" borderId="13" xfId="11" applyNumberFormat="1" applyFont="1" applyBorder="1"/>
    <xf numFmtId="179" fontId="0" fillId="0" borderId="0" xfId="0" applyNumberFormat="1"/>
    <xf numFmtId="180" fontId="0" fillId="0" borderId="0" xfId="0" applyNumberFormat="1"/>
    <xf numFmtId="0" fontId="0" fillId="23" borderId="0" xfId="0" applyFill="1"/>
    <xf numFmtId="165" fontId="0" fillId="0" borderId="0" xfId="11" applyFont="1"/>
    <xf numFmtId="181" fontId="0" fillId="0" borderId="0" xfId="11" applyNumberFormat="1" applyFont="1"/>
    <xf numFmtId="164" fontId="0" fillId="0" borderId="0" xfId="12" applyFont="1"/>
    <xf numFmtId="164" fontId="0" fillId="23" borderId="0" xfId="12" applyFont="1" applyFill="1"/>
    <xf numFmtId="182" fontId="0" fillId="0" borderId="0" xfId="12" applyNumberFormat="1" applyFont="1"/>
    <xf numFmtId="182" fontId="0" fillId="23" borderId="0" xfId="12" applyNumberFormat="1" applyFont="1" applyFill="1"/>
    <xf numFmtId="183" fontId="0" fillId="0" borderId="0" xfId="11" applyNumberFormat="1" applyFont="1"/>
    <xf numFmtId="183" fontId="1" fillId="2" borderId="0" xfId="11" applyNumberFormat="1" applyFont="1" applyFill="1" applyAlignment="1">
      <alignment wrapText="1"/>
    </xf>
    <xf numFmtId="183" fontId="0" fillId="3" borderId="0" xfId="11" applyNumberFormat="1" applyFont="1" applyFill="1"/>
    <xf numFmtId="0" fontId="3" fillId="6" borderId="0" xfId="0" applyFont="1" applyFill="1"/>
    <xf numFmtId="0" fontId="0" fillId="27" borderId="0" xfId="0" applyFill="1"/>
    <xf numFmtId="0" fontId="3" fillId="27" borderId="0" xfId="0" applyFont="1" applyFill="1"/>
    <xf numFmtId="0" fontId="3" fillId="13" borderId="0" xfId="0" applyFont="1" applyFill="1"/>
    <xf numFmtId="165" fontId="0" fillId="0" borderId="14" xfId="11" applyFont="1" applyFill="1" applyBorder="1"/>
    <xf numFmtId="165" fontId="0" fillId="0" borderId="12" xfId="11" applyFont="1" applyFill="1" applyBorder="1"/>
    <xf numFmtId="165" fontId="2" fillId="0" borderId="0" xfId="11" applyFont="1"/>
    <xf numFmtId="165" fontId="0" fillId="0" borderId="16" xfId="11" applyFont="1" applyBorder="1"/>
    <xf numFmtId="177" fontId="0" fillId="0" borderId="0" xfId="0" applyNumberFormat="1"/>
    <xf numFmtId="183" fontId="0" fillId="0" borderId="16" xfId="11" applyNumberFormat="1" applyFont="1" applyBorder="1"/>
    <xf numFmtId="0" fontId="44" fillId="0" borderId="0" xfId="0" applyFont="1"/>
    <xf numFmtId="184" fontId="0" fillId="0" borderId="0" xfId="0" applyNumberFormat="1"/>
    <xf numFmtId="0" fontId="25" fillId="0" borderId="0" xfId="8" applyFill="1" applyAlignment="1" applyProtection="1">
      <alignment horizontal="left" vertical="top"/>
    </xf>
    <xf numFmtId="0" fontId="25" fillId="0" borderId="0" xfId="8" applyAlignment="1" applyProtection="1">
      <alignment horizontal="left"/>
    </xf>
    <xf numFmtId="0" fontId="25" fillId="0" borderId="0" xfId="8" applyAlignment="1" applyProtection="1">
      <alignment horizontal="left" vertical="top"/>
    </xf>
    <xf numFmtId="0" fontId="0" fillId="28" borderId="0" xfId="0" applyFill="1"/>
    <xf numFmtId="0" fontId="3" fillId="28" borderId="0" xfId="0" applyFont="1" applyFill="1"/>
    <xf numFmtId="173" fontId="0" fillId="7" borderId="0" xfId="16" applyNumberFormat="1" applyFont="1" applyFill="1"/>
    <xf numFmtId="0" fontId="4" fillId="0" borderId="0" xfId="2" applyAlignment="1">
      <alignment horizontal="left" vertical="top"/>
    </xf>
    <xf numFmtId="0" fontId="0" fillId="0" borderId="0" xfId="0" applyAlignment="1">
      <alignment wrapText="1"/>
    </xf>
    <xf numFmtId="0" fontId="3" fillId="0" borderId="0" xfId="0" applyFont="1" applyAlignment="1">
      <alignment horizontal="center" vertical="center" wrapText="1"/>
    </xf>
    <xf numFmtId="49" fontId="0" fillId="0" borderId="0" xfId="0" applyNumberFormat="1" applyAlignment="1">
      <alignment wrapText="1"/>
    </xf>
    <xf numFmtId="0" fontId="3" fillId="0" borderId="0" xfId="0" applyFont="1" applyAlignment="1">
      <alignment wrapText="1"/>
    </xf>
    <xf numFmtId="0" fontId="4" fillId="0" borderId="0" xfId="2" applyAlignment="1">
      <alignment wrapText="1"/>
    </xf>
    <xf numFmtId="0" fontId="19" fillId="0" borderId="0" xfId="5" applyFont="1" applyAlignment="1">
      <alignment horizontal="left"/>
    </xf>
    <xf numFmtId="0" fontId="23" fillId="17" borderId="0" xfId="7" applyFont="1" applyFill="1" applyAlignment="1">
      <alignment horizontal="center" vertical="center"/>
    </xf>
    <xf numFmtId="0" fontId="19" fillId="0" borderId="2" xfId="6" applyFont="1" applyBorder="1" applyAlignment="1">
      <alignment horizontal="left" vertical="center" wrapText="1"/>
    </xf>
    <xf numFmtId="0" fontId="19" fillId="0" borderId="3" xfId="6" applyFont="1" applyBorder="1" applyAlignment="1">
      <alignment horizontal="left" vertical="center" wrapText="1"/>
    </xf>
    <xf numFmtId="0" fontId="19" fillId="0" borderId="1" xfId="6" applyFont="1" applyBorder="1" applyAlignment="1">
      <alignment horizontal="left" vertical="center" wrapText="1"/>
    </xf>
    <xf numFmtId="0" fontId="19" fillId="0" borderId="7" xfId="6" applyFont="1" applyBorder="1" applyAlignment="1">
      <alignment horizontal="left" vertical="center" wrapText="1"/>
    </xf>
    <xf numFmtId="0" fontId="19" fillId="0" borderId="4" xfId="6" applyFont="1" applyBorder="1" applyAlignment="1">
      <alignment horizontal="center" vertical="center"/>
    </xf>
    <xf numFmtId="0" fontId="19" fillId="0" borderId="5" xfId="6" applyFont="1" applyBorder="1" applyAlignment="1">
      <alignment horizontal="center" vertical="center"/>
    </xf>
    <xf numFmtId="0" fontId="19" fillId="0" borderId="6" xfId="6" applyFont="1" applyBorder="1" applyAlignment="1">
      <alignment horizontal="center" vertical="center"/>
    </xf>
    <xf numFmtId="0" fontId="28" fillId="17" borderId="0" xfId="7" applyFont="1" applyFill="1" applyAlignment="1">
      <alignment horizontal="center" vertical="center"/>
    </xf>
    <xf numFmtId="0" fontId="19" fillId="0" borderId="1" xfId="5" applyFont="1" applyBorder="1" applyAlignment="1">
      <alignment horizontal="left"/>
    </xf>
  </cellXfs>
  <cellStyles count="17">
    <cellStyle name="Comma" xfId="11" builtinId="3"/>
    <cellStyle name="Currency" xfId="12" builtinId="4"/>
    <cellStyle name="Hyperlink" xfId="2" builtinId="8"/>
    <cellStyle name="Hyperlink 2" xfId="8" xr:uid="{277DD13E-302B-4FB0-A738-D229BB5420D8}"/>
    <cellStyle name="Hyperlink 2 2" xfId="10" xr:uid="{904E29EE-BBD8-4AA0-987C-9931408DA19C}"/>
    <cellStyle name="Normal" xfId="0" builtinId="0"/>
    <cellStyle name="Normal 2" xfId="1" xr:uid="{61FFAEE1-B742-4302-AE88-4A897A19FA8E}"/>
    <cellStyle name="Normal 2 12" xfId="9" xr:uid="{516D7766-7BE1-499D-AB2F-83F1C71A5E47}"/>
    <cellStyle name="Normal 2 2" xfId="3" xr:uid="{FD60BC9F-DD92-4335-B86F-57714D7655B0}"/>
    <cellStyle name="Normal 2 3" xfId="14" xr:uid="{147E9F5F-BD20-4008-BFC8-19F191E98B51}"/>
    <cellStyle name="Normal 2 5" xfId="15" xr:uid="{AE9229C6-4D68-4A95-9A6A-3B8B6EC5DE62}"/>
    <cellStyle name="Normal 3" xfId="5" xr:uid="{676F3E34-EE5D-4CE0-8C6D-EE2A82FA803B}"/>
    <cellStyle name="Normal 7" xfId="7" xr:uid="{9747560B-2B1E-49D3-9142-DD8D15F5A994}"/>
    <cellStyle name="Normal GHG Textfiels Bold" xfId="13" xr:uid="{4A1E471E-5E81-446C-B286-AB414637B65C}"/>
    <cellStyle name="Normal_Sept00" xfId="6" xr:uid="{BD173E23-C4FA-4586-AC15-C1CB7018A52E}"/>
    <cellStyle name="Per cent" xfId="16" builtinId="5"/>
    <cellStyle name="Обычный_CRF2002 (1)" xfId="4" xr:uid="{1B7CE604-DF71-44C2-B39C-8E2FE529C7EF}"/>
  </cellStyles>
  <dxfs count="0"/>
  <tableStyles count="0" defaultTableStyle="TableStyleMedium2" defaultPivotStyle="PivotStyleLight16"/>
  <colors>
    <mruColors>
      <color rgb="FF6AC17B"/>
      <color rgb="FF00ACD3"/>
      <color rgb="FFCC9900"/>
      <color rgb="FF9966FF"/>
      <color rgb="FF003A5D"/>
      <color rgb="FFCC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0.xml"/><Relationship Id="rId21" Type="http://schemas.openxmlformats.org/officeDocument/2006/relationships/worksheet" Target="worksheets/sheet21.xml"/><Relationship Id="rId34" Type="http://schemas.openxmlformats.org/officeDocument/2006/relationships/externalLink" Target="externalLinks/externalLink5.xml"/><Relationship Id="rId42" Type="http://schemas.openxmlformats.org/officeDocument/2006/relationships/externalLink" Target="externalLinks/externalLink13.xml"/><Relationship Id="rId47" Type="http://schemas.openxmlformats.org/officeDocument/2006/relationships/externalLink" Target="externalLinks/externalLink18.xml"/><Relationship Id="rId50" Type="http://schemas.openxmlformats.org/officeDocument/2006/relationships/styles" Target="styles.xml"/><Relationship Id="rId55"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3.xml"/><Relationship Id="rId37" Type="http://schemas.openxmlformats.org/officeDocument/2006/relationships/externalLink" Target="externalLinks/externalLink8.xml"/><Relationship Id="rId40" Type="http://schemas.openxmlformats.org/officeDocument/2006/relationships/externalLink" Target="externalLinks/externalLink11.xml"/><Relationship Id="rId45" Type="http://schemas.openxmlformats.org/officeDocument/2006/relationships/externalLink" Target="externalLinks/externalLink16.xml"/><Relationship Id="rId53" Type="http://schemas.microsoft.com/office/2017/10/relationships/person" Target="persons/person.xml"/><Relationship Id="rId58" Type="http://schemas.openxmlformats.org/officeDocument/2006/relationships/customXml" Target="../customXml/item4.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externalLink" Target="externalLinks/externalLink6.xml"/><Relationship Id="rId43" Type="http://schemas.openxmlformats.org/officeDocument/2006/relationships/externalLink" Target="externalLinks/externalLink14.xml"/><Relationship Id="rId48" Type="http://schemas.openxmlformats.org/officeDocument/2006/relationships/externalLink" Target="externalLinks/externalLink19.xml"/><Relationship Id="rId56" Type="http://schemas.openxmlformats.org/officeDocument/2006/relationships/customXml" Target="../customXml/item2.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4.xml"/><Relationship Id="rId38" Type="http://schemas.openxmlformats.org/officeDocument/2006/relationships/externalLink" Target="externalLinks/externalLink9.xml"/><Relationship Id="rId46" Type="http://schemas.openxmlformats.org/officeDocument/2006/relationships/externalLink" Target="externalLinks/externalLink17.xml"/><Relationship Id="rId20" Type="http://schemas.openxmlformats.org/officeDocument/2006/relationships/worksheet" Target="worksheets/sheet20.xml"/><Relationship Id="rId41" Type="http://schemas.openxmlformats.org/officeDocument/2006/relationships/externalLink" Target="externalLinks/externalLink12.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7.xml"/><Relationship Id="rId49" Type="http://schemas.openxmlformats.org/officeDocument/2006/relationships/theme" Target="theme/theme1.xml"/><Relationship Id="rId57" Type="http://schemas.openxmlformats.org/officeDocument/2006/relationships/customXml" Target="../customXml/item3.xml"/><Relationship Id="rId10" Type="http://schemas.openxmlformats.org/officeDocument/2006/relationships/worksheet" Target="worksheets/sheet10.xml"/><Relationship Id="rId31" Type="http://schemas.openxmlformats.org/officeDocument/2006/relationships/externalLink" Target="externalLinks/externalLink2.xml"/><Relationship Id="rId44" Type="http://schemas.openxmlformats.org/officeDocument/2006/relationships/externalLink" Target="externalLinks/externalLink15.xml"/><Relationship Id="rId52"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a:t>Net CO</a:t>
            </a:r>
            <a:r>
              <a:rPr lang="en-NZ" baseline="-25000"/>
              <a:t>2</a:t>
            </a:r>
            <a:r>
              <a:rPr lang="en-NZ"/>
              <a:t> under a capacity approach (PPP)</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1"/>
          <c:order val="0"/>
          <c:tx>
            <c:v>Current target</c:v>
          </c:tx>
          <c:spPr>
            <a:ln w="28575" cap="rnd">
              <a:solidFill>
                <a:srgbClr val="00ACD3"/>
              </a:solidFill>
              <a:round/>
            </a:ln>
            <a:effectLst/>
          </c:spPr>
          <c:marker>
            <c:symbol val="none"/>
          </c:marker>
          <c:cat>
            <c:numRef>
              <c:f>Capacity!$C$5:$H$5</c:f>
              <c:numCache>
                <c:formatCode>General</c:formatCode>
                <c:ptCount val="6"/>
                <c:pt idx="0">
                  <c:v>2020</c:v>
                </c:pt>
                <c:pt idx="1">
                  <c:v>2030</c:v>
                </c:pt>
                <c:pt idx="2">
                  <c:v>2040</c:v>
                </c:pt>
                <c:pt idx="3">
                  <c:v>2050</c:v>
                </c:pt>
                <c:pt idx="4">
                  <c:v>2060</c:v>
                </c:pt>
                <c:pt idx="5">
                  <c:v>2070</c:v>
                </c:pt>
              </c:numCache>
            </c:numRef>
          </c:cat>
          <c:val>
            <c:numRef>
              <c:f>Capacity!$C$6:$H$6</c:f>
              <c:numCache>
                <c:formatCode>_-* #,##0.000_-;\-* #,##0.000_-;_-* "-"??_-;_-@_-</c:formatCode>
                <c:ptCount val="6"/>
                <c:pt idx="0">
                  <c:v>26.357079999999993</c:v>
                </c:pt>
                <c:pt idx="1">
                  <c:v>15.180277991763214</c:v>
                </c:pt>
                <c:pt idx="2">
                  <c:v>4.0034759835264353</c:v>
                </c:pt>
                <c:pt idx="3">
                  <c:v>-7.1733260247103461</c:v>
                </c:pt>
                <c:pt idx="4">
                  <c:v>-7.1733260247103461</c:v>
                </c:pt>
                <c:pt idx="5">
                  <c:v>-7.1733260247103461</c:v>
                </c:pt>
              </c:numCache>
            </c:numRef>
          </c:val>
          <c:smooth val="0"/>
          <c:extLst>
            <c:ext xmlns:c16="http://schemas.microsoft.com/office/drawing/2014/chart" uri="{C3380CC4-5D6E-409C-BE32-E72D297353CC}">
              <c16:uniqueId val="{00000001-BF32-483A-B0AA-9C884A097102}"/>
            </c:ext>
          </c:extLst>
        </c:ser>
        <c:ser>
          <c:idx val="2"/>
          <c:order val="1"/>
          <c:tx>
            <c:v>Capacity target</c:v>
          </c:tx>
          <c:spPr>
            <a:ln w="28575" cap="rnd">
              <a:solidFill>
                <a:schemeClr val="tx1"/>
              </a:solidFill>
              <a:prstDash val="dash"/>
              <a:round/>
            </a:ln>
            <a:effectLst/>
          </c:spPr>
          <c:marker>
            <c:symbol val="none"/>
          </c:marker>
          <c:cat>
            <c:numRef>
              <c:f>Capacity!$C$5:$H$5</c:f>
              <c:numCache>
                <c:formatCode>General</c:formatCode>
                <c:ptCount val="6"/>
                <c:pt idx="0">
                  <c:v>2020</c:v>
                </c:pt>
                <c:pt idx="1">
                  <c:v>2030</c:v>
                </c:pt>
                <c:pt idx="2">
                  <c:v>2040</c:v>
                </c:pt>
                <c:pt idx="3">
                  <c:v>2050</c:v>
                </c:pt>
                <c:pt idx="4">
                  <c:v>2060</c:v>
                </c:pt>
                <c:pt idx="5">
                  <c:v>2070</c:v>
                </c:pt>
              </c:numCache>
            </c:numRef>
          </c:cat>
          <c:val>
            <c:numRef>
              <c:f>Capacity!$K$113:$P$113</c:f>
              <c:numCache>
                <c:formatCode>#,##0.00</c:formatCode>
                <c:ptCount val="6"/>
                <c:pt idx="0">
                  <c:v>26.357079999999993</c:v>
                </c:pt>
                <c:pt idx="1">
                  <c:v>-4.1095301372071873</c:v>
                </c:pt>
                <c:pt idx="2">
                  <c:v>-24.245332335439979</c:v>
                </c:pt>
                <c:pt idx="3">
                  <c:v>-37.334076192772912</c:v>
                </c:pt>
                <c:pt idx="4">
                  <c:v>-41.597793343621433</c:v>
                </c:pt>
                <c:pt idx="5">
                  <c:v>-43.898822143685976</c:v>
                </c:pt>
              </c:numCache>
            </c:numRef>
          </c:val>
          <c:smooth val="0"/>
          <c:extLst>
            <c:ext xmlns:c16="http://schemas.microsoft.com/office/drawing/2014/chart" uri="{C3380CC4-5D6E-409C-BE32-E72D297353CC}">
              <c16:uniqueId val="{00000002-BF32-483A-B0AA-9C884A097102}"/>
            </c:ext>
          </c:extLst>
        </c:ser>
        <c:dLbls>
          <c:showLegendKey val="0"/>
          <c:showVal val="0"/>
          <c:showCatName val="0"/>
          <c:showSerName val="0"/>
          <c:showPercent val="0"/>
          <c:showBubbleSize val="0"/>
        </c:dLbls>
        <c:smooth val="0"/>
        <c:axId val="1370235647"/>
        <c:axId val="1370234399"/>
      </c:lineChart>
      <c:catAx>
        <c:axId val="13702356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370234399"/>
        <c:crosses val="autoZero"/>
        <c:auto val="1"/>
        <c:lblAlgn val="ctr"/>
        <c:lblOffset val="100"/>
        <c:noMultiLvlLbl val="0"/>
      </c:catAx>
      <c:valAx>
        <c:axId val="137023439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NZ" sz="1400"/>
                  <a:t>Mt CO</a:t>
                </a:r>
                <a:r>
                  <a:rPr lang="en-NZ" sz="1400" baseline="-25000"/>
                  <a:t>2</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37023564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chemeClr val="accent1"/>
              </a:solidFill>
              <a:round/>
            </a:ln>
            <a:effectLst/>
          </c:spPr>
          <c:marker>
            <c:symbol val="none"/>
          </c:marker>
          <c:cat>
            <c:strRef>
              <c:f>'NZ Pop hist'!$A$5:$A$37</c:f>
              <c:strCache>
                <c:ptCount val="33"/>
                <c:pt idx="0">
                  <c:v>1991</c:v>
                </c:pt>
                <c:pt idx="1">
                  <c:v>1992</c:v>
                </c:pt>
                <c:pt idx="2">
                  <c:v>1993</c:v>
                </c:pt>
                <c:pt idx="3">
                  <c:v>1994</c:v>
                </c:pt>
                <c:pt idx="4">
                  <c:v>1995</c:v>
                </c:pt>
                <c:pt idx="5">
                  <c:v>1996</c:v>
                </c:pt>
                <c:pt idx="6">
                  <c:v>1997</c:v>
                </c:pt>
                <c:pt idx="7">
                  <c:v>1998</c:v>
                </c:pt>
                <c:pt idx="8">
                  <c:v>1999</c:v>
                </c:pt>
                <c:pt idx="9">
                  <c:v>2000</c:v>
                </c:pt>
                <c:pt idx="10">
                  <c:v>2001</c:v>
                </c:pt>
                <c:pt idx="11">
                  <c:v>2002</c:v>
                </c:pt>
                <c:pt idx="12">
                  <c:v>2003</c:v>
                </c:pt>
                <c:pt idx="13">
                  <c:v>2004</c:v>
                </c:pt>
                <c:pt idx="14">
                  <c:v>2005</c:v>
                </c:pt>
                <c:pt idx="15">
                  <c:v>2006</c:v>
                </c:pt>
                <c:pt idx="16">
                  <c:v>2007</c:v>
                </c:pt>
                <c:pt idx="17">
                  <c:v>2008</c:v>
                </c:pt>
                <c:pt idx="18">
                  <c:v>2009</c:v>
                </c:pt>
                <c:pt idx="19">
                  <c:v>2010</c:v>
                </c:pt>
                <c:pt idx="20">
                  <c:v>2011</c:v>
                </c:pt>
                <c:pt idx="21">
                  <c:v>2012</c:v>
                </c:pt>
                <c:pt idx="22">
                  <c:v>2013</c:v>
                </c:pt>
                <c:pt idx="23">
                  <c:v>2014</c:v>
                </c:pt>
                <c:pt idx="24">
                  <c:v>2015</c:v>
                </c:pt>
                <c:pt idx="25">
                  <c:v>2016</c:v>
                </c:pt>
                <c:pt idx="26">
                  <c:v>2017</c:v>
                </c:pt>
                <c:pt idx="27">
                  <c:v>2018</c:v>
                </c:pt>
                <c:pt idx="28">
                  <c:v>2019</c:v>
                </c:pt>
                <c:pt idx="29">
                  <c:v>2020</c:v>
                </c:pt>
                <c:pt idx="30">
                  <c:v>2021</c:v>
                </c:pt>
                <c:pt idx="31">
                  <c:v>2022</c:v>
                </c:pt>
                <c:pt idx="32">
                  <c:v>2023</c:v>
                </c:pt>
              </c:strCache>
            </c:strRef>
          </c:cat>
          <c:val>
            <c:numRef>
              <c:f>'NZ Pop hist'!$B$5:$B$37</c:f>
              <c:numCache>
                <c:formatCode>#,##0</c:formatCode>
                <c:ptCount val="33"/>
                <c:pt idx="0">
                  <c:v>3495100</c:v>
                </c:pt>
                <c:pt idx="1">
                  <c:v>3531700</c:v>
                </c:pt>
                <c:pt idx="2">
                  <c:v>3572200</c:v>
                </c:pt>
                <c:pt idx="3">
                  <c:v>3620000</c:v>
                </c:pt>
                <c:pt idx="4">
                  <c:v>3673400</c:v>
                </c:pt>
                <c:pt idx="5">
                  <c:v>3732000</c:v>
                </c:pt>
                <c:pt idx="6">
                  <c:v>3781300</c:v>
                </c:pt>
                <c:pt idx="7">
                  <c:v>3815000</c:v>
                </c:pt>
                <c:pt idx="8">
                  <c:v>3835100</c:v>
                </c:pt>
                <c:pt idx="9">
                  <c:v>3857700</c:v>
                </c:pt>
                <c:pt idx="10">
                  <c:v>3880500</c:v>
                </c:pt>
                <c:pt idx="11">
                  <c:v>3948500</c:v>
                </c:pt>
                <c:pt idx="12">
                  <c:v>4027200</c:v>
                </c:pt>
                <c:pt idx="13">
                  <c:v>4087500</c:v>
                </c:pt>
                <c:pt idx="14">
                  <c:v>4133900</c:v>
                </c:pt>
                <c:pt idx="15">
                  <c:v>4184600</c:v>
                </c:pt>
                <c:pt idx="16">
                  <c:v>4223800</c:v>
                </c:pt>
                <c:pt idx="17">
                  <c:v>4259800</c:v>
                </c:pt>
                <c:pt idx="18">
                  <c:v>4302600</c:v>
                </c:pt>
                <c:pt idx="19">
                  <c:v>4350700</c:v>
                </c:pt>
                <c:pt idx="20">
                  <c:v>4384000</c:v>
                </c:pt>
                <c:pt idx="21">
                  <c:v>4408100</c:v>
                </c:pt>
                <c:pt idx="22">
                  <c:v>4442100</c:v>
                </c:pt>
                <c:pt idx="23">
                  <c:v>4516500</c:v>
                </c:pt>
                <c:pt idx="24">
                  <c:v>4609400</c:v>
                </c:pt>
                <c:pt idx="25">
                  <c:v>4714100</c:v>
                </c:pt>
                <c:pt idx="26">
                  <c:v>4813600</c:v>
                </c:pt>
                <c:pt idx="27">
                  <c:v>4900600</c:v>
                </c:pt>
                <c:pt idx="28">
                  <c:v>4979200</c:v>
                </c:pt>
                <c:pt idx="29">
                  <c:v>5090200</c:v>
                </c:pt>
                <c:pt idx="30">
                  <c:v>5111300</c:v>
                </c:pt>
                <c:pt idx="31">
                  <c:v>5117200</c:v>
                </c:pt>
                <c:pt idx="32">
                  <c:v>5223100</c:v>
                </c:pt>
              </c:numCache>
            </c:numRef>
          </c:val>
          <c:smooth val="0"/>
          <c:extLst>
            <c:ext xmlns:c16="http://schemas.microsoft.com/office/drawing/2014/chart" uri="{C3380CC4-5D6E-409C-BE32-E72D297353CC}">
              <c16:uniqueId val="{00000000-DEBF-4579-9A0D-B98666E93A06}"/>
            </c:ext>
          </c:extLst>
        </c:ser>
        <c:dLbls>
          <c:showLegendKey val="0"/>
          <c:showVal val="0"/>
          <c:showCatName val="0"/>
          <c:showSerName val="0"/>
          <c:showPercent val="0"/>
          <c:showBubbleSize val="0"/>
        </c:dLbls>
        <c:smooth val="0"/>
        <c:axId val="1127071344"/>
        <c:axId val="995837408"/>
      </c:lineChart>
      <c:catAx>
        <c:axId val="11270713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5837408"/>
        <c:crosses val="autoZero"/>
        <c:auto val="1"/>
        <c:lblAlgn val="ctr"/>
        <c:lblOffset val="100"/>
        <c:noMultiLvlLbl val="0"/>
      </c:catAx>
      <c:valAx>
        <c:axId val="9958374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270713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val>
            <c:numRef>
              <c:f>'CO2 AFOLU'!$F$104:$AD$104</c:f>
              <c:numCache>
                <c:formatCode>General</c:formatCode>
                <c:ptCount val="25"/>
                <c:pt idx="0">
                  <c:v>6592.3125</c:v>
                </c:pt>
                <c:pt idx="1">
                  <c:v>6920.6133</c:v>
                </c:pt>
                <c:pt idx="2">
                  <c:v>7161.5781360721458</c:v>
                </c:pt>
                <c:pt idx="3">
                  <c:v>6998.7379000000001</c:v>
                </c:pt>
                <c:pt idx="4">
                  <c:v>6768.4403000000002</c:v>
                </c:pt>
                <c:pt idx="5">
                  <c:v>4882.1214933333304</c:v>
                </c:pt>
                <c:pt idx="6">
                  <c:v>4302.2427171830896</c:v>
                </c:pt>
                <c:pt idx="7">
                  <c:v>3708.2129225306599</c:v>
                </c:pt>
                <c:pt idx="8">
                  <c:v>3070.4106640680002</c:v>
                </c:pt>
                <c:pt idx="9">
                  <c:v>4252.7930999999999</c:v>
                </c:pt>
                <c:pt idx="10">
                  <c:v>4415</c:v>
                </c:pt>
                <c:pt idx="11">
                  <c:v>3519.7368000000001</c:v>
                </c:pt>
                <c:pt idx="12">
                  <c:v>4579</c:v>
                </c:pt>
                <c:pt idx="13">
                  <c:v>3911.5772000000002</c:v>
                </c:pt>
                <c:pt idx="14">
                  <c:v>2841.0916999999999</c:v>
                </c:pt>
                <c:pt idx="15">
                  <c:v>1581.8344</c:v>
                </c:pt>
                <c:pt idx="16">
                  <c:v>1148</c:v>
                </c:pt>
                <c:pt idx="17">
                  <c:v>-68.601476562499997</c:v>
                </c:pt>
                <c:pt idx="18">
                  <c:v>888.60410000000002</c:v>
                </c:pt>
                <c:pt idx="19">
                  <c:v>-293.83546875000002</c:v>
                </c:pt>
                <c:pt idx="20">
                  <c:v>523.70730000000003</c:v>
                </c:pt>
                <c:pt idx="21">
                  <c:v>-949.47507863435999</c:v>
                </c:pt>
                <c:pt idx="22">
                  <c:v>345.2</c:v>
                </c:pt>
                <c:pt idx="23">
                  <c:v>-791.05202724263097</c:v>
                </c:pt>
                <c:pt idx="24">
                  <c:v>-95.8065</c:v>
                </c:pt>
              </c:numCache>
            </c:numRef>
          </c:val>
          <c:smooth val="0"/>
          <c:extLst>
            <c:ext xmlns:c16="http://schemas.microsoft.com/office/drawing/2014/chart" uri="{C3380CC4-5D6E-409C-BE32-E72D297353CC}">
              <c16:uniqueId val="{00000000-C3C4-4B5F-94FE-EC8E439A87F3}"/>
            </c:ext>
          </c:extLst>
        </c:ser>
        <c:ser>
          <c:idx val="1"/>
          <c:order val="1"/>
          <c:spPr>
            <a:ln w="28575" cap="rnd">
              <a:solidFill>
                <a:schemeClr val="accent2"/>
              </a:solidFill>
              <a:round/>
            </a:ln>
            <a:effectLst/>
          </c:spPr>
          <c:marker>
            <c:symbol val="none"/>
          </c:marker>
          <c:val>
            <c:numRef>
              <c:f>'CO2 AFOLU'!$F$105:$AD$105</c:f>
              <c:numCache>
                <c:formatCode>General</c:formatCode>
                <c:ptCount val="25"/>
                <c:pt idx="0">
                  <c:v>5811.8708999999999</c:v>
                </c:pt>
                <c:pt idx="1">
                  <c:v>4096.5645999999997</c:v>
                </c:pt>
                <c:pt idx="2">
                  <c:v>4189.8630000000003</c:v>
                </c:pt>
                <c:pt idx="3">
                  <c:v>4262.6962999999996</c:v>
                </c:pt>
                <c:pt idx="4">
                  <c:v>4085.4883</c:v>
                </c:pt>
                <c:pt idx="5">
                  <c:v>4880.0798933333299</c:v>
                </c:pt>
                <c:pt idx="6">
                  <c:v>4287.41802602396</c:v>
                </c:pt>
                <c:pt idx="7">
                  <c:v>3677.8601352000501</c:v>
                </c:pt>
                <c:pt idx="8">
                  <c:v>3065.0978207242201</c:v>
                </c:pt>
                <c:pt idx="9">
                  <c:v>1366.34925</c:v>
                </c:pt>
                <c:pt idx="10">
                  <c:v>-17.657299999999999</c:v>
                </c:pt>
                <c:pt idx="11">
                  <c:v>-702.51113190395677</c:v>
                </c:pt>
                <c:pt idx="12">
                  <c:v>-1477.19883435879</c:v>
                </c:pt>
                <c:pt idx="13">
                  <c:v>-2065.954323115272</c:v>
                </c:pt>
                <c:pt idx="14">
                  <c:v>-2571.5728079568698</c:v>
                </c:pt>
                <c:pt idx="15">
                  <c:v>-2992.513859707371</c:v>
                </c:pt>
                <c:pt idx="16">
                  <c:v>-3375.9284989595599</c:v>
                </c:pt>
                <c:pt idx="17">
                  <c:v>-3453.0578</c:v>
                </c:pt>
                <c:pt idx="18">
                  <c:v>-3137.7765886270299</c:v>
                </c:pt>
                <c:pt idx="19">
                  <c:v>-3427.670515260133</c:v>
                </c:pt>
                <c:pt idx="20">
                  <c:v>-2417.4675000000002</c:v>
                </c:pt>
                <c:pt idx="21">
                  <c:v>-3481.735439403722</c:v>
                </c:pt>
                <c:pt idx="22">
                  <c:v>-2070.75</c:v>
                </c:pt>
                <c:pt idx="23">
                  <c:v>-3449.9114725804011</c:v>
                </c:pt>
                <c:pt idx="24">
                  <c:v>-2287.7067000000002</c:v>
                </c:pt>
              </c:numCache>
            </c:numRef>
          </c:val>
          <c:smooth val="0"/>
          <c:extLst>
            <c:ext xmlns:c16="http://schemas.microsoft.com/office/drawing/2014/chart" uri="{C3380CC4-5D6E-409C-BE32-E72D297353CC}">
              <c16:uniqueId val="{00000001-C3C4-4B5F-94FE-EC8E439A87F3}"/>
            </c:ext>
          </c:extLst>
        </c:ser>
        <c:ser>
          <c:idx val="2"/>
          <c:order val="2"/>
          <c:spPr>
            <a:ln w="28575" cap="rnd">
              <a:solidFill>
                <a:schemeClr val="accent3"/>
              </a:solidFill>
              <a:round/>
            </a:ln>
            <a:effectLst/>
          </c:spPr>
          <c:marker>
            <c:symbol val="none"/>
          </c:marker>
          <c:val>
            <c:numRef>
              <c:f>'CO2 AFOLU'!$F$106:$AD$106</c:f>
              <c:numCache>
                <c:formatCode>General</c:formatCode>
                <c:ptCount val="25"/>
                <c:pt idx="0">
                  <c:v>1811.52075195312</c:v>
                </c:pt>
                <c:pt idx="1">
                  <c:v>1500.55475</c:v>
                </c:pt>
                <c:pt idx="2">
                  <c:v>1102.9960000000001</c:v>
                </c:pt>
                <c:pt idx="3">
                  <c:v>1023.3759375</c:v>
                </c:pt>
                <c:pt idx="4">
                  <c:v>533.33038330078102</c:v>
                </c:pt>
                <c:pt idx="5">
                  <c:v>4873.8990025595203</c:v>
                </c:pt>
                <c:pt idx="6">
                  <c:v>4266.3390733333299</c:v>
                </c:pt>
                <c:pt idx="7">
                  <c:v>3661.0826222568498</c:v>
                </c:pt>
                <c:pt idx="8">
                  <c:v>3053.2937326195402</c:v>
                </c:pt>
                <c:pt idx="9">
                  <c:v>-655.98499528673995</c:v>
                </c:pt>
                <c:pt idx="10">
                  <c:v>-12488.5021949233</c:v>
                </c:pt>
                <c:pt idx="11">
                  <c:v>-7803.33</c:v>
                </c:pt>
                <c:pt idx="12">
                  <c:v>-15823.989061030299</c:v>
                </c:pt>
                <c:pt idx="13">
                  <c:v>-10673</c:v>
                </c:pt>
                <c:pt idx="14">
                  <c:v>-15012.151015077299</c:v>
                </c:pt>
                <c:pt idx="15">
                  <c:v>-10982.3</c:v>
                </c:pt>
                <c:pt idx="16">
                  <c:v>-10576.7</c:v>
                </c:pt>
                <c:pt idx="17">
                  <c:v>-9935.85</c:v>
                </c:pt>
                <c:pt idx="18">
                  <c:v>-9135.8700000000008</c:v>
                </c:pt>
                <c:pt idx="19">
                  <c:v>-8237.1200000000008</c:v>
                </c:pt>
                <c:pt idx="20">
                  <c:v>-7287.5</c:v>
                </c:pt>
                <c:pt idx="21">
                  <c:v>-6324.66</c:v>
                </c:pt>
                <c:pt idx="22">
                  <c:v>-5941.6477921542846</c:v>
                </c:pt>
                <c:pt idx="23">
                  <c:v>-5856.9791614125024</c:v>
                </c:pt>
                <c:pt idx="24">
                  <c:v>-6133.6040465149272</c:v>
                </c:pt>
              </c:numCache>
            </c:numRef>
          </c:val>
          <c:smooth val="0"/>
          <c:extLst>
            <c:ext xmlns:c16="http://schemas.microsoft.com/office/drawing/2014/chart" uri="{C3380CC4-5D6E-409C-BE32-E72D297353CC}">
              <c16:uniqueId val="{00000002-C3C4-4B5F-94FE-EC8E439A87F3}"/>
            </c:ext>
          </c:extLst>
        </c:ser>
        <c:dLbls>
          <c:showLegendKey val="0"/>
          <c:showVal val="0"/>
          <c:showCatName val="0"/>
          <c:showSerName val="0"/>
          <c:showPercent val="0"/>
          <c:showBubbleSize val="0"/>
        </c:dLbls>
        <c:smooth val="0"/>
        <c:axId val="1402041968"/>
        <c:axId val="619558480"/>
      </c:lineChart>
      <c:catAx>
        <c:axId val="1402041968"/>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9558480"/>
        <c:crosses val="autoZero"/>
        <c:auto val="1"/>
        <c:lblAlgn val="ctr"/>
        <c:lblOffset val="100"/>
        <c:noMultiLvlLbl val="0"/>
      </c:catAx>
      <c:valAx>
        <c:axId val="6195584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020419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val>
            <c:numRef>
              <c:f>'CO2 AFOLU'!$F$100:$AD$100</c:f>
              <c:numCache>
                <c:formatCode>General</c:formatCode>
                <c:ptCount val="25"/>
                <c:pt idx="0">
                  <c:v>5811.8708999999999</c:v>
                </c:pt>
                <c:pt idx="1">
                  <c:v>4096.5645999999997</c:v>
                </c:pt>
                <c:pt idx="2">
                  <c:v>4189.8630000000003</c:v>
                </c:pt>
                <c:pt idx="3">
                  <c:v>4262.6962999999996</c:v>
                </c:pt>
                <c:pt idx="4">
                  <c:v>4085.4883</c:v>
                </c:pt>
                <c:pt idx="5">
                  <c:v>4880.0798933333299</c:v>
                </c:pt>
                <c:pt idx="6">
                  <c:v>4287.41802602396</c:v>
                </c:pt>
                <c:pt idx="7">
                  <c:v>3677.8601352000501</c:v>
                </c:pt>
                <c:pt idx="8">
                  <c:v>3065.0978207242201</c:v>
                </c:pt>
                <c:pt idx="9">
                  <c:v>1366.34925</c:v>
                </c:pt>
                <c:pt idx="10">
                  <c:v>-17.657299999999999</c:v>
                </c:pt>
                <c:pt idx="11">
                  <c:v>-702.51113190395677</c:v>
                </c:pt>
                <c:pt idx="12">
                  <c:v>-1477.19883435879</c:v>
                </c:pt>
                <c:pt idx="13">
                  <c:v>-2065.954323115272</c:v>
                </c:pt>
                <c:pt idx="14">
                  <c:v>-2571.5728079568698</c:v>
                </c:pt>
                <c:pt idx="15">
                  <c:v>-2992.513859707371</c:v>
                </c:pt>
                <c:pt idx="16">
                  <c:v>-3375.9284989595599</c:v>
                </c:pt>
                <c:pt idx="17">
                  <c:v>-3453.0578</c:v>
                </c:pt>
                <c:pt idx="18">
                  <c:v>-3137.7765886270299</c:v>
                </c:pt>
                <c:pt idx="19">
                  <c:v>-3427.670515260133</c:v>
                </c:pt>
                <c:pt idx="20">
                  <c:v>-2417.4675000000002</c:v>
                </c:pt>
                <c:pt idx="21">
                  <c:v>-3481.735439403722</c:v>
                </c:pt>
                <c:pt idx="22">
                  <c:v>-2070.75</c:v>
                </c:pt>
                <c:pt idx="23">
                  <c:v>-3449.9114725804011</c:v>
                </c:pt>
                <c:pt idx="24">
                  <c:v>-2287.7067000000002</c:v>
                </c:pt>
              </c:numCache>
            </c:numRef>
          </c:val>
          <c:smooth val="0"/>
          <c:extLst>
            <c:ext xmlns:c16="http://schemas.microsoft.com/office/drawing/2014/chart" uri="{C3380CC4-5D6E-409C-BE32-E72D297353CC}">
              <c16:uniqueId val="{00000000-B97D-4BAA-8C6F-AB22219564DF}"/>
            </c:ext>
          </c:extLst>
        </c:ser>
        <c:ser>
          <c:idx val="1"/>
          <c:order val="1"/>
          <c:spPr>
            <a:ln w="28575" cap="rnd">
              <a:solidFill>
                <a:schemeClr val="accent2"/>
              </a:solidFill>
              <a:round/>
            </a:ln>
            <a:effectLst/>
          </c:spPr>
          <c:marker>
            <c:symbol val="none"/>
          </c:marker>
          <c:val>
            <c:numRef>
              <c:f>'CO2 AFOLU'!$F$101:$AD$101</c:f>
              <c:numCache>
                <c:formatCode>General</c:formatCode>
                <c:ptCount val="25"/>
                <c:pt idx="0">
                  <c:v>5811.8708999999999</c:v>
                </c:pt>
                <c:pt idx="1">
                  <c:v>3716.7060000000001</c:v>
                </c:pt>
                <c:pt idx="2">
                  <c:v>3539.7220499999999</c:v>
                </c:pt>
                <c:pt idx="3">
                  <c:v>3990.6167</c:v>
                </c:pt>
                <c:pt idx="4">
                  <c:v>3010.49</c:v>
                </c:pt>
                <c:pt idx="5">
                  <c:v>4878.5790533333302</c:v>
                </c:pt>
                <c:pt idx="6">
                  <c:v>4279.9409113088714</c:v>
                </c:pt>
                <c:pt idx="7">
                  <c:v>3676.0923530525401</c:v>
                </c:pt>
                <c:pt idx="8">
                  <c:v>3059.8935485408201</c:v>
                </c:pt>
                <c:pt idx="9">
                  <c:v>863.51447499999995</c:v>
                </c:pt>
                <c:pt idx="10">
                  <c:v>-366.09091007335928</c:v>
                </c:pt>
                <c:pt idx="11">
                  <c:v>-1667.7845793307451</c:v>
                </c:pt>
                <c:pt idx="12">
                  <c:v>-2650.1662999999999</c:v>
                </c:pt>
                <c:pt idx="13">
                  <c:v>-3008.4077518824997</c:v>
                </c:pt>
                <c:pt idx="14">
                  <c:v>-2919.9906006907299</c:v>
                </c:pt>
                <c:pt idx="15">
                  <c:v>-4026.4140000000002</c:v>
                </c:pt>
                <c:pt idx="16">
                  <c:v>-3559.404405065935</c:v>
                </c:pt>
                <c:pt idx="17">
                  <c:v>-3866.6537849041342</c:v>
                </c:pt>
                <c:pt idx="18">
                  <c:v>-4062.555388722606</c:v>
                </c:pt>
                <c:pt idx="19">
                  <c:v>-4417.6268358074285</c:v>
                </c:pt>
                <c:pt idx="20">
                  <c:v>-4615.4577803819193</c:v>
                </c:pt>
                <c:pt idx="21">
                  <c:v>-4423.6050078320632</c:v>
                </c:pt>
                <c:pt idx="22">
                  <c:v>-5047.1234678642577</c:v>
                </c:pt>
                <c:pt idx="23">
                  <c:v>-4463.3469624368372</c:v>
                </c:pt>
                <c:pt idx="24">
                  <c:v>-4676.3777867445897</c:v>
                </c:pt>
              </c:numCache>
            </c:numRef>
          </c:val>
          <c:smooth val="0"/>
          <c:extLst>
            <c:ext xmlns:c16="http://schemas.microsoft.com/office/drawing/2014/chart" uri="{C3380CC4-5D6E-409C-BE32-E72D297353CC}">
              <c16:uniqueId val="{00000001-B97D-4BAA-8C6F-AB22219564DF}"/>
            </c:ext>
          </c:extLst>
        </c:ser>
        <c:ser>
          <c:idx val="2"/>
          <c:order val="2"/>
          <c:spPr>
            <a:ln w="28575" cap="rnd">
              <a:solidFill>
                <a:schemeClr val="accent3"/>
              </a:solidFill>
              <a:round/>
            </a:ln>
            <a:effectLst/>
          </c:spPr>
          <c:marker>
            <c:symbol val="none"/>
          </c:marker>
          <c:val>
            <c:numRef>
              <c:f>'CO2 AFOLU'!$F$102:$AD$102</c:f>
              <c:numCache>
                <c:formatCode>General</c:formatCode>
                <c:ptCount val="25"/>
                <c:pt idx="0">
                  <c:v>5811.8708999999999</c:v>
                </c:pt>
                <c:pt idx="1">
                  <c:v>5837.5441666666666</c:v>
                </c:pt>
                <c:pt idx="2">
                  <c:v>5914.7318862501279</c:v>
                </c:pt>
                <c:pt idx="3">
                  <c:v>5862.1313666666674</c:v>
                </c:pt>
                <c:pt idx="4">
                  <c:v>5470.4657333333344</c:v>
                </c:pt>
                <c:pt idx="5">
                  <c:v>4880.4089400000003</c:v>
                </c:pt>
                <c:pt idx="6">
                  <c:v>4298.38043656422</c:v>
                </c:pt>
                <c:pt idx="7">
                  <c:v>3677.8858022101699</c:v>
                </c:pt>
                <c:pt idx="8">
                  <c:v>3068.32377190427</c:v>
                </c:pt>
                <c:pt idx="9">
                  <c:v>2766.8272539614936</c:v>
                </c:pt>
                <c:pt idx="10">
                  <c:v>315.17380000000003</c:v>
                </c:pt>
                <c:pt idx="11">
                  <c:v>-348.44330000000002</c:v>
                </c:pt>
                <c:pt idx="12">
                  <c:v>-165.9521</c:v>
                </c:pt>
                <c:pt idx="13">
                  <c:v>-79.1267</c:v>
                </c:pt>
                <c:pt idx="14">
                  <c:v>-72.856700000000004</c:v>
                </c:pt>
                <c:pt idx="15">
                  <c:v>-72.893299999999996</c:v>
                </c:pt>
                <c:pt idx="16">
                  <c:v>-313.35250000000002</c:v>
                </c:pt>
                <c:pt idx="17">
                  <c:v>-2665.7043052156214</c:v>
                </c:pt>
                <c:pt idx="18">
                  <c:v>-603.06830000000002</c:v>
                </c:pt>
                <c:pt idx="19">
                  <c:v>-1893.7737918628291</c:v>
                </c:pt>
                <c:pt idx="20">
                  <c:v>-792.03520000000003</c:v>
                </c:pt>
                <c:pt idx="21">
                  <c:v>-1596.6894441804457</c:v>
                </c:pt>
                <c:pt idx="22">
                  <c:v>-865.59179670099195</c:v>
                </c:pt>
                <c:pt idx="23">
                  <c:v>-1485.61865383285</c:v>
                </c:pt>
                <c:pt idx="24">
                  <c:v>-775.77034697700003</c:v>
                </c:pt>
              </c:numCache>
            </c:numRef>
          </c:val>
          <c:smooth val="0"/>
          <c:extLst>
            <c:ext xmlns:c16="http://schemas.microsoft.com/office/drawing/2014/chart" uri="{C3380CC4-5D6E-409C-BE32-E72D297353CC}">
              <c16:uniqueId val="{00000002-B97D-4BAA-8C6F-AB22219564DF}"/>
            </c:ext>
          </c:extLst>
        </c:ser>
        <c:dLbls>
          <c:showLegendKey val="0"/>
          <c:showVal val="0"/>
          <c:showCatName val="0"/>
          <c:showSerName val="0"/>
          <c:showPercent val="0"/>
          <c:showBubbleSize val="0"/>
        </c:dLbls>
        <c:smooth val="0"/>
        <c:axId val="1757975776"/>
        <c:axId val="1423955872"/>
      </c:lineChart>
      <c:catAx>
        <c:axId val="1757975776"/>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23955872"/>
        <c:crosses val="autoZero"/>
        <c:auto val="1"/>
        <c:lblAlgn val="ctr"/>
        <c:lblOffset val="100"/>
        <c:noMultiLvlLbl val="0"/>
      </c:catAx>
      <c:valAx>
        <c:axId val="14239558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579757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val>
            <c:numRef>
              <c:f>'CH4 TOTAL'!$F$104:$AD$104</c:f>
              <c:numCache>
                <c:formatCode>General</c:formatCode>
                <c:ptCount val="25"/>
                <c:pt idx="0">
                  <c:v>309.87015753380899</c:v>
                </c:pt>
                <c:pt idx="1">
                  <c:v>347.23661825993798</c:v>
                </c:pt>
                <c:pt idx="2">
                  <c:v>377.02260000000001</c:v>
                </c:pt>
                <c:pt idx="3">
                  <c:v>424.96280000000002</c:v>
                </c:pt>
                <c:pt idx="4">
                  <c:v>434.53300000000002</c:v>
                </c:pt>
                <c:pt idx="5">
                  <c:v>317.75187059064001</c:v>
                </c:pt>
                <c:pt idx="6">
                  <c:v>302.144473792187</c:v>
                </c:pt>
                <c:pt idx="7">
                  <c:v>289.467886753605</c:v>
                </c:pt>
                <c:pt idx="8">
                  <c:v>279.94059339027001</c:v>
                </c:pt>
                <c:pt idx="9">
                  <c:v>351.86400000000009</c:v>
                </c:pt>
                <c:pt idx="10">
                  <c:v>317.15591430664063</c:v>
                </c:pt>
                <c:pt idx="11">
                  <c:v>277.71148681640619</c:v>
                </c:pt>
                <c:pt idx="12">
                  <c:v>274.736869412153</c:v>
                </c:pt>
                <c:pt idx="13">
                  <c:v>270.705117999425</c:v>
                </c:pt>
                <c:pt idx="14">
                  <c:v>277.36316386941002</c:v>
                </c:pt>
                <c:pt idx="15">
                  <c:v>280.799860074256</c:v>
                </c:pt>
                <c:pt idx="16">
                  <c:v>283.17855144166498</c:v>
                </c:pt>
                <c:pt idx="17">
                  <c:v>285.04032646109101</c:v>
                </c:pt>
                <c:pt idx="18">
                  <c:v>286.14850635143898</c:v>
                </c:pt>
                <c:pt idx="19">
                  <c:v>286.90032858648999</c:v>
                </c:pt>
                <c:pt idx="20">
                  <c:v>287.98564620307701</c:v>
                </c:pt>
                <c:pt idx="21">
                  <c:v>289.66331232527398</c:v>
                </c:pt>
                <c:pt idx="22">
                  <c:v>290.94727478089902</c:v>
                </c:pt>
                <c:pt idx="23">
                  <c:v>290.74143485044601</c:v>
                </c:pt>
                <c:pt idx="24">
                  <c:v>289.80068740635198</c:v>
                </c:pt>
              </c:numCache>
            </c:numRef>
          </c:val>
          <c:smooth val="0"/>
          <c:extLst>
            <c:ext xmlns:c16="http://schemas.microsoft.com/office/drawing/2014/chart" uri="{C3380CC4-5D6E-409C-BE32-E72D297353CC}">
              <c16:uniqueId val="{00000000-E708-4CFA-88C0-56EE397D2261}"/>
            </c:ext>
          </c:extLst>
        </c:ser>
        <c:ser>
          <c:idx val="1"/>
          <c:order val="1"/>
          <c:spPr>
            <a:ln w="28575" cap="rnd">
              <a:solidFill>
                <a:schemeClr val="accent2"/>
              </a:solidFill>
              <a:round/>
            </a:ln>
            <a:effectLst/>
          </c:spPr>
          <c:marker>
            <c:symbol val="none"/>
          </c:marker>
          <c:val>
            <c:numRef>
              <c:f>'CH4 TOTAL'!$F$105:$AD$105</c:f>
              <c:numCache>
                <c:formatCode>General</c:formatCode>
                <c:ptCount val="25"/>
                <c:pt idx="0">
                  <c:v>308.99925350927839</c:v>
                </c:pt>
                <c:pt idx="1">
                  <c:v>332.02449999999999</c:v>
                </c:pt>
                <c:pt idx="2">
                  <c:v>353.44600000000003</c:v>
                </c:pt>
                <c:pt idx="3">
                  <c:v>375.22259951814982</c:v>
                </c:pt>
                <c:pt idx="4">
                  <c:v>362.15469999999999</c:v>
                </c:pt>
                <c:pt idx="5">
                  <c:v>311.37603816464502</c:v>
                </c:pt>
                <c:pt idx="6">
                  <c:v>294.33215182948902</c:v>
                </c:pt>
                <c:pt idx="7">
                  <c:v>282.45746009413898</c:v>
                </c:pt>
                <c:pt idx="8">
                  <c:v>272.461805165339</c:v>
                </c:pt>
                <c:pt idx="9">
                  <c:v>283.35410000000002</c:v>
                </c:pt>
                <c:pt idx="10">
                  <c:v>244.98577585727801</c:v>
                </c:pt>
                <c:pt idx="11">
                  <c:v>223.17925</c:v>
                </c:pt>
                <c:pt idx="12">
                  <c:v>206.88220000000001</c:v>
                </c:pt>
                <c:pt idx="13">
                  <c:v>201.75155000000001</c:v>
                </c:pt>
                <c:pt idx="14">
                  <c:v>181.23339999999999</c:v>
                </c:pt>
                <c:pt idx="15">
                  <c:v>184.55799999999999</c:v>
                </c:pt>
                <c:pt idx="16">
                  <c:v>166.67767826946351</c:v>
                </c:pt>
                <c:pt idx="17">
                  <c:v>153.6476137902842</c:v>
                </c:pt>
                <c:pt idx="18">
                  <c:v>158.935</c:v>
                </c:pt>
                <c:pt idx="19">
                  <c:v>148.25299999999999</c:v>
                </c:pt>
                <c:pt idx="20">
                  <c:v>140.6882019042969</c:v>
                </c:pt>
                <c:pt idx="21">
                  <c:v>133.613</c:v>
                </c:pt>
                <c:pt idx="22">
                  <c:v>134.28096912807169</c:v>
                </c:pt>
                <c:pt idx="23">
                  <c:v>126.5353525167593</c:v>
                </c:pt>
                <c:pt idx="24">
                  <c:v>127.578845080596</c:v>
                </c:pt>
              </c:numCache>
            </c:numRef>
          </c:val>
          <c:smooth val="0"/>
          <c:extLst>
            <c:ext xmlns:c16="http://schemas.microsoft.com/office/drawing/2014/chart" uri="{C3380CC4-5D6E-409C-BE32-E72D297353CC}">
              <c16:uniqueId val="{00000001-E708-4CFA-88C0-56EE397D2261}"/>
            </c:ext>
          </c:extLst>
        </c:ser>
        <c:ser>
          <c:idx val="2"/>
          <c:order val="2"/>
          <c:spPr>
            <a:ln w="28575" cap="rnd">
              <a:solidFill>
                <a:schemeClr val="accent3"/>
              </a:solidFill>
              <a:round/>
            </a:ln>
            <a:effectLst/>
          </c:spPr>
          <c:marker>
            <c:symbol val="none"/>
          </c:marker>
          <c:val>
            <c:numRef>
              <c:f>'CH4 TOTAL'!$F$106:$AD$106</c:f>
              <c:numCache>
                <c:formatCode>General</c:formatCode>
                <c:ptCount val="25"/>
                <c:pt idx="0">
                  <c:v>284.25949096679699</c:v>
                </c:pt>
                <c:pt idx="1">
                  <c:v>299.754269100155</c:v>
                </c:pt>
                <c:pt idx="2">
                  <c:v>320.30444569219401</c:v>
                </c:pt>
                <c:pt idx="3">
                  <c:v>330.887818227433</c:v>
                </c:pt>
                <c:pt idx="4">
                  <c:v>328.08740219999999</c:v>
                </c:pt>
                <c:pt idx="5">
                  <c:v>309.81341023040801</c:v>
                </c:pt>
                <c:pt idx="6">
                  <c:v>293.77682852141498</c:v>
                </c:pt>
                <c:pt idx="7">
                  <c:v>282.26992808013898</c:v>
                </c:pt>
                <c:pt idx="8">
                  <c:v>271.99180254458201</c:v>
                </c:pt>
                <c:pt idx="9">
                  <c:v>171.75218268721591</c:v>
                </c:pt>
                <c:pt idx="10">
                  <c:v>147.93700434527301</c:v>
                </c:pt>
                <c:pt idx="11">
                  <c:v>139.17943894622701</c:v>
                </c:pt>
                <c:pt idx="12">
                  <c:v>125.83155952381</c:v>
                </c:pt>
                <c:pt idx="13">
                  <c:v>110.2149</c:v>
                </c:pt>
                <c:pt idx="14">
                  <c:v>83.536699999999996</c:v>
                </c:pt>
                <c:pt idx="15">
                  <c:v>79.676699999999997</c:v>
                </c:pt>
                <c:pt idx="16">
                  <c:v>76.385499999999993</c:v>
                </c:pt>
                <c:pt idx="17">
                  <c:v>102.404928571429</c:v>
                </c:pt>
                <c:pt idx="18">
                  <c:v>69.123999999999995</c:v>
                </c:pt>
                <c:pt idx="19">
                  <c:v>100.192416666667</c:v>
                </c:pt>
                <c:pt idx="20">
                  <c:v>63.665199999999999</c:v>
                </c:pt>
                <c:pt idx="21">
                  <c:v>98.93804761904758</c:v>
                </c:pt>
                <c:pt idx="22">
                  <c:v>59.5901</c:v>
                </c:pt>
                <c:pt idx="23">
                  <c:v>99.008482142857076</c:v>
                </c:pt>
                <c:pt idx="24">
                  <c:v>53.015000000000001</c:v>
                </c:pt>
              </c:numCache>
            </c:numRef>
          </c:val>
          <c:smooth val="0"/>
          <c:extLst>
            <c:ext xmlns:c16="http://schemas.microsoft.com/office/drawing/2014/chart" uri="{C3380CC4-5D6E-409C-BE32-E72D297353CC}">
              <c16:uniqueId val="{00000002-E708-4CFA-88C0-56EE397D2261}"/>
            </c:ext>
          </c:extLst>
        </c:ser>
        <c:dLbls>
          <c:showLegendKey val="0"/>
          <c:showVal val="0"/>
          <c:showCatName val="0"/>
          <c:showSerName val="0"/>
          <c:showPercent val="0"/>
          <c:showBubbleSize val="0"/>
        </c:dLbls>
        <c:smooth val="0"/>
        <c:axId val="1400945552"/>
        <c:axId val="1070815600"/>
      </c:lineChart>
      <c:catAx>
        <c:axId val="1400945552"/>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70815600"/>
        <c:crosses val="autoZero"/>
        <c:auto val="1"/>
        <c:lblAlgn val="ctr"/>
        <c:lblOffset val="100"/>
        <c:noMultiLvlLbl val="0"/>
      </c:catAx>
      <c:valAx>
        <c:axId val="107081560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009455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val>
            <c:numRef>
              <c:f>'N2O TOTAL'!$F$104:$AD$104</c:f>
              <c:numCache>
                <c:formatCode>General</c:formatCode>
                <c:ptCount val="25"/>
                <c:pt idx="0">
                  <c:v>7833.6757507298498</c:v>
                </c:pt>
                <c:pt idx="1">
                  <c:v>10643.4700101336</c:v>
                </c:pt>
                <c:pt idx="2">
                  <c:v>10771.843199999999</c:v>
                </c:pt>
                <c:pt idx="3">
                  <c:v>11967.356100000001</c:v>
                </c:pt>
                <c:pt idx="4">
                  <c:v>12798.9095</c:v>
                </c:pt>
                <c:pt idx="5">
                  <c:v>9633.7381741123299</c:v>
                </c:pt>
                <c:pt idx="6">
                  <c:v>9487.2245376894207</c:v>
                </c:pt>
                <c:pt idx="7">
                  <c:v>9374.5900531834504</c:v>
                </c:pt>
                <c:pt idx="8">
                  <c:v>9260.5225852410495</c:v>
                </c:pt>
                <c:pt idx="9">
                  <c:v>12161.206399999999</c:v>
                </c:pt>
                <c:pt idx="10">
                  <c:v>12193.963599999999</c:v>
                </c:pt>
                <c:pt idx="11">
                  <c:v>11837.3253</c:v>
                </c:pt>
                <c:pt idx="12">
                  <c:v>12284.308499999999</c:v>
                </c:pt>
                <c:pt idx="13">
                  <c:v>12745.625099999999</c:v>
                </c:pt>
                <c:pt idx="14">
                  <c:v>13068.911599999999</c:v>
                </c:pt>
                <c:pt idx="15">
                  <c:v>13410.751200000001</c:v>
                </c:pt>
                <c:pt idx="16">
                  <c:v>13502.293</c:v>
                </c:pt>
                <c:pt idx="17">
                  <c:v>11558.0205931536</c:v>
                </c:pt>
                <c:pt idx="18">
                  <c:v>13441.5229</c:v>
                </c:pt>
                <c:pt idx="19">
                  <c:v>11615.287122923</c:v>
                </c:pt>
                <c:pt idx="20">
                  <c:v>13031.1065</c:v>
                </c:pt>
                <c:pt idx="21">
                  <c:v>11604.9375312962</c:v>
                </c:pt>
                <c:pt idx="22">
                  <c:v>12496.098099999999</c:v>
                </c:pt>
                <c:pt idx="23">
                  <c:v>11507.393052526701</c:v>
                </c:pt>
                <c:pt idx="24">
                  <c:v>12122.2889</c:v>
                </c:pt>
              </c:numCache>
            </c:numRef>
          </c:val>
          <c:smooth val="0"/>
          <c:extLst>
            <c:ext xmlns:c16="http://schemas.microsoft.com/office/drawing/2014/chart" uri="{C3380CC4-5D6E-409C-BE32-E72D297353CC}">
              <c16:uniqueId val="{00000000-63CB-4459-973F-30D28EBC5258}"/>
            </c:ext>
          </c:extLst>
        </c:ser>
        <c:ser>
          <c:idx val="1"/>
          <c:order val="1"/>
          <c:spPr>
            <a:ln w="28575" cap="rnd">
              <a:solidFill>
                <a:schemeClr val="accent2"/>
              </a:solidFill>
              <a:round/>
            </a:ln>
            <a:effectLst/>
          </c:spPr>
          <c:marker>
            <c:symbol val="none"/>
          </c:marker>
          <c:val>
            <c:numRef>
              <c:f>'N2O TOTAL'!$F$105:$AD$105</c:f>
              <c:numCache>
                <c:formatCode>General</c:formatCode>
                <c:ptCount val="25"/>
                <c:pt idx="0">
                  <c:v>7823.0509077609504</c:v>
                </c:pt>
                <c:pt idx="1">
                  <c:v>9638.9624000000003</c:v>
                </c:pt>
                <c:pt idx="2">
                  <c:v>10446.2021</c:v>
                </c:pt>
                <c:pt idx="3">
                  <c:v>10950.12478775021</c:v>
                </c:pt>
                <c:pt idx="4">
                  <c:v>11068.78606003928</c:v>
                </c:pt>
                <c:pt idx="5">
                  <c:v>9551.2380880050296</c:v>
                </c:pt>
                <c:pt idx="6">
                  <c:v>9432.4987081279305</c:v>
                </c:pt>
                <c:pt idx="7">
                  <c:v>9343.9097872853308</c:v>
                </c:pt>
                <c:pt idx="8">
                  <c:v>9214.5083552054402</c:v>
                </c:pt>
                <c:pt idx="9">
                  <c:v>10402.154194383565</c:v>
                </c:pt>
                <c:pt idx="10">
                  <c:v>9379.6906581035491</c:v>
                </c:pt>
                <c:pt idx="11">
                  <c:v>9279.6862945381999</c:v>
                </c:pt>
                <c:pt idx="12">
                  <c:v>8429.9792108705569</c:v>
                </c:pt>
                <c:pt idx="13">
                  <c:v>8829.6443752963969</c:v>
                </c:pt>
                <c:pt idx="14">
                  <c:v>7827.5663386397046</c:v>
                </c:pt>
                <c:pt idx="15">
                  <c:v>8771.0154000000002</c:v>
                </c:pt>
                <c:pt idx="16">
                  <c:v>7485.42</c:v>
                </c:pt>
                <c:pt idx="17">
                  <c:v>7078.9434969533077</c:v>
                </c:pt>
                <c:pt idx="18">
                  <c:v>7449.83</c:v>
                </c:pt>
                <c:pt idx="19">
                  <c:v>7140.0841916910967</c:v>
                </c:pt>
                <c:pt idx="20">
                  <c:v>7002.2483604374556</c:v>
                </c:pt>
                <c:pt idx="21">
                  <c:v>7098.0793763810661</c:v>
                </c:pt>
                <c:pt idx="22">
                  <c:v>6981.3749503817726</c:v>
                </c:pt>
                <c:pt idx="23">
                  <c:v>7300.3730044530548</c:v>
                </c:pt>
                <c:pt idx="24">
                  <c:v>6990.8481854422944</c:v>
                </c:pt>
              </c:numCache>
            </c:numRef>
          </c:val>
          <c:smooth val="0"/>
          <c:extLst>
            <c:ext xmlns:c16="http://schemas.microsoft.com/office/drawing/2014/chart" uri="{C3380CC4-5D6E-409C-BE32-E72D297353CC}">
              <c16:uniqueId val="{00000001-63CB-4459-973F-30D28EBC5258}"/>
            </c:ext>
          </c:extLst>
        </c:ser>
        <c:ser>
          <c:idx val="2"/>
          <c:order val="2"/>
          <c:spPr>
            <a:ln w="28575" cap="rnd">
              <a:solidFill>
                <a:schemeClr val="accent3"/>
              </a:solidFill>
              <a:round/>
            </a:ln>
            <a:effectLst/>
          </c:spPr>
          <c:marker>
            <c:symbol val="none"/>
          </c:marker>
          <c:val>
            <c:numRef>
              <c:f>'N2O TOTAL'!$F$106:$AD$106</c:f>
              <c:numCache>
                <c:formatCode>General</c:formatCode>
                <c:ptCount val="25"/>
                <c:pt idx="0">
                  <c:v>7511.2431640625</c:v>
                </c:pt>
                <c:pt idx="1">
                  <c:v>7923.25244140625</c:v>
                </c:pt>
                <c:pt idx="2">
                  <c:v>8265.357421875</c:v>
                </c:pt>
                <c:pt idx="3">
                  <c:v>8766.9056451612905</c:v>
                </c:pt>
                <c:pt idx="4">
                  <c:v>8671.1105045664845</c:v>
                </c:pt>
                <c:pt idx="5">
                  <c:v>9494.5587097814096</c:v>
                </c:pt>
                <c:pt idx="6">
                  <c:v>9367.9566054131592</c:v>
                </c:pt>
                <c:pt idx="7">
                  <c:v>9267.6120170949307</c:v>
                </c:pt>
                <c:pt idx="8">
                  <c:v>9164.1853914651201</c:v>
                </c:pt>
                <c:pt idx="9">
                  <c:v>7015.302999999999</c:v>
                </c:pt>
                <c:pt idx="10">
                  <c:v>6244.1786000000002</c:v>
                </c:pt>
                <c:pt idx="11">
                  <c:v>5793.2800423065892</c:v>
                </c:pt>
                <c:pt idx="12">
                  <c:v>4851.84423828125</c:v>
                </c:pt>
                <c:pt idx="13">
                  <c:v>4950.2742333289707</c:v>
                </c:pt>
                <c:pt idx="14">
                  <c:v>3733.15893554688</c:v>
                </c:pt>
                <c:pt idx="15">
                  <c:v>4742.4629000000004</c:v>
                </c:pt>
                <c:pt idx="16">
                  <c:v>3318.11767578125</c:v>
                </c:pt>
                <c:pt idx="17">
                  <c:v>5862.4826612903198</c:v>
                </c:pt>
                <c:pt idx="18">
                  <c:v>2969.41357421875</c:v>
                </c:pt>
                <c:pt idx="19">
                  <c:v>5889.4141129032296</c:v>
                </c:pt>
                <c:pt idx="20">
                  <c:v>2765.88159179688</c:v>
                </c:pt>
                <c:pt idx="21">
                  <c:v>5627.0263656528568</c:v>
                </c:pt>
                <c:pt idx="22">
                  <c:v>2500.22802734375</c:v>
                </c:pt>
                <c:pt idx="23">
                  <c:v>5293.5458969938054</c:v>
                </c:pt>
                <c:pt idx="24">
                  <c:v>2471.28295898438</c:v>
                </c:pt>
              </c:numCache>
            </c:numRef>
          </c:val>
          <c:smooth val="0"/>
          <c:extLst>
            <c:ext xmlns:c16="http://schemas.microsoft.com/office/drawing/2014/chart" uri="{C3380CC4-5D6E-409C-BE32-E72D297353CC}">
              <c16:uniqueId val="{00000002-63CB-4459-973F-30D28EBC5258}"/>
            </c:ext>
          </c:extLst>
        </c:ser>
        <c:dLbls>
          <c:showLegendKey val="0"/>
          <c:showVal val="0"/>
          <c:showCatName val="0"/>
          <c:showSerName val="0"/>
          <c:showPercent val="0"/>
          <c:showBubbleSize val="0"/>
        </c:dLbls>
        <c:smooth val="0"/>
        <c:axId val="1400050608"/>
        <c:axId val="1065366256"/>
      </c:lineChart>
      <c:catAx>
        <c:axId val="1400050608"/>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5366256"/>
        <c:crosses val="autoZero"/>
        <c:auto val="1"/>
        <c:lblAlgn val="ctr"/>
        <c:lblOffset val="100"/>
        <c:noMultiLvlLbl val="0"/>
      </c:catAx>
      <c:valAx>
        <c:axId val="106536625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000506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val>
            <c:numRef>
              <c:f>'N2O TOTAL'!$F$100:$AD$100</c:f>
              <c:numCache>
                <c:formatCode>General</c:formatCode>
                <c:ptCount val="25"/>
                <c:pt idx="0">
                  <c:v>7823.0509077609504</c:v>
                </c:pt>
                <c:pt idx="1">
                  <c:v>9638.9624000000003</c:v>
                </c:pt>
                <c:pt idx="2">
                  <c:v>10446.2021</c:v>
                </c:pt>
                <c:pt idx="3">
                  <c:v>10950.12478775021</c:v>
                </c:pt>
                <c:pt idx="4">
                  <c:v>11068.78606003928</c:v>
                </c:pt>
                <c:pt idx="5">
                  <c:v>9551.2380880050296</c:v>
                </c:pt>
                <c:pt idx="6">
                  <c:v>9432.4987081279305</c:v>
                </c:pt>
                <c:pt idx="7">
                  <c:v>9343.9097872853308</c:v>
                </c:pt>
                <c:pt idx="8">
                  <c:v>9214.5083552054402</c:v>
                </c:pt>
                <c:pt idx="9">
                  <c:v>10402.154194383565</c:v>
                </c:pt>
                <c:pt idx="10">
                  <c:v>9379.6906581035491</c:v>
                </c:pt>
                <c:pt idx="11">
                  <c:v>9279.6862945381999</c:v>
                </c:pt>
                <c:pt idx="12">
                  <c:v>8429.9792108705569</c:v>
                </c:pt>
                <c:pt idx="13">
                  <c:v>8829.6443752963969</c:v>
                </c:pt>
                <c:pt idx="14">
                  <c:v>7827.5663386397046</c:v>
                </c:pt>
                <c:pt idx="15">
                  <c:v>8771.0154000000002</c:v>
                </c:pt>
                <c:pt idx="16">
                  <c:v>7485.42</c:v>
                </c:pt>
                <c:pt idx="17">
                  <c:v>7078.9434969533077</c:v>
                </c:pt>
                <c:pt idx="18">
                  <c:v>7449.83</c:v>
                </c:pt>
                <c:pt idx="19">
                  <c:v>7140.0841916910967</c:v>
                </c:pt>
                <c:pt idx="20">
                  <c:v>7002.2483604374556</c:v>
                </c:pt>
                <c:pt idx="21">
                  <c:v>7098.0793763810661</c:v>
                </c:pt>
                <c:pt idx="22">
                  <c:v>6981.3749503817726</c:v>
                </c:pt>
                <c:pt idx="23">
                  <c:v>7300.3730044530548</c:v>
                </c:pt>
                <c:pt idx="24">
                  <c:v>6990.8481854422944</c:v>
                </c:pt>
              </c:numCache>
            </c:numRef>
          </c:val>
          <c:smooth val="0"/>
          <c:extLst>
            <c:ext xmlns:c16="http://schemas.microsoft.com/office/drawing/2014/chart" uri="{C3380CC4-5D6E-409C-BE32-E72D297353CC}">
              <c16:uniqueId val="{00000000-8141-42A0-B101-D3DBC482289B}"/>
            </c:ext>
          </c:extLst>
        </c:ser>
        <c:ser>
          <c:idx val="1"/>
          <c:order val="1"/>
          <c:spPr>
            <a:ln w="28575" cap="rnd">
              <a:solidFill>
                <a:schemeClr val="accent2"/>
              </a:solidFill>
              <a:round/>
            </a:ln>
            <a:effectLst/>
          </c:spPr>
          <c:marker>
            <c:symbol val="none"/>
          </c:marker>
          <c:val>
            <c:numRef>
              <c:f>'N2O TOTAL'!$F$101:$AD$101</c:f>
              <c:numCache>
                <c:formatCode>General</c:formatCode>
                <c:ptCount val="25"/>
                <c:pt idx="0">
                  <c:v>7804.0557208519485</c:v>
                </c:pt>
                <c:pt idx="1">
                  <c:v>8323.2376629405207</c:v>
                </c:pt>
                <c:pt idx="2">
                  <c:v>9016.6801215350315</c:v>
                </c:pt>
                <c:pt idx="3">
                  <c:v>10057.81587025752</c:v>
                </c:pt>
                <c:pt idx="4">
                  <c:v>9766.0441815084778</c:v>
                </c:pt>
                <c:pt idx="5">
                  <c:v>9522.1026961165007</c:v>
                </c:pt>
                <c:pt idx="6">
                  <c:v>9396.38330833693</c:v>
                </c:pt>
                <c:pt idx="7">
                  <c:v>9289.5611581490994</c:v>
                </c:pt>
                <c:pt idx="8">
                  <c:v>9195.7771884919694</c:v>
                </c:pt>
                <c:pt idx="9">
                  <c:v>9144.0397520349688</c:v>
                </c:pt>
                <c:pt idx="10">
                  <c:v>8446.2357909999992</c:v>
                </c:pt>
                <c:pt idx="11">
                  <c:v>8164.3</c:v>
                </c:pt>
                <c:pt idx="12">
                  <c:v>7714.3743606485104</c:v>
                </c:pt>
                <c:pt idx="13">
                  <c:v>7482.8901437489276</c:v>
                </c:pt>
                <c:pt idx="14">
                  <c:v>7136.2018588819001</c:v>
                </c:pt>
                <c:pt idx="15">
                  <c:v>7046.8657904888414</c:v>
                </c:pt>
                <c:pt idx="16">
                  <c:v>6893.5339256616317</c:v>
                </c:pt>
                <c:pt idx="17">
                  <c:v>6156.2840520730661</c:v>
                </c:pt>
                <c:pt idx="18">
                  <c:v>6556.5656957289129</c:v>
                </c:pt>
                <c:pt idx="19">
                  <c:v>6290.3907605234763</c:v>
                </c:pt>
                <c:pt idx="20">
                  <c:v>6504.5387817081773</c:v>
                </c:pt>
                <c:pt idx="21">
                  <c:v>6246.2776629198779</c:v>
                </c:pt>
                <c:pt idx="22">
                  <c:v>6157.4134000000004</c:v>
                </c:pt>
                <c:pt idx="23">
                  <c:v>6105.3044768977252</c:v>
                </c:pt>
                <c:pt idx="24">
                  <c:v>6045.4655583475114</c:v>
                </c:pt>
              </c:numCache>
            </c:numRef>
          </c:val>
          <c:smooth val="0"/>
          <c:extLst>
            <c:ext xmlns:c16="http://schemas.microsoft.com/office/drawing/2014/chart" uri="{C3380CC4-5D6E-409C-BE32-E72D297353CC}">
              <c16:uniqueId val="{00000001-8141-42A0-B101-D3DBC482289B}"/>
            </c:ext>
          </c:extLst>
        </c:ser>
        <c:ser>
          <c:idx val="2"/>
          <c:order val="2"/>
          <c:spPr>
            <a:ln w="28575" cap="rnd">
              <a:solidFill>
                <a:schemeClr val="accent3"/>
              </a:solidFill>
              <a:round/>
            </a:ln>
            <a:effectLst/>
          </c:spPr>
          <c:marker>
            <c:symbol val="none"/>
          </c:marker>
          <c:val>
            <c:numRef>
              <c:f>'N2O TOTAL'!$F$102:$AD$102</c:f>
              <c:numCache>
                <c:formatCode>General</c:formatCode>
                <c:ptCount val="25"/>
                <c:pt idx="0">
                  <c:v>7823.0509077609549</c:v>
                </c:pt>
                <c:pt idx="1">
                  <c:v>9888.0956999999999</c:v>
                </c:pt>
                <c:pt idx="2">
                  <c:v>10557.682349999999</c:v>
                </c:pt>
                <c:pt idx="3">
                  <c:v>11721.626899999999</c:v>
                </c:pt>
                <c:pt idx="4">
                  <c:v>12607.4807</c:v>
                </c:pt>
                <c:pt idx="5">
                  <c:v>9626.0015050709499</c:v>
                </c:pt>
                <c:pt idx="6">
                  <c:v>9486.0306111216305</c:v>
                </c:pt>
                <c:pt idx="7">
                  <c:v>9365.0485957799101</c:v>
                </c:pt>
                <c:pt idx="8">
                  <c:v>9245.9044041758207</c:v>
                </c:pt>
                <c:pt idx="9">
                  <c:v>11311.073925000001</c:v>
                </c:pt>
                <c:pt idx="10">
                  <c:v>11092.6785</c:v>
                </c:pt>
                <c:pt idx="11">
                  <c:v>11090.2808</c:v>
                </c:pt>
                <c:pt idx="12">
                  <c:v>11186.6278</c:v>
                </c:pt>
                <c:pt idx="13">
                  <c:v>11656.857475000001</c:v>
                </c:pt>
                <c:pt idx="14">
                  <c:v>11614.63</c:v>
                </c:pt>
                <c:pt idx="15">
                  <c:v>11941.906999999999</c:v>
                </c:pt>
                <c:pt idx="16">
                  <c:v>11602.66</c:v>
                </c:pt>
                <c:pt idx="17">
                  <c:v>8123.0908175077066</c:v>
                </c:pt>
                <c:pt idx="18">
                  <c:v>11725.17</c:v>
                </c:pt>
                <c:pt idx="19">
                  <c:v>8198.8701196493403</c:v>
                </c:pt>
                <c:pt idx="20">
                  <c:v>11276.4894</c:v>
                </c:pt>
                <c:pt idx="21">
                  <c:v>8087.3371908747195</c:v>
                </c:pt>
                <c:pt idx="22">
                  <c:v>10893.309600000001</c:v>
                </c:pt>
                <c:pt idx="23">
                  <c:v>7979.6863717365068</c:v>
                </c:pt>
                <c:pt idx="24">
                  <c:v>10473.4908</c:v>
                </c:pt>
              </c:numCache>
            </c:numRef>
          </c:val>
          <c:smooth val="0"/>
          <c:extLst>
            <c:ext xmlns:c16="http://schemas.microsoft.com/office/drawing/2014/chart" uri="{C3380CC4-5D6E-409C-BE32-E72D297353CC}">
              <c16:uniqueId val="{00000002-8141-42A0-B101-D3DBC482289B}"/>
            </c:ext>
          </c:extLst>
        </c:ser>
        <c:dLbls>
          <c:showLegendKey val="0"/>
          <c:showVal val="0"/>
          <c:showCatName val="0"/>
          <c:showSerName val="0"/>
          <c:showPercent val="0"/>
          <c:showBubbleSize val="0"/>
        </c:dLbls>
        <c:smooth val="0"/>
        <c:axId val="625454208"/>
        <c:axId val="571319696"/>
      </c:lineChart>
      <c:catAx>
        <c:axId val="625454208"/>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1319696"/>
        <c:crosses val="autoZero"/>
        <c:auto val="1"/>
        <c:lblAlgn val="ctr"/>
        <c:lblOffset val="100"/>
        <c:noMultiLvlLbl val="0"/>
      </c:catAx>
      <c:valAx>
        <c:axId val="5713196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54542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a:t>Total methane emissions capacity approach (PPP)</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1"/>
          <c:order val="0"/>
          <c:tx>
            <c:v>Current target (-24%)</c:v>
          </c:tx>
          <c:spPr>
            <a:ln w="28575" cap="rnd">
              <a:solidFill>
                <a:srgbClr val="00ACD3"/>
              </a:solidFill>
              <a:round/>
            </a:ln>
            <a:effectLst/>
          </c:spPr>
          <c:marker>
            <c:symbol val="none"/>
          </c:marker>
          <c:cat>
            <c:numRef>
              <c:f>Capacity!$C$5:$H$5</c:f>
              <c:numCache>
                <c:formatCode>General</c:formatCode>
                <c:ptCount val="6"/>
                <c:pt idx="0">
                  <c:v>2020</c:v>
                </c:pt>
                <c:pt idx="1">
                  <c:v>2030</c:v>
                </c:pt>
                <c:pt idx="2">
                  <c:v>2040</c:v>
                </c:pt>
                <c:pt idx="3">
                  <c:v>2050</c:v>
                </c:pt>
                <c:pt idx="4">
                  <c:v>2060</c:v>
                </c:pt>
                <c:pt idx="5">
                  <c:v>2070</c:v>
                </c:pt>
              </c:numCache>
            </c:numRef>
          </c:cat>
          <c:val>
            <c:numRef>
              <c:f>Capacity!$C$10:$H$10</c:f>
              <c:numCache>
                <c:formatCode>_-* #,##0.000_-;\-* #,##0.000_-;_-* "-"??_-;_-@_-</c:formatCode>
                <c:ptCount val="6"/>
                <c:pt idx="0">
                  <c:v>1.3361140579285715</c:v>
                </c:pt>
                <c:pt idx="1">
                  <c:v>1.2079602269872642</c:v>
                </c:pt>
                <c:pt idx="2">
                  <c:v>1.1377032505328863</c:v>
                </c:pt>
                <c:pt idx="3">
                  <c:v>1.0695182235340766</c:v>
                </c:pt>
                <c:pt idx="4">
                  <c:v>1.0695182235340766</c:v>
                </c:pt>
                <c:pt idx="5">
                  <c:v>1.0695182235340766</c:v>
                </c:pt>
              </c:numCache>
            </c:numRef>
          </c:val>
          <c:smooth val="0"/>
          <c:extLst>
            <c:ext xmlns:c16="http://schemas.microsoft.com/office/drawing/2014/chart" uri="{C3380CC4-5D6E-409C-BE32-E72D297353CC}">
              <c16:uniqueId val="{00000001-92C7-46AB-9F20-834CA92CB801}"/>
            </c:ext>
          </c:extLst>
        </c:ser>
        <c:ser>
          <c:idx val="2"/>
          <c:order val="1"/>
          <c:tx>
            <c:v>Current target (-47%)</c:v>
          </c:tx>
          <c:spPr>
            <a:ln w="28575" cap="rnd">
              <a:solidFill>
                <a:srgbClr val="6AC17B"/>
              </a:solidFill>
              <a:round/>
            </a:ln>
            <a:effectLst/>
          </c:spPr>
          <c:marker>
            <c:symbol val="none"/>
          </c:marker>
          <c:cat>
            <c:numRef>
              <c:f>Capacity!$C$5:$H$5</c:f>
              <c:numCache>
                <c:formatCode>General</c:formatCode>
                <c:ptCount val="6"/>
                <c:pt idx="0">
                  <c:v>2020</c:v>
                </c:pt>
                <c:pt idx="1">
                  <c:v>2030</c:v>
                </c:pt>
                <c:pt idx="2">
                  <c:v>2040</c:v>
                </c:pt>
                <c:pt idx="3">
                  <c:v>2050</c:v>
                </c:pt>
                <c:pt idx="4">
                  <c:v>2060</c:v>
                </c:pt>
                <c:pt idx="5">
                  <c:v>2070</c:v>
                </c:pt>
              </c:numCache>
            </c:numRef>
          </c:cat>
          <c:val>
            <c:numRef>
              <c:f>Capacity!$C$11:$H$11</c:f>
              <c:numCache>
                <c:formatCode>_-* #,##0.000_-;\-* #,##0.000_-;_-* "-"??_-;_-@_-</c:formatCode>
                <c:ptCount val="6"/>
                <c:pt idx="0">
                  <c:v>1.3361140579285715</c:v>
                </c:pt>
                <c:pt idx="1">
                  <c:v>1.2079602269872642</c:v>
                </c:pt>
                <c:pt idx="2">
                  <c:v>0.97817278624717185</c:v>
                </c:pt>
                <c:pt idx="3">
                  <c:v>0.7504572949626479</c:v>
                </c:pt>
                <c:pt idx="4">
                  <c:v>0.7504572949626479</c:v>
                </c:pt>
                <c:pt idx="5">
                  <c:v>0.7504572949626479</c:v>
                </c:pt>
              </c:numCache>
            </c:numRef>
          </c:val>
          <c:smooth val="0"/>
          <c:extLst>
            <c:ext xmlns:c16="http://schemas.microsoft.com/office/drawing/2014/chart" uri="{C3380CC4-5D6E-409C-BE32-E72D297353CC}">
              <c16:uniqueId val="{00000002-92C7-46AB-9F20-834CA92CB801}"/>
            </c:ext>
          </c:extLst>
        </c:ser>
        <c:ser>
          <c:idx val="3"/>
          <c:order val="2"/>
          <c:tx>
            <c:v>Capacity target</c:v>
          </c:tx>
          <c:spPr>
            <a:ln w="28575" cap="rnd">
              <a:solidFill>
                <a:schemeClr val="tx1"/>
              </a:solidFill>
              <a:prstDash val="dash"/>
              <a:round/>
            </a:ln>
            <a:effectLst/>
          </c:spPr>
          <c:marker>
            <c:symbol val="none"/>
          </c:marker>
          <c:cat>
            <c:numRef>
              <c:f>Capacity!$C$5:$H$5</c:f>
              <c:numCache>
                <c:formatCode>General</c:formatCode>
                <c:ptCount val="6"/>
                <c:pt idx="0">
                  <c:v>2020</c:v>
                </c:pt>
                <c:pt idx="1">
                  <c:v>2030</c:v>
                </c:pt>
                <c:pt idx="2">
                  <c:v>2040</c:v>
                </c:pt>
                <c:pt idx="3">
                  <c:v>2050</c:v>
                </c:pt>
                <c:pt idx="4">
                  <c:v>2060</c:v>
                </c:pt>
                <c:pt idx="5">
                  <c:v>2070</c:v>
                </c:pt>
              </c:numCache>
            </c:numRef>
          </c:cat>
          <c:val>
            <c:numRef>
              <c:f>Capacity!$K$116:$P$116</c:f>
              <c:numCache>
                <c:formatCode>#,##0.00</c:formatCode>
                <c:ptCount val="6"/>
                <c:pt idx="0">
                  <c:v>1.3361140579285715</c:v>
                </c:pt>
                <c:pt idx="1">
                  <c:v>1.1423078584000561</c:v>
                </c:pt>
                <c:pt idx="2">
                  <c:v>1.0792816824803189</c:v>
                </c:pt>
                <c:pt idx="3">
                  <c:v>1.0368566411407567</c:v>
                </c:pt>
                <c:pt idx="4">
                  <c:v>1.0127803843121654</c:v>
                </c:pt>
                <c:pt idx="5">
                  <c:v>0.99997341300508991</c:v>
                </c:pt>
              </c:numCache>
            </c:numRef>
          </c:val>
          <c:smooth val="0"/>
          <c:extLst>
            <c:ext xmlns:c16="http://schemas.microsoft.com/office/drawing/2014/chart" uri="{C3380CC4-5D6E-409C-BE32-E72D297353CC}">
              <c16:uniqueId val="{00000003-92C7-46AB-9F20-834CA92CB801}"/>
            </c:ext>
          </c:extLst>
        </c:ser>
        <c:dLbls>
          <c:showLegendKey val="0"/>
          <c:showVal val="0"/>
          <c:showCatName val="0"/>
          <c:showSerName val="0"/>
          <c:showPercent val="0"/>
          <c:showBubbleSize val="0"/>
        </c:dLbls>
        <c:smooth val="0"/>
        <c:axId val="1748439327"/>
        <c:axId val="1748427679"/>
      </c:lineChart>
      <c:catAx>
        <c:axId val="17484393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748427679"/>
        <c:crosses val="autoZero"/>
        <c:auto val="1"/>
        <c:lblAlgn val="ctr"/>
        <c:lblOffset val="100"/>
        <c:noMultiLvlLbl val="0"/>
      </c:catAx>
      <c:valAx>
        <c:axId val="174842767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NZ" sz="1400"/>
                  <a:t>Mt CH</a:t>
                </a:r>
                <a:r>
                  <a:rPr lang="en-NZ" sz="1400" baseline="-25000"/>
                  <a:t>4</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74843932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a:t>Net emissions all</a:t>
            </a:r>
            <a:r>
              <a:rPr lang="en-NZ" baseline="0"/>
              <a:t> gases </a:t>
            </a:r>
            <a:r>
              <a:rPr lang="en-NZ"/>
              <a:t>capacity approach (PPP)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1"/>
          <c:order val="0"/>
          <c:tx>
            <c:v>Current target (-24%)</c:v>
          </c:tx>
          <c:spPr>
            <a:ln w="28575" cap="rnd">
              <a:solidFill>
                <a:srgbClr val="00ACD3"/>
              </a:solidFill>
              <a:round/>
            </a:ln>
            <a:effectLst/>
          </c:spPr>
          <c:marker>
            <c:symbol val="none"/>
          </c:marker>
          <c:cat>
            <c:numRef>
              <c:f>Capacity!$C$5:$H$5</c:f>
              <c:numCache>
                <c:formatCode>General</c:formatCode>
                <c:ptCount val="6"/>
                <c:pt idx="0">
                  <c:v>2020</c:v>
                </c:pt>
                <c:pt idx="1">
                  <c:v>2030</c:v>
                </c:pt>
                <c:pt idx="2">
                  <c:v>2040</c:v>
                </c:pt>
                <c:pt idx="3">
                  <c:v>2050</c:v>
                </c:pt>
                <c:pt idx="4">
                  <c:v>2060</c:v>
                </c:pt>
                <c:pt idx="5">
                  <c:v>2070</c:v>
                </c:pt>
              </c:numCache>
            </c:numRef>
          </c:cat>
          <c:val>
            <c:numRef>
              <c:f>Capacity!$C$12:$H$12</c:f>
              <c:numCache>
                <c:formatCode>_-* #,##0.000_-;\-* #,##0.000_-;_-* "-"??_-;_-@_-</c:formatCode>
                <c:ptCount val="6"/>
                <c:pt idx="0">
                  <c:v>72.463734123400002</c:v>
                </c:pt>
                <c:pt idx="1">
                  <c:v>56.885710000933344</c:v>
                </c:pt>
                <c:pt idx="2">
                  <c:v>43.202891000466678</c:v>
                </c:pt>
                <c:pt idx="3">
                  <c:v>29.520072000000006</c:v>
                </c:pt>
                <c:pt idx="4">
                  <c:v>29.520072000000006</c:v>
                </c:pt>
                <c:pt idx="5">
                  <c:v>29.520072000000006</c:v>
                </c:pt>
              </c:numCache>
            </c:numRef>
          </c:val>
          <c:smooth val="0"/>
          <c:extLst>
            <c:ext xmlns:c16="http://schemas.microsoft.com/office/drawing/2014/chart" uri="{C3380CC4-5D6E-409C-BE32-E72D297353CC}">
              <c16:uniqueId val="{00000001-E3D7-4B9B-B397-1F62866A2841}"/>
            </c:ext>
          </c:extLst>
        </c:ser>
        <c:ser>
          <c:idx val="2"/>
          <c:order val="1"/>
          <c:tx>
            <c:v>Current target (-47%)</c:v>
          </c:tx>
          <c:spPr>
            <a:ln w="28575" cap="rnd">
              <a:solidFill>
                <a:srgbClr val="6AC17B"/>
              </a:solidFill>
              <a:round/>
            </a:ln>
            <a:effectLst/>
          </c:spPr>
          <c:marker>
            <c:symbol val="none"/>
          </c:marker>
          <c:cat>
            <c:numRef>
              <c:f>Capacity!$C$5:$H$5</c:f>
              <c:numCache>
                <c:formatCode>General</c:formatCode>
                <c:ptCount val="6"/>
                <c:pt idx="0">
                  <c:v>2020</c:v>
                </c:pt>
                <c:pt idx="1">
                  <c:v>2030</c:v>
                </c:pt>
                <c:pt idx="2">
                  <c:v>2040</c:v>
                </c:pt>
                <c:pt idx="3">
                  <c:v>2050</c:v>
                </c:pt>
                <c:pt idx="4">
                  <c:v>2060</c:v>
                </c:pt>
                <c:pt idx="5">
                  <c:v>2070</c:v>
                </c:pt>
              </c:numCache>
            </c:numRef>
          </c:cat>
          <c:val>
            <c:numRef>
              <c:f>Capacity!$C$13:$H$13</c:f>
              <c:numCache>
                <c:formatCode>_-* #,##0.000_-;\-* #,##0.000_-;_-* "-"??_-;_-@_-</c:formatCode>
                <c:ptCount val="6"/>
                <c:pt idx="0">
                  <c:v>72.463734123400002</c:v>
                </c:pt>
                <c:pt idx="1">
                  <c:v>56.885710000933344</c:v>
                </c:pt>
                <c:pt idx="2">
                  <c:v>38.736038000466671</c:v>
                </c:pt>
                <c:pt idx="3">
                  <c:v>20.586366000000002</c:v>
                </c:pt>
                <c:pt idx="4">
                  <c:v>20.586366000000002</c:v>
                </c:pt>
                <c:pt idx="5">
                  <c:v>20.586366000000002</c:v>
                </c:pt>
              </c:numCache>
            </c:numRef>
          </c:val>
          <c:smooth val="0"/>
          <c:extLst>
            <c:ext xmlns:c16="http://schemas.microsoft.com/office/drawing/2014/chart" uri="{C3380CC4-5D6E-409C-BE32-E72D297353CC}">
              <c16:uniqueId val="{00000002-E3D7-4B9B-B397-1F62866A2841}"/>
            </c:ext>
          </c:extLst>
        </c:ser>
        <c:ser>
          <c:idx val="0"/>
          <c:order val="2"/>
          <c:tx>
            <c:v>Capacity approach target</c:v>
          </c:tx>
          <c:spPr>
            <a:ln w="28575" cap="rnd">
              <a:solidFill>
                <a:srgbClr val="003A5D"/>
              </a:solidFill>
              <a:prstDash val="dash"/>
              <a:round/>
            </a:ln>
            <a:effectLst/>
          </c:spPr>
          <c:marker>
            <c:symbol val="none"/>
          </c:marker>
          <c:val>
            <c:numRef>
              <c:f>Capacity!$K$117:$P$117</c:f>
              <c:numCache>
                <c:formatCode>#,##0.00</c:formatCode>
                <c:ptCount val="6"/>
                <c:pt idx="0">
                  <c:v>72.463734123400002</c:v>
                </c:pt>
                <c:pt idx="1">
                  <c:v>34.036563501329248</c:v>
                </c:pt>
                <c:pt idx="2">
                  <c:v>11.46638991986341</c:v>
                </c:pt>
                <c:pt idx="3">
                  <c:v>-3.0795220711724198</c:v>
                </c:pt>
                <c:pt idx="4">
                  <c:v>-8.1568944479906094</c:v>
                </c:pt>
                <c:pt idx="5">
                  <c:v>-10.813094856078365</c:v>
                </c:pt>
              </c:numCache>
            </c:numRef>
          </c:val>
          <c:smooth val="0"/>
          <c:extLst>
            <c:ext xmlns:c16="http://schemas.microsoft.com/office/drawing/2014/chart" uri="{C3380CC4-5D6E-409C-BE32-E72D297353CC}">
              <c16:uniqueId val="{00000000-2A70-4219-A6C0-912784CFD09D}"/>
            </c:ext>
          </c:extLst>
        </c:ser>
        <c:dLbls>
          <c:showLegendKey val="0"/>
          <c:showVal val="0"/>
          <c:showCatName val="0"/>
          <c:showSerName val="0"/>
          <c:showPercent val="0"/>
          <c:showBubbleSize val="0"/>
        </c:dLbls>
        <c:smooth val="0"/>
        <c:axId val="1711023535"/>
        <c:axId val="1711039759"/>
      </c:lineChart>
      <c:catAx>
        <c:axId val="17110235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711039759"/>
        <c:crosses val="autoZero"/>
        <c:auto val="1"/>
        <c:lblAlgn val="ctr"/>
        <c:lblOffset val="100"/>
        <c:noMultiLvlLbl val="0"/>
      </c:catAx>
      <c:valAx>
        <c:axId val="171103975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NZ" sz="1400"/>
                  <a:t>Mt CO</a:t>
                </a:r>
                <a:r>
                  <a:rPr lang="en-NZ" sz="1400" baseline="-25000"/>
                  <a:t>2</a:t>
                </a:r>
                <a:r>
                  <a:rPr lang="en-NZ" sz="1400"/>
                  <a:t>e</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71102353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a:t>All other (non bCH4) gas</a:t>
            </a:r>
            <a:r>
              <a:rPr lang="en-NZ" baseline="0"/>
              <a:t> emissions capacity approach (PPP)</a:t>
            </a:r>
            <a:endParaRPr lang="en-NZ"/>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1"/>
          <c:order val="0"/>
          <c:tx>
            <c:v>Current target</c:v>
          </c:tx>
          <c:spPr>
            <a:ln w="28575" cap="rnd">
              <a:solidFill>
                <a:srgbClr val="00ACD3"/>
              </a:solidFill>
              <a:prstDash val="solid"/>
              <a:round/>
            </a:ln>
            <a:effectLst/>
          </c:spPr>
          <c:marker>
            <c:symbol val="none"/>
          </c:marker>
          <c:cat>
            <c:numRef>
              <c:f>Capacity!$C$5:$H$5</c:f>
              <c:numCache>
                <c:formatCode>General</c:formatCode>
                <c:ptCount val="6"/>
                <c:pt idx="0">
                  <c:v>2020</c:v>
                </c:pt>
                <c:pt idx="1">
                  <c:v>2030</c:v>
                </c:pt>
                <c:pt idx="2">
                  <c:v>2040</c:v>
                </c:pt>
                <c:pt idx="3">
                  <c:v>2050</c:v>
                </c:pt>
                <c:pt idx="4">
                  <c:v>2060</c:v>
                </c:pt>
                <c:pt idx="5">
                  <c:v>2070</c:v>
                </c:pt>
              </c:numCache>
            </c:numRef>
          </c:cat>
          <c:val>
            <c:numRef>
              <c:f>Capacity!$C$7:$H$7</c:f>
              <c:numCache>
                <c:formatCode>_-* #,##0.000_-;\-* #,##0.000_-;_-* "-"??_-;_-@_-</c:formatCode>
                <c:ptCount val="6"/>
                <c:pt idx="0">
                  <c:v>35.768890501400001</c:v>
                </c:pt>
                <c:pt idx="1">
                  <c:v>23.845927000933337</c:v>
                </c:pt>
                <c:pt idx="2">
                  <c:v>11.92296350046667</c:v>
                </c:pt>
                <c:pt idx="3">
                  <c:v>0</c:v>
                </c:pt>
                <c:pt idx="4">
                  <c:v>0</c:v>
                </c:pt>
                <c:pt idx="5">
                  <c:v>0</c:v>
                </c:pt>
              </c:numCache>
            </c:numRef>
          </c:val>
          <c:smooth val="0"/>
          <c:extLst>
            <c:ext xmlns:c16="http://schemas.microsoft.com/office/drawing/2014/chart" uri="{C3380CC4-5D6E-409C-BE32-E72D297353CC}">
              <c16:uniqueId val="{00000001-E87F-4569-99F0-023D1EDCB8B9}"/>
            </c:ext>
          </c:extLst>
        </c:ser>
        <c:ser>
          <c:idx val="0"/>
          <c:order val="1"/>
          <c:tx>
            <c:v>Capacity target</c:v>
          </c:tx>
          <c:spPr>
            <a:ln w="28575" cap="rnd">
              <a:solidFill>
                <a:schemeClr val="tx1"/>
              </a:solidFill>
              <a:prstDash val="dash"/>
              <a:round/>
            </a:ln>
            <a:effectLst/>
          </c:spPr>
          <c:marker>
            <c:symbol val="none"/>
          </c:marker>
          <c:val>
            <c:numRef>
              <c:f>Capacity!$K$114:$P$114</c:f>
              <c:numCache>
                <c:formatCode>#,##0.00</c:formatCode>
                <c:ptCount val="6"/>
                <c:pt idx="0">
                  <c:v>35.768890501400001</c:v>
                </c:pt>
                <c:pt idx="1">
                  <c:v>-0.69491646878555713</c:v>
                </c:pt>
                <c:pt idx="2">
                  <c:v>-22.479578249663149</c:v>
                </c:pt>
                <c:pt idx="3">
                  <c:v>-36.284710529923977</c:v>
                </c:pt>
                <c:pt idx="4">
                  <c:v>-41.503883483167051</c:v>
                </c:pt>
                <c:pt idx="5">
                  <c:v>-44.166181242838483</c:v>
                </c:pt>
              </c:numCache>
            </c:numRef>
          </c:val>
          <c:smooth val="0"/>
          <c:extLst>
            <c:ext xmlns:c16="http://schemas.microsoft.com/office/drawing/2014/chart" uri="{C3380CC4-5D6E-409C-BE32-E72D297353CC}">
              <c16:uniqueId val="{00000000-2F6B-4FEA-A809-774F641333F4}"/>
            </c:ext>
          </c:extLst>
        </c:ser>
        <c:dLbls>
          <c:showLegendKey val="0"/>
          <c:showVal val="0"/>
          <c:showCatName val="0"/>
          <c:showSerName val="0"/>
          <c:showPercent val="0"/>
          <c:showBubbleSize val="0"/>
        </c:dLbls>
        <c:smooth val="0"/>
        <c:axId val="1511246095"/>
        <c:axId val="1511240687"/>
      </c:lineChart>
      <c:catAx>
        <c:axId val="15112460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511240687"/>
        <c:crosses val="autoZero"/>
        <c:auto val="1"/>
        <c:lblAlgn val="ctr"/>
        <c:lblOffset val="100"/>
        <c:noMultiLvlLbl val="0"/>
      </c:catAx>
      <c:valAx>
        <c:axId val="151124068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sz="1400"/>
                  <a:t>Mt CO</a:t>
                </a:r>
                <a:r>
                  <a:rPr lang="en-NZ" sz="1400" baseline="-25000"/>
                  <a:t>2</a:t>
                </a:r>
                <a:r>
                  <a:rPr lang="en-NZ" sz="1400"/>
                  <a:t>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511246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sz="1400" b="0" i="0" baseline="0">
                <a:effectLst/>
              </a:rPr>
              <a:t>Biogenic methane emissions capacity approach (PPP)</a:t>
            </a:r>
            <a:endParaRPr lang="en-NZ" sz="1400">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'Equal per capita'!$B$29</c:f>
              <c:strCache>
                <c:ptCount val="1"/>
                <c:pt idx="0">
                  <c:v>Current NZ target (-24%)</c:v>
                </c:pt>
              </c:strCache>
            </c:strRef>
          </c:tx>
          <c:spPr>
            <a:ln w="28575" cap="rnd">
              <a:solidFill>
                <a:srgbClr val="00ACD3"/>
              </a:solidFill>
              <a:round/>
            </a:ln>
            <a:effectLst/>
          </c:spPr>
          <c:marker>
            <c:symbol val="none"/>
          </c:marker>
          <c:cat>
            <c:numRef>
              <c:f>Capacity!$C$5:$H$5</c:f>
              <c:numCache>
                <c:formatCode>General</c:formatCode>
                <c:ptCount val="6"/>
                <c:pt idx="0">
                  <c:v>2020</c:v>
                </c:pt>
                <c:pt idx="1">
                  <c:v>2030</c:v>
                </c:pt>
                <c:pt idx="2">
                  <c:v>2040</c:v>
                </c:pt>
                <c:pt idx="3">
                  <c:v>2050</c:v>
                </c:pt>
                <c:pt idx="4">
                  <c:v>2060</c:v>
                </c:pt>
                <c:pt idx="5">
                  <c:v>2070</c:v>
                </c:pt>
              </c:numCache>
            </c:numRef>
          </c:cat>
          <c:val>
            <c:numRef>
              <c:f>Capacity!$C$20:$H$20</c:f>
              <c:numCache>
                <c:formatCode>_-* #,##0.00_-;\-* #,##0.00_-;_-* "-"??_-;_-@_-</c:formatCode>
                <c:ptCount val="6"/>
                <c:pt idx="0">
                  <c:v>1310.5301293571429</c:v>
                </c:pt>
                <c:pt idx="1">
                  <c:v>1179.9922500000002</c:v>
                </c:pt>
                <c:pt idx="2">
                  <c:v>1117.140267857143</c:v>
                </c:pt>
                <c:pt idx="3">
                  <c:v>1054.2882857142858</c:v>
                </c:pt>
                <c:pt idx="4">
                  <c:v>1054.2882857142858</c:v>
                </c:pt>
                <c:pt idx="5">
                  <c:v>1054.2882857142858</c:v>
                </c:pt>
              </c:numCache>
            </c:numRef>
          </c:val>
          <c:smooth val="0"/>
          <c:extLst>
            <c:ext xmlns:c16="http://schemas.microsoft.com/office/drawing/2014/chart" uri="{C3380CC4-5D6E-409C-BE32-E72D297353CC}">
              <c16:uniqueId val="{00000000-73D7-4D6A-B5A9-13CDE887AD4D}"/>
            </c:ext>
          </c:extLst>
        </c:ser>
        <c:ser>
          <c:idx val="1"/>
          <c:order val="1"/>
          <c:tx>
            <c:strRef>
              <c:f>'Equal per capita'!$B$30</c:f>
              <c:strCache>
                <c:ptCount val="1"/>
                <c:pt idx="0">
                  <c:v>Current NZ target (-47%)</c:v>
                </c:pt>
              </c:strCache>
            </c:strRef>
          </c:tx>
          <c:spPr>
            <a:ln w="28575" cap="rnd">
              <a:solidFill>
                <a:srgbClr val="6AC17B"/>
              </a:solidFill>
              <a:round/>
            </a:ln>
            <a:effectLst/>
          </c:spPr>
          <c:marker>
            <c:symbol val="none"/>
          </c:marker>
          <c:cat>
            <c:numRef>
              <c:f>Capacity!$C$5:$H$5</c:f>
              <c:numCache>
                <c:formatCode>General</c:formatCode>
                <c:ptCount val="6"/>
                <c:pt idx="0">
                  <c:v>2020</c:v>
                </c:pt>
                <c:pt idx="1">
                  <c:v>2030</c:v>
                </c:pt>
                <c:pt idx="2">
                  <c:v>2040</c:v>
                </c:pt>
                <c:pt idx="3">
                  <c:v>2050</c:v>
                </c:pt>
                <c:pt idx="4">
                  <c:v>2060</c:v>
                </c:pt>
                <c:pt idx="5">
                  <c:v>2070</c:v>
                </c:pt>
              </c:numCache>
            </c:numRef>
          </c:cat>
          <c:val>
            <c:numRef>
              <c:f>Capacity!$C$21:$H$21</c:f>
              <c:numCache>
                <c:formatCode>_-* #,##0.00_-;\-* #,##0.00_-;_-* "-"??_-;_-@_-</c:formatCode>
                <c:ptCount val="6"/>
                <c:pt idx="0">
                  <c:v>1310.5301293571429</c:v>
                </c:pt>
                <c:pt idx="1">
                  <c:v>1179.9922500000002</c:v>
                </c:pt>
                <c:pt idx="2">
                  <c:v>957.60980357142864</c:v>
                </c:pt>
                <c:pt idx="3">
                  <c:v>735.22735714285727</c:v>
                </c:pt>
                <c:pt idx="4">
                  <c:v>735.22735714285727</c:v>
                </c:pt>
                <c:pt idx="5">
                  <c:v>735.22735714285727</c:v>
                </c:pt>
              </c:numCache>
            </c:numRef>
          </c:val>
          <c:smooth val="0"/>
          <c:extLst>
            <c:ext xmlns:c16="http://schemas.microsoft.com/office/drawing/2014/chart" uri="{C3380CC4-5D6E-409C-BE32-E72D297353CC}">
              <c16:uniqueId val="{00000001-73D7-4D6A-B5A9-13CDE887AD4D}"/>
            </c:ext>
          </c:extLst>
        </c:ser>
        <c:ser>
          <c:idx val="2"/>
          <c:order val="2"/>
          <c:tx>
            <c:strRef>
              <c:f>Capacity!$A$18</c:f>
              <c:strCache>
                <c:ptCount val="1"/>
                <c:pt idx="0">
                  <c:v>Capacity target</c:v>
                </c:pt>
              </c:strCache>
            </c:strRef>
          </c:tx>
          <c:spPr>
            <a:ln w="28575" cap="rnd">
              <a:solidFill>
                <a:schemeClr val="tx1"/>
              </a:solidFill>
              <a:prstDash val="dash"/>
              <a:round/>
            </a:ln>
            <a:effectLst/>
          </c:spPr>
          <c:marker>
            <c:symbol val="none"/>
          </c:marker>
          <c:cat>
            <c:numRef>
              <c:f>Capacity!$C$5:$H$5</c:f>
              <c:numCache>
                <c:formatCode>General</c:formatCode>
                <c:ptCount val="6"/>
                <c:pt idx="0">
                  <c:v>2020</c:v>
                </c:pt>
                <c:pt idx="1">
                  <c:v>2030</c:v>
                </c:pt>
                <c:pt idx="2">
                  <c:v>2040</c:v>
                </c:pt>
                <c:pt idx="3">
                  <c:v>2050</c:v>
                </c:pt>
                <c:pt idx="4">
                  <c:v>2060</c:v>
                </c:pt>
                <c:pt idx="5">
                  <c:v>2070</c:v>
                </c:pt>
              </c:numCache>
            </c:numRef>
          </c:cat>
          <c:val>
            <c:numRef>
              <c:f>Capacity!$C$22:$H$22</c:f>
              <c:numCache>
                <c:formatCode>General</c:formatCode>
                <c:ptCount val="6"/>
                <c:pt idx="0">
                  <c:v>1310.5301293571429</c:v>
                </c:pt>
                <c:pt idx="1">
                  <c:v>1240.4099989326717</c:v>
                </c:pt>
                <c:pt idx="2">
                  <c:v>1212.3560060545199</c:v>
                </c:pt>
                <c:pt idx="3">
                  <c:v>1185.8995878125556</c:v>
                </c:pt>
                <c:pt idx="4">
                  <c:v>1190.9638941134449</c:v>
                </c:pt>
                <c:pt idx="5">
                  <c:v>1191.1816566700045</c:v>
                </c:pt>
              </c:numCache>
            </c:numRef>
          </c:val>
          <c:smooth val="0"/>
          <c:extLst>
            <c:ext xmlns:c16="http://schemas.microsoft.com/office/drawing/2014/chart" uri="{C3380CC4-5D6E-409C-BE32-E72D297353CC}">
              <c16:uniqueId val="{00000002-73D7-4D6A-B5A9-13CDE887AD4D}"/>
            </c:ext>
          </c:extLst>
        </c:ser>
        <c:dLbls>
          <c:showLegendKey val="0"/>
          <c:showVal val="0"/>
          <c:showCatName val="0"/>
          <c:showSerName val="0"/>
          <c:showPercent val="0"/>
          <c:showBubbleSize val="0"/>
        </c:dLbls>
        <c:smooth val="0"/>
        <c:axId val="927570479"/>
        <c:axId val="927567151"/>
      </c:lineChart>
      <c:catAx>
        <c:axId val="92757047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927567151"/>
        <c:crosses val="autoZero"/>
        <c:auto val="1"/>
        <c:lblAlgn val="ctr"/>
        <c:lblOffset val="100"/>
        <c:noMultiLvlLbl val="0"/>
      </c:catAx>
      <c:valAx>
        <c:axId val="927567151"/>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NZ" sz="1400"/>
                  <a:t>Kt CH</a:t>
                </a:r>
                <a:r>
                  <a:rPr lang="en-NZ" sz="1400" baseline="-25000"/>
                  <a:t>4</a:t>
                </a:r>
                <a:endParaRPr lang="en-NZ" sz="1400"/>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2757047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a:t>Net emissions per capita 1.5</a:t>
            </a:r>
            <a:r>
              <a:rPr lang="en-NZ" baseline="0"/>
              <a:t> degree pathways</a:t>
            </a:r>
            <a:r>
              <a:rPr lang="en-NZ"/>
              <a:t> and NZ target </a:t>
            </a:r>
          </a:p>
        </c:rich>
      </c:tx>
      <c:layout>
        <c:manualLayout>
          <c:xMode val="edge"/>
          <c:yMode val="edge"/>
          <c:x val="0.24752532308719211"/>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2"/>
          <c:order val="0"/>
          <c:tx>
            <c:strRef>
              <c:f>'Equal per capita'!$B$29</c:f>
              <c:strCache>
                <c:ptCount val="1"/>
                <c:pt idx="0">
                  <c:v>Current NZ target (-24%)</c:v>
                </c:pt>
              </c:strCache>
            </c:strRef>
          </c:tx>
          <c:spPr>
            <a:ln w="28575" cap="rnd">
              <a:solidFill>
                <a:srgbClr val="00ACD3"/>
              </a:solidFill>
              <a:prstDash val="solid"/>
              <a:round/>
            </a:ln>
            <a:effectLst/>
          </c:spPr>
          <c:marker>
            <c:symbol val="none"/>
          </c:marker>
          <c:cat>
            <c:numRef>
              <c:f>'Equal per capita'!$H$1:$M$1</c:f>
              <c:numCache>
                <c:formatCode>General</c:formatCode>
                <c:ptCount val="6"/>
                <c:pt idx="0">
                  <c:v>2020</c:v>
                </c:pt>
                <c:pt idx="1">
                  <c:v>2030</c:v>
                </c:pt>
                <c:pt idx="2">
                  <c:v>2040</c:v>
                </c:pt>
                <c:pt idx="3">
                  <c:v>2050</c:v>
                </c:pt>
                <c:pt idx="4">
                  <c:v>2060</c:v>
                </c:pt>
                <c:pt idx="5">
                  <c:v>2070</c:v>
                </c:pt>
              </c:numCache>
            </c:numRef>
          </c:cat>
          <c:val>
            <c:numRef>
              <c:f>'Equal per capita'!$H$29:$M$29</c:f>
              <c:numCache>
                <c:formatCode>0.00</c:formatCode>
                <c:ptCount val="6"/>
                <c:pt idx="0" formatCode="_-* #,##0.00_-;\-* #,##0.00_-;_-* &quot;-&quot;??_-;_-@_-">
                  <c:v>14.235930636006444</c:v>
                </c:pt>
                <c:pt idx="1">
                  <c:v>10.022066936373669</c:v>
                </c:pt>
                <c:pt idx="2">
                  <c:v>7.2868223356865895</c:v>
                </c:pt>
                <c:pt idx="3">
                  <c:v>4.5515777349995101</c:v>
                </c:pt>
                <c:pt idx="4">
                  <c:v>4.5515777349995101</c:v>
                </c:pt>
                <c:pt idx="5">
                  <c:v>4.5515777349995101</c:v>
                </c:pt>
              </c:numCache>
            </c:numRef>
          </c:val>
          <c:smooth val="0"/>
          <c:extLst>
            <c:ext xmlns:c16="http://schemas.microsoft.com/office/drawing/2014/chart" uri="{C3380CC4-5D6E-409C-BE32-E72D297353CC}">
              <c16:uniqueId val="{00000000-DAC7-42CF-809E-E031810996AC}"/>
            </c:ext>
          </c:extLst>
        </c:ser>
        <c:ser>
          <c:idx val="3"/>
          <c:order val="1"/>
          <c:tx>
            <c:strRef>
              <c:f>'Equal per capita'!$B$30</c:f>
              <c:strCache>
                <c:ptCount val="1"/>
                <c:pt idx="0">
                  <c:v>Current NZ target (-47%)</c:v>
                </c:pt>
              </c:strCache>
            </c:strRef>
          </c:tx>
          <c:spPr>
            <a:ln w="28575" cap="rnd">
              <a:solidFill>
                <a:srgbClr val="6AC17B"/>
              </a:solidFill>
              <a:prstDash val="solid"/>
              <a:round/>
            </a:ln>
            <a:effectLst/>
          </c:spPr>
          <c:marker>
            <c:symbol val="none"/>
          </c:marker>
          <c:cat>
            <c:numRef>
              <c:f>'Equal per capita'!$H$1:$M$1</c:f>
              <c:numCache>
                <c:formatCode>General</c:formatCode>
                <c:ptCount val="6"/>
                <c:pt idx="0">
                  <c:v>2020</c:v>
                </c:pt>
                <c:pt idx="1">
                  <c:v>2030</c:v>
                </c:pt>
                <c:pt idx="2">
                  <c:v>2040</c:v>
                </c:pt>
                <c:pt idx="3">
                  <c:v>2050</c:v>
                </c:pt>
                <c:pt idx="4">
                  <c:v>2060</c:v>
                </c:pt>
                <c:pt idx="5">
                  <c:v>2070</c:v>
                </c:pt>
              </c:numCache>
            </c:numRef>
          </c:cat>
          <c:val>
            <c:numRef>
              <c:f>'Equal per capita'!$H$30:$M$30</c:f>
              <c:numCache>
                <c:formatCode>0.00</c:formatCode>
                <c:ptCount val="6"/>
                <c:pt idx="0" formatCode="_-* #,##0.00_-;\-* #,##0.00_-;_-* &quot;-&quot;??_-;_-@_-">
                  <c:v>14.235930636006444</c:v>
                </c:pt>
                <c:pt idx="1">
                  <c:v>10.022066936373669</c:v>
                </c:pt>
                <c:pt idx="2">
                  <c:v>6.5980967573642948</c:v>
                </c:pt>
                <c:pt idx="3">
                  <c:v>3.174126578354922</c:v>
                </c:pt>
                <c:pt idx="4">
                  <c:v>3.174126578354922</c:v>
                </c:pt>
                <c:pt idx="5">
                  <c:v>3.174126578354922</c:v>
                </c:pt>
              </c:numCache>
            </c:numRef>
          </c:val>
          <c:smooth val="0"/>
          <c:extLst>
            <c:ext xmlns:c16="http://schemas.microsoft.com/office/drawing/2014/chart" uri="{C3380CC4-5D6E-409C-BE32-E72D297353CC}">
              <c16:uniqueId val="{00000001-DAC7-42CF-809E-E031810996AC}"/>
            </c:ext>
          </c:extLst>
        </c:ser>
        <c:ser>
          <c:idx val="0"/>
          <c:order val="2"/>
          <c:tx>
            <c:v>Equal per capita target</c:v>
          </c:tx>
          <c:spPr>
            <a:ln w="28575" cap="rnd">
              <a:solidFill>
                <a:srgbClr val="003A5D"/>
              </a:solidFill>
              <a:prstDash val="dash"/>
              <a:round/>
            </a:ln>
            <a:effectLst/>
          </c:spPr>
          <c:marker>
            <c:symbol val="none"/>
          </c:marker>
          <c:val>
            <c:numRef>
              <c:f>'Equal per capita'!$H$26:$M$26</c:f>
              <c:numCache>
                <c:formatCode>General</c:formatCode>
                <c:ptCount val="6"/>
                <c:pt idx="0">
                  <c:v>7.1026911976059131</c:v>
                </c:pt>
                <c:pt idx="1">
                  <c:v>3.7559559576428811</c:v>
                </c:pt>
                <c:pt idx="2">
                  <c:v>1.9844081312432214</c:v>
                </c:pt>
                <c:pt idx="3">
                  <c:v>0.94579298039163073</c:v>
                </c:pt>
                <c:pt idx="4">
                  <c:v>0.5980731411972976</c:v>
                </c:pt>
                <c:pt idx="5">
                  <c:v>0.42431187305601742</c:v>
                </c:pt>
              </c:numCache>
            </c:numRef>
          </c:val>
          <c:smooth val="0"/>
          <c:extLst>
            <c:ext xmlns:c16="http://schemas.microsoft.com/office/drawing/2014/chart" uri="{C3380CC4-5D6E-409C-BE32-E72D297353CC}">
              <c16:uniqueId val="{00000002-DAC7-42CF-809E-E031810996AC}"/>
            </c:ext>
          </c:extLst>
        </c:ser>
        <c:dLbls>
          <c:showLegendKey val="0"/>
          <c:showVal val="0"/>
          <c:showCatName val="0"/>
          <c:showSerName val="0"/>
          <c:showPercent val="0"/>
          <c:showBubbleSize val="0"/>
        </c:dLbls>
        <c:smooth val="0"/>
        <c:axId val="1385949087"/>
        <c:axId val="1385954079"/>
      </c:lineChart>
      <c:catAx>
        <c:axId val="13859490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385954079"/>
        <c:crosses val="autoZero"/>
        <c:auto val="1"/>
        <c:lblAlgn val="ctr"/>
        <c:lblOffset val="100"/>
        <c:noMultiLvlLbl val="0"/>
      </c:catAx>
      <c:valAx>
        <c:axId val="138595407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NZ" sz="1400"/>
                  <a:t>t CO</a:t>
                </a:r>
                <a:r>
                  <a:rPr lang="en-NZ" sz="1400" baseline="-25000"/>
                  <a:t>2</a:t>
                </a:r>
                <a:r>
                  <a:rPr lang="en-NZ" sz="1400"/>
                  <a:t>e/person</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3859490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a:t>Biogenic methane emissions per capita 1.5 degree pathways and current 2050 target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'Equal per capita'!$B$14</c:f>
              <c:strCache>
                <c:ptCount val="1"/>
                <c:pt idx="0">
                  <c:v>Current NZ target (-24%)</c:v>
                </c:pt>
              </c:strCache>
            </c:strRef>
          </c:tx>
          <c:spPr>
            <a:ln w="28575" cap="rnd">
              <a:solidFill>
                <a:srgbClr val="00ACD3"/>
              </a:solidFill>
              <a:round/>
            </a:ln>
            <a:effectLst/>
          </c:spPr>
          <c:marker>
            <c:symbol val="none"/>
          </c:marker>
          <c:cat>
            <c:numRef>
              <c:f>'Equal per capita'!$H$1:$M$1</c:f>
              <c:numCache>
                <c:formatCode>General</c:formatCode>
                <c:ptCount val="6"/>
                <c:pt idx="0">
                  <c:v>2020</c:v>
                </c:pt>
                <c:pt idx="1">
                  <c:v>2030</c:v>
                </c:pt>
                <c:pt idx="2">
                  <c:v>2040</c:v>
                </c:pt>
                <c:pt idx="3">
                  <c:v>2050</c:v>
                </c:pt>
                <c:pt idx="4">
                  <c:v>2060</c:v>
                </c:pt>
                <c:pt idx="5">
                  <c:v>2070</c:v>
                </c:pt>
              </c:numCache>
            </c:numRef>
          </c:cat>
          <c:val>
            <c:numRef>
              <c:f>'Equal per capita'!$H$14:$M$14</c:f>
              <c:numCache>
                <c:formatCode>General</c:formatCode>
                <c:ptCount val="6"/>
                <c:pt idx="0">
                  <c:v>7.2089198110093911</c:v>
                </c:pt>
                <c:pt idx="1">
                  <c:v>6.075723243839648</c:v>
                </c:pt>
                <c:pt idx="2" formatCode="0.00">
                  <c:v>5.3136504894195795</c:v>
                </c:pt>
                <c:pt idx="3" formatCode="0.00">
                  <c:v>4.5515777349995101</c:v>
                </c:pt>
                <c:pt idx="4" formatCode="0.00">
                  <c:v>4.5515777349995101</c:v>
                </c:pt>
                <c:pt idx="5" formatCode="0.00">
                  <c:v>4.5515777349995101</c:v>
                </c:pt>
              </c:numCache>
            </c:numRef>
          </c:val>
          <c:smooth val="0"/>
          <c:extLst>
            <c:ext xmlns:c16="http://schemas.microsoft.com/office/drawing/2014/chart" uri="{C3380CC4-5D6E-409C-BE32-E72D297353CC}">
              <c16:uniqueId val="{00000000-DBE0-45C1-9B83-CCCBCC73B2B3}"/>
            </c:ext>
          </c:extLst>
        </c:ser>
        <c:ser>
          <c:idx val="1"/>
          <c:order val="1"/>
          <c:tx>
            <c:strRef>
              <c:f>'Equal per capita'!$B$15</c:f>
              <c:strCache>
                <c:ptCount val="1"/>
                <c:pt idx="0">
                  <c:v>Current NZ target (-47%)</c:v>
                </c:pt>
              </c:strCache>
            </c:strRef>
          </c:tx>
          <c:spPr>
            <a:ln w="28575" cap="rnd">
              <a:solidFill>
                <a:srgbClr val="6AC17B"/>
              </a:solidFill>
              <a:round/>
            </a:ln>
            <a:effectLst/>
          </c:spPr>
          <c:marker>
            <c:symbol val="none"/>
          </c:marker>
          <c:cat>
            <c:numRef>
              <c:f>'Equal per capita'!$H$1:$M$1</c:f>
              <c:numCache>
                <c:formatCode>General</c:formatCode>
                <c:ptCount val="6"/>
                <c:pt idx="0">
                  <c:v>2020</c:v>
                </c:pt>
                <c:pt idx="1">
                  <c:v>2030</c:v>
                </c:pt>
                <c:pt idx="2">
                  <c:v>2040</c:v>
                </c:pt>
                <c:pt idx="3">
                  <c:v>2050</c:v>
                </c:pt>
                <c:pt idx="4">
                  <c:v>2060</c:v>
                </c:pt>
                <c:pt idx="5">
                  <c:v>2070</c:v>
                </c:pt>
              </c:numCache>
            </c:numRef>
          </c:cat>
          <c:val>
            <c:numRef>
              <c:f>'Equal per capita'!$H$15:$M$15</c:f>
              <c:numCache>
                <c:formatCode>General</c:formatCode>
                <c:ptCount val="6"/>
                <c:pt idx="0">
                  <c:v>7.2089198110093911</c:v>
                </c:pt>
                <c:pt idx="1">
                  <c:v>6.075723243839648</c:v>
                </c:pt>
                <c:pt idx="2" formatCode="0.00">
                  <c:v>4.6249249110972848</c:v>
                </c:pt>
                <c:pt idx="3" formatCode="0.00">
                  <c:v>3.174126578354922</c:v>
                </c:pt>
                <c:pt idx="4" formatCode="0.00">
                  <c:v>3.174126578354922</c:v>
                </c:pt>
                <c:pt idx="5" formatCode="0.00">
                  <c:v>3.174126578354922</c:v>
                </c:pt>
              </c:numCache>
            </c:numRef>
          </c:val>
          <c:smooth val="0"/>
          <c:extLst>
            <c:ext xmlns:c16="http://schemas.microsoft.com/office/drawing/2014/chart" uri="{C3380CC4-5D6E-409C-BE32-E72D297353CC}">
              <c16:uniqueId val="{00000001-DBE0-45C1-9B83-CCCBCC73B2B3}"/>
            </c:ext>
          </c:extLst>
        </c:ser>
        <c:ser>
          <c:idx val="2"/>
          <c:order val="2"/>
          <c:tx>
            <c:v>Equal per capita target</c:v>
          </c:tx>
          <c:spPr>
            <a:ln w="28575" cap="rnd">
              <a:solidFill>
                <a:schemeClr val="tx1"/>
              </a:solidFill>
              <a:prstDash val="dash"/>
              <a:round/>
            </a:ln>
            <a:effectLst/>
          </c:spPr>
          <c:marker>
            <c:symbol val="none"/>
          </c:marker>
          <c:cat>
            <c:numRef>
              <c:f>'Equal per capita'!$H$1:$M$1</c:f>
              <c:numCache>
                <c:formatCode>General</c:formatCode>
                <c:ptCount val="6"/>
                <c:pt idx="0">
                  <c:v>2020</c:v>
                </c:pt>
                <c:pt idx="1">
                  <c:v>2030</c:v>
                </c:pt>
                <c:pt idx="2">
                  <c:v>2040</c:v>
                </c:pt>
                <c:pt idx="3">
                  <c:v>2050</c:v>
                </c:pt>
                <c:pt idx="4">
                  <c:v>2060</c:v>
                </c:pt>
                <c:pt idx="5">
                  <c:v>2070</c:v>
                </c:pt>
              </c:numCache>
            </c:numRef>
          </c:cat>
          <c:val>
            <c:numRef>
              <c:f>'Equal per capita'!$H$11:$M$11</c:f>
              <c:numCache>
                <c:formatCode>General</c:formatCode>
                <c:ptCount val="6"/>
                <c:pt idx="0">
                  <c:v>0.81191563040807091</c:v>
                </c:pt>
                <c:pt idx="1">
                  <c:v>0.60656006208813351</c:v>
                </c:pt>
                <c:pt idx="2">
                  <c:v>0.51668939467615849</c:v>
                </c:pt>
                <c:pt idx="3">
                  <c:v>0.44675751885366144</c:v>
                </c:pt>
                <c:pt idx="4">
                  <c:v>0.44596470053679754</c:v>
                </c:pt>
                <c:pt idx="5">
                  <c:v>0.44339224595145532</c:v>
                </c:pt>
              </c:numCache>
            </c:numRef>
          </c:val>
          <c:smooth val="0"/>
          <c:extLst>
            <c:ext xmlns:c16="http://schemas.microsoft.com/office/drawing/2014/chart" uri="{C3380CC4-5D6E-409C-BE32-E72D297353CC}">
              <c16:uniqueId val="{00000002-DBE0-45C1-9B83-CCCBCC73B2B3}"/>
            </c:ext>
          </c:extLst>
        </c:ser>
        <c:dLbls>
          <c:showLegendKey val="0"/>
          <c:showVal val="0"/>
          <c:showCatName val="0"/>
          <c:showSerName val="0"/>
          <c:showPercent val="0"/>
          <c:showBubbleSize val="0"/>
        </c:dLbls>
        <c:smooth val="0"/>
        <c:axId val="668865407"/>
        <c:axId val="668845439"/>
      </c:lineChart>
      <c:catAx>
        <c:axId val="66886540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668845439"/>
        <c:crosses val="autoZero"/>
        <c:auto val="1"/>
        <c:lblAlgn val="ctr"/>
        <c:lblOffset val="100"/>
        <c:noMultiLvlLbl val="0"/>
      </c:catAx>
      <c:valAx>
        <c:axId val="66884543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NZ" sz="1400"/>
                  <a:t>t CO</a:t>
                </a:r>
                <a:r>
                  <a:rPr lang="en-NZ" sz="1400" baseline="-25000"/>
                  <a:t>2</a:t>
                </a:r>
                <a:r>
                  <a:rPr lang="en-NZ" sz="1400"/>
                  <a:t>e/person</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66886540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a:t>Net emissions of all other gases than biogenic methane in 1.5 degree pathways and the current 2050 target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'Equal per capita'!$B$23</c:f>
              <c:strCache>
                <c:ptCount val="1"/>
                <c:pt idx="0">
                  <c:v>Current NZ target</c:v>
                </c:pt>
              </c:strCache>
            </c:strRef>
          </c:tx>
          <c:spPr>
            <a:ln w="28575" cap="rnd">
              <a:solidFill>
                <a:srgbClr val="00ACD3"/>
              </a:solidFill>
              <a:round/>
            </a:ln>
            <a:effectLst/>
          </c:spPr>
          <c:marker>
            <c:symbol val="none"/>
          </c:marker>
          <c:cat>
            <c:numRef>
              <c:f>'Equal per capita'!$H$1:$M$1</c:f>
              <c:numCache>
                <c:formatCode>General</c:formatCode>
                <c:ptCount val="6"/>
                <c:pt idx="0">
                  <c:v>2020</c:v>
                </c:pt>
                <c:pt idx="1">
                  <c:v>2030</c:v>
                </c:pt>
                <c:pt idx="2">
                  <c:v>2040</c:v>
                </c:pt>
                <c:pt idx="3">
                  <c:v>2050</c:v>
                </c:pt>
                <c:pt idx="4">
                  <c:v>2060</c:v>
                </c:pt>
                <c:pt idx="5">
                  <c:v>2070</c:v>
                </c:pt>
              </c:numCache>
            </c:numRef>
          </c:cat>
          <c:val>
            <c:numRef>
              <c:f>'Equal per capita'!$H$23:$M$23</c:f>
              <c:numCache>
                <c:formatCode>General</c:formatCode>
                <c:ptCount val="6"/>
                <c:pt idx="0" formatCode="#,##0.00">
                  <c:v>7.0270108249970527</c:v>
                </c:pt>
                <c:pt idx="1">
                  <c:v>3.9463436925340201</c:v>
                </c:pt>
                <c:pt idx="2">
                  <c:v>1.97317184626701</c:v>
                </c:pt>
                <c:pt idx="3">
                  <c:v>0</c:v>
                </c:pt>
                <c:pt idx="4">
                  <c:v>0</c:v>
                </c:pt>
                <c:pt idx="5">
                  <c:v>0</c:v>
                </c:pt>
              </c:numCache>
            </c:numRef>
          </c:val>
          <c:smooth val="0"/>
          <c:extLst>
            <c:ext xmlns:c16="http://schemas.microsoft.com/office/drawing/2014/chart" uri="{C3380CC4-5D6E-409C-BE32-E72D297353CC}">
              <c16:uniqueId val="{00000000-24C6-4916-A7CD-AEF5FDBEDBDD}"/>
            </c:ext>
          </c:extLst>
        </c:ser>
        <c:ser>
          <c:idx val="1"/>
          <c:order val="1"/>
          <c:tx>
            <c:v>Equal per capita target</c:v>
          </c:tx>
          <c:spPr>
            <a:ln w="28575" cap="rnd">
              <a:solidFill>
                <a:schemeClr val="tx1"/>
              </a:solidFill>
              <a:prstDash val="dash"/>
              <a:round/>
            </a:ln>
            <a:effectLst/>
          </c:spPr>
          <c:marker>
            <c:symbol val="none"/>
          </c:marker>
          <c:cat>
            <c:numRef>
              <c:f>'Equal per capita'!$H$1:$M$1</c:f>
              <c:numCache>
                <c:formatCode>General</c:formatCode>
                <c:ptCount val="6"/>
                <c:pt idx="0">
                  <c:v>2020</c:v>
                </c:pt>
                <c:pt idx="1">
                  <c:v>2030</c:v>
                </c:pt>
                <c:pt idx="2">
                  <c:v>2040</c:v>
                </c:pt>
                <c:pt idx="3">
                  <c:v>2050</c:v>
                </c:pt>
                <c:pt idx="4">
                  <c:v>2060</c:v>
                </c:pt>
                <c:pt idx="5">
                  <c:v>2070</c:v>
                </c:pt>
              </c:numCache>
            </c:numRef>
          </c:cat>
          <c:val>
            <c:numRef>
              <c:f>'Equal per capita'!$H$20:$M$20</c:f>
              <c:numCache>
                <c:formatCode>General</c:formatCode>
                <c:ptCount val="6"/>
                <c:pt idx="0">
                  <c:v>6.2907755671978425</c:v>
                </c:pt>
                <c:pt idx="1">
                  <c:v>3.1493958955547479</c:v>
                </c:pt>
                <c:pt idx="2">
                  <c:v>1.4677187365670628</c:v>
                </c:pt>
                <c:pt idx="3">
                  <c:v>0.49903546153796929</c:v>
                </c:pt>
                <c:pt idx="4">
                  <c:v>0.15210844066050008</c:v>
                </c:pt>
                <c:pt idx="5">
                  <c:v>-1.9080372895437899E-2</c:v>
                </c:pt>
              </c:numCache>
            </c:numRef>
          </c:val>
          <c:smooth val="0"/>
          <c:extLst>
            <c:ext xmlns:c16="http://schemas.microsoft.com/office/drawing/2014/chart" uri="{C3380CC4-5D6E-409C-BE32-E72D297353CC}">
              <c16:uniqueId val="{00000001-24C6-4916-A7CD-AEF5FDBEDBDD}"/>
            </c:ext>
          </c:extLst>
        </c:ser>
        <c:dLbls>
          <c:showLegendKey val="0"/>
          <c:showVal val="0"/>
          <c:showCatName val="0"/>
          <c:showSerName val="0"/>
          <c:showPercent val="0"/>
          <c:showBubbleSize val="0"/>
        </c:dLbls>
        <c:smooth val="0"/>
        <c:axId val="1021535439"/>
        <c:axId val="1021527535"/>
      </c:lineChart>
      <c:catAx>
        <c:axId val="10215354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021527535"/>
        <c:crosses val="autoZero"/>
        <c:auto val="1"/>
        <c:lblAlgn val="ctr"/>
        <c:lblOffset val="100"/>
        <c:noMultiLvlLbl val="0"/>
      </c:catAx>
      <c:valAx>
        <c:axId val="102152753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NZ" sz="1400"/>
                  <a:t>t CO</a:t>
                </a:r>
                <a:r>
                  <a:rPr lang="en-NZ" sz="1400" baseline="-25000"/>
                  <a:t>2</a:t>
                </a:r>
                <a:r>
                  <a:rPr lang="en-NZ" sz="1400"/>
                  <a:t>e/person</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02153543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a:t>Biogenic </a:t>
            </a:r>
            <a:r>
              <a:rPr lang="en-NZ" sz="1400" b="0" i="0" u="none" strike="noStrike" baseline="0">
                <a:effectLst/>
              </a:rPr>
              <a:t>methane emissions per capita 1.5 degree pathways and current 2050 target</a:t>
            </a:r>
            <a:endParaRPr lang="en-NZ"/>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'Equal per capita'!$B$14</c:f>
              <c:strCache>
                <c:ptCount val="1"/>
                <c:pt idx="0">
                  <c:v>Current NZ target (-24%)</c:v>
                </c:pt>
              </c:strCache>
            </c:strRef>
          </c:tx>
          <c:spPr>
            <a:ln w="28575" cap="rnd">
              <a:solidFill>
                <a:srgbClr val="00ACD3"/>
              </a:solidFill>
              <a:round/>
            </a:ln>
            <a:effectLst/>
          </c:spPr>
          <c:marker>
            <c:symbol val="none"/>
          </c:marker>
          <c:cat>
            <c:numRef>
              <c:f>'Equal per capita'!$H$1:$M$1</c:f>
              <c:numCache>
                <c:formatCode>General</c:formatCode>
                <c:ptCount val="6"/>
                <c:pt idx="0">
                  <c:v>2020</c:v>
                </c:pt>
                <c:pt idx="1">
                  <c:v>2030</c:v>
                </c:pt>
                <c:pt idx="2">
                  <c:v>2040</c:v>
                </c:pt>
                <c:pt idx="3">
                  <c:v>2050</c:v>
                </c:pt>
                <c:pt idx="4">
                  <c:v>2060</c:v>
                </c:pt>
                <c:pt idx="5">
                  <c:v>2070</c:v>
                </c:pt>
              </c:numCache>
            </c:numRef>
          </c:cat>
          <c:val>
            <c:numRef>
              <c:f>'Equal per capita'!$H$17:$M$17</c:f>
              <c:numCache>
                <c:formatCode>General</c:formatCode>
                <c:ptCount val="6"/>
                <c:pt idx="0">
                  <c:v>0.25746142182176396</c:v>
                </c:pt>
                <c:pt idx="1">
                  <c:v>0.216990115851416</c:v>
                </c:pt>
                <c:pt idx="2">
                  <c:v>0.18977323176498498</c:v>
                </c:pt>
                <c:pt idx="3">
                  <c:v>0.16255634767855393</c:v>
                </c:pt>
                <c:pt idx="4">
                  <c:v>0.16255634767855393</c:v>
                </c:pt>
                <c:pt idx="5">
                  <c:v>0.16255634767855393</c:v>
                </c:pt>
              </c:numCache>
            </c:numRef>
          </c:val>
          <c:smooth val="0"/>
          <c:extLst>
            <c:ext xmlns:c16="http://schemas.microsoft.com/office/drawing/2014/chart" uri="{C3380CC4-5D6E-409C-BE32-E72D297353CC}">
              <c16:uniqueId val="{00000000-3F7C-4616-B9A3-139852B221D2}"/>
            </c:ext>
          </c:extLst>
        </c:ser>
        <c:ser>
          <c:idx val="1"/>
          <c:order val="1"/>
          <c:tx>
            <c:strRef>
              <c:f>'Equal per capita'!$B$15</c:f>
              <c:strCache>
                <c:ptCount val="1"/>
                <c:pt idx="0">
                  <c:v>Current NZ target (-47%)</c:v>
                </c:pt>
              </c:strCache>
            </c:strRef>
          </c:tx>
          <c:spPr>
            <a:ln w="28575" cap="rnd">
              <a:solidFill>
                <a:srgbClr val="6AC17B"/>
              </a:solidFill>
              <a:round/>
            </a:ln>
            <a:effectLst/>
          </c:spPr>
          <c:marker>
            <c:symbol val="none"/>
          </c:marker>
          <c:cat>
            <c:numRef>
              <c:f>'Equal per capita'!$H$1:$M$1</c:f>
              <c:numCache>
                <c:formatCode>General</c:formatCode>
                <c:ptCount val="6"/>
                <c:pt idx="0">
                  <c:v>2020</c:v>
                </c:pt>
                <c:pt idx="1">
                  <c:v>2030</c:v>
                </c:pt>
                <c:pt idx="2">
                  <c:v>2040</c:v>
                </c:pt>
                <c:pt idx="3">
                  <c:v>2050</c:v>
                </c:pt>
                <c:pt idx="4">
                  <c:v>2060</c:v>
                </c:pt>
                <c:pt idx="5">
                  <c:v>2070</c:v>
                </c:pt>
              </c:numCache>
            </c:numRef>
          </c:cat>
          <c:val>
            <c:numRef>
              <c:f>'Equal per capita'!$H$18:$M$18</c:f>
              <c:numCache>
                <c:formatCode>General</c:formatCode>
                <c:ptCount val="6"/>
                <c:pt idx="0">
                  <c:v>0.25746142182176396</c:v>
                </c:pt>
                <c:pt idx="1">
                  <c:v>0.216990115851416</c:v>
                </c:pt>
                <c:pt idx="2">
                  <c:v>0.16517588968204588</c:v>
                </c:pt>
                <c:pt idx="3">
                  <c:v>0.11336166351267578</c:v>
                </c:pt>
                <c:pt idx="4">
                  <c:v>0.11336166351267578</c:v>
                </c:pt>
                <c:pt idx="5">
                  <c:v>0.11336166351267578</c:v>
                </c:pt>
              </c:numCache>
            </c:numRef>
          </c:val>
          <c:smooth val="0"/>
          <c:extLst>
            <c:ext xmlns:c16="http://schemas.microsoft.com/office/drawing/2014/chart" uri="{C3380CC4-5D6E-409C-BE32-E72D297353CC}">
              <c16:uniqueId val="{00000001-3F7C-4616-B9A3-139852B221D2}"/>
            </c:ext>
          </c:extLst>
        </c:ser>
        <c:ser>
          <c:idx val="2"/>
          <c:order val="2"/>
          <c:tx>
            <c:v>Equal per capita target</c:v>
          </c:tx>
          <c:spPr>
            <a:ln w="28575" cap="rnd">
              <a:solidFill>
                <a:schemeClr val="tx1"/>
              </a:solidFill>
              <a:prstDash val="dash"/>
              <a:round/>
            </a:ln>
            <a:effectLst/>
          </c:spPr>
          <c:marker>
            <c:symbol val="none"/>
          </c:marker>
          <c:cat>
            <c:numRef>
              <c:f>'Equal per capita'!$H$1:$M$1</c:f>
              <c:numCache>
                <c:formatCode>General</c:formatCode>
                <c:ptCount val="6"/>
                <c:pt idx="0">
                  <c:v>2020</c:v>
                </c:pt>
                <c:pt idx="1">
                  <c:v>2030</c:v>
                </c:pt>
                <c:pt idx="2">
                  <c:v>2040</c:v>
                </c:pt>
                <c:pt idx="3">
                  <c:v>2050</c:v>
                </c:pt>
                <c:pt idx="4">
                  <c:v>2060</c:v>
                </c:pt>
                <c:pt idx="5">
                  <c:v>2070</c:v>
                </c:pt>
              </c:numCache>
            </c:numRef>
          </c:cat>
          <c:val>
            <c:numRef>
              <c:f>'Equal per capita'!$H$16:$M$16</c:f>
              <c:numCache>
                <c:formatCode>General</c:formatCode>
                <c:ptCount val="6"/>
                <c:pt idx="0">
                  <c:v>2.8996986800288248E-2</c:v>
                </c:pt>
                <c:pt idx="1">
                  <c:v>2.1662859360290481E-2</c:v>
                </c:pt>
                <c:pt idx="2">
                  <c:v>1.8453192667005659E-2</c:v>
                </c:pt>
                <c:pt idx="3">
                  <c:v>1.5955625673345051E-2</c:v>
                </c:pt>
                <c:pt idx="4">
                  <c:v>1.5927310733457056E-2</c:v>
                </c:pt>
                <c:pt idx="5">
                  <c:v>1.583543735540912E-2</c:v>
                </c:pt>
              </c:numCache>
            </c:numRef>
          </c:val>
          <c:smooth val="0"/>
          <c:extLst>
            <c:ext xmlns:c16="http://schemas.microsoft.com/office/drawing/2014/chart" uri="{C3380CC4-5D6E-409C-BE32-E72D297353CC}">
              <c16:uniqueId val="{00000002-3F7C-4616-B9A3-139852B221D2}"/>
            </c:ext>
          </c:extLst>
        </c:ser>
        <c:dLbls>
          <c:showLegendKey val="0"/>
          <c:showVal val="0"/>
          <c:showCatName val="0"/>
          <c:showSerName val="0"/>
          <c:showPercent val="0"/>
          <c:showBubbleSize val="0"/>
        </c:dLbls>
        <c:smooth val="0"/>
        <c:axId val="668865407"/>
        <c:axId val="668845439"/>
      </c:lineChart>
      <c:catAx>
        <c:axId val="66886540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668845439"/>
        <c:crosses val="autoZero"/>
        <c:auto val="1"/>
        <c:lblAlgn val="ctr"/>
        <c:lblOffset val="100"/>
        <c:noMultiLvlLbl val="0"/>
      </c:catAx>
      <c:valAx>
        <c:axId val="66884543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NZ" sz="1400"/>
                  <a:t>t CH</a:t>
                </a:r>
                <a:r>
                  <a:rPr lang="en-NZ" sz="1400" baseline="-25000"/>
                  <a:t>4</a:t>
                </a:r>
                <a:r>
                  <a:rPr lang="en-NZ" sz="1400"/>
                  <a:t>/person</a:t>
                </a:r>
              </a:p>
            </c:rich>
          </c:tx>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66886540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3.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4.xml.rels><?xml version="1.0" encoding="UTF-8" standalone="yes"?>
<Relationships xmlns="http://schemas.openxmlformats.org/package/2006/relationships"><Relationship Id="rId2" Type="http://schemas.openxmlformats.org/officeDocument/2006/relationships/chart" Target="../charts/chart12.xml"/><Relationship Id="rId1" Type="http://schemas.openxmlformats.org/officeDocument/2006/relationships/chart" Target="../charts/chart1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6.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xdr:from>
      <xdr:col>32</xdr:col>
      <xdr:colOff>437321</xdr:colOff>
      <xdr:row>26</xdr:row>
      <xdr:rowOff>92552</xdr:rowOff>
    </xdr:from>
    <xdr:to>
      <xdr:col>45</xdr:col>
      <xdr:colOff>414618</xdr:colOff>
      <xdr:row>49</xdr:row>
      <xdr:rowOff>168519</xdr:rowOff>
    </xdr:to>
    <xdr:graphicFrame macro="">
      <xdr:nvGraphicFramePr>
        <xdr:cNvPr id="5" name="Chart 12">
          <a:extLst>
            <a:ext uri="{FF2B5EF4-FFF2-40B4-BE49-F238E27FC236}">
              <a16:creationId xmlns:a16="http://schemas.microsoft.com/office/drawing/2014/main" id="{2078ADD8-E7AC-4B06-B3FE-E2D3557966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32</xdr:col>
      <xdr:colOff>499156</xdr:colOff>
      <xdr:row>131</xdr:row>
      <xdr:rowOff>35378</xdr:rowOff>
    </xdr:from>
    <xdr:to>
      <xdr:col>45</xdr:col>
      <xdr:colOff>472168</xdr:colOff>
      <xdr:row>160</xdr:row>
      <xdr:rowOff>57150</xdr:rowOff>
    </xdr:to>
    <xdr:graphicFrame macro="">
      <xdr:nvGraphicFramePr>
        <xdr:cNvPr id="4" name="Chart 15">
          <a:extLst>
            <a:ext uri="{FF2B5EF4-FFF2-40B4-BE49-F238E27FC236}">
              <a16:creationId xmlns:a16="http://schemas.microsoft.com/office/drawing/2014/main" id="{568CEDB5-83AB-469E-954A-0D56FF3B30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32</xdr:col>
      <xdr:colOff>442633</xdr:colOff>
      <xdr:row>50</xdr:row>
      <xdr:rowOff>125106</xdr:rowOff>
    </xdr:from>
    <xdr:to>
      <xdr:col>45</xdr:col>
      <xdr:colOff>447675</xdr:colOff>
      <xdr:row>73</xdr:row>
      <xdr:rowOff>141513</xdr:rowOff>
    </xdr:to>
    <xdr:graphicFrame macro="">
      <xdr:nvGraphicFramePr>
        <xdr:cNvPr id="17" name="Chart 16">
          <a:extLst>
            <a:ext uri="{FF2B5EF4-FFF2-40B4-BE49-F238E27FC236}">
              <a16:creationId xmlns:a16="http://schemas.microsoft.com/office/drawing/2014/main" id="{3124168C-8638-46C6-AFF7-FE7AA31B99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32</xdr:col>
      <xdr:colOff>411220</xdr:colOff>
      <xdr:row>74</xdr:row>
      <xdr:rowOff>95249</xdr:rowOff>
    </xdr:from>
    <xdr:to>
      <xdr:col>45</xdr:col>
      <xdr:colOff>446837</xdr:colOff>
      <xdr:row>99</xdr:row>
      <xdr:rowOff>40820</xdr:rowOff>
    </xdr:to>
    <xdr:graphicFrame macro="">
      <xdr:nvGraphicFramePr>
        <xdr:cNvPr id="14" name="Chart 13">
          <a:extLst>
            <a:ext uri="{FF2B5EF4-FFF2-40B4-BE49-F238E27FC236}">
              <a16:creationId xmlns:a16="http://schemas.microsoft.com/office/drawing/2014/main" id="{1ACF14A3-95FC-49AD-B267-97BD4ECED1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32</xdr:col>
      <xdr:colOff>459640</xdr:colOff>
      <xdr:row>100</xdr:row>
      <xdr:rowOff>175092</xdr:rowOff>
    </xdr:from>
    <xdr:to>
      <xdr:col>45</xdr:col>
      <xdr:colOff>476451</xdr:colOff>
      <xdr:row>129</xdr:row>
      <xdr:rowOff>163886</xdr:rowOff>
    </xdr:to>
    <xdr:graphicFrame macro="">
      <xdr:nvGraphicFramePr>
        <xdr:cNvPr id="2" name="Chart 1">
          <a:extLst>
            <a:ext uri="{FF2B5EF4-FFF2-40B4-BE49-F238E27FC236}">
              <a16:creationId xmlns:a16="http://schemas.microsoft.com/office/drawing/2014/main" id="{B7AB8679-9EFF-A7CB-70B2-8792623BC8A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19</xdr:col>
      <xdr:colOff>247650</xdr:colOff>
      <xdr:row>5</xdr:row>
      <xdr:rowOff>9525</xdr:rowOff>
    </xdr:from>
    <xdr:to>
      <xdr:col>23</xdr:col>
      <xdr:colOff>95250</xdr:colOff>
      <xdr:row>16</xdr:row>
      <xdr:rowOff>76200</xdr:rowOff>
    </xdr:to>
    <xdr:sp macro="" textlink="">
      <xdr:nvSpPr>
        <xdr:cNvPr id="10" name="TextBox 9">
          <a:extLst>
            <a:ext uri="{FF2B5EF4-FFF2-40B4-BE49-F238E27FC236}">
              <a16:creationId xmlns:a16="http://schemas.microsoft.com/office/drawing/2014/main" id="{8363F001-4206-11D1-FE9F-00C63C78D3B2}"/>
            </a:ext>
          </a:extLst>
        </xdr:cNvPr>
        <xdr:cNvSpPr txBox="1"/>
      </xdr:nvSpPr>
      <xdr:spPr>
        <a:xfrm>
          <a:off x="14449425" y="962025"/>
          <a:ext cx="2286000" cy="2162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NZ" sz="1100"/>
            <a:t>Note: The Capacity approach here involves implicit value judgements</a:t>
          </a:r>
          <a:r>
            <a:rPr lang="en-NZ" sz="1100" baseline="0"/>
            <a:t> about what we judge the task of global mitigation to be. Focusing on different measures provides different results.</a:t>
          </a:r>
        </a:p>
        <a:p>
          <a:endParaRPr lang="en-NZ" sz="1100" baseline="0"/>
        </a:p>
        <a:p>
          <a:r>
            <a:rPr lang="en-NZ" sz="1100" baseline="0"/>
            <a:t>The emissions pathways in the modelling that was used in the AR6 are not themselves targets and bake in economic assumptions.</a:t>
          </a:r>
          <a:endParaRPr lang="en-NZ" sz="1100"/>
        </a:p>
      </xdr:txBody>
    </xdr:sp>
    <xdr:clientData/>
  </xdr:twoCellAnchor>
  <xdr:twoCellAnchor>
    <xdr:from>
      <xdr:col>8</xdr:col>
      <xdr:colOff>295275</xdr:colOff>
      <xdr:row>20</xdr:row>
      <xdr:rowOff>19049</xdr:rowOff>
    </xdr:from>
    <xdr:to>
      <xdr:col>19</xdr:col>
      <xdr:colOff>28575</xdr:colOff>
      <xdr:row>28</xdr:row>
      <xdr:rowOff>57150</xdr:rowOff>
    </xdr:to>
    <xdr:sp macro="" textlink="">
      <xdr:nvSpPr>
        <xdr:cNvPr id="12" name="TextBox 11">
          <a:extLst>
            <a:ext uri="{FF2B5EF4-FFF2-40B4-BE49-F238E27FC236}">
              <a16:creationId xmlns:a16="http://schemas.microsoft.com/office/drawing/2014/main" id="{0A699CFA-767F-6AFA-FE93-8D8F45D22A7C}"/>
            </a:ext>
          </a:extLst>
        </xdr:cNvPr>
        <xdr:cNvSpPr txBox="1"/>
      </xdr:nvSpPr>
      <xdr:spPr>
        <a:xfrm>
          <a:off x="7791450" y="3829049"/>
          <a:ext cx="6438900" cy="15621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NZ" sz="1100" b="1"/>
            <a:t>PPP and MER</a:t>
          </a:r>
        </a:p>
        <a:p>
          <a:r>
            <a:rPr lang="en-NZ" sz="1100"/>
            <a:t>GDP estiim,ates are presented in two measures, one using current</a:t>
          </a:r>
          <a:r>
            <a:rPr lang="en-NZ" sz="1100" baseline="0"/>
            <a:t> Market Exchange Rates (MER), and one using Purchasing Power Parity (PPP) that adjusts for the different purchasing power of different currencies. The IPCC considered these measures in modelling and recommends using PPP where it is practical to do so. See </a:t>
          </a:r>
          <a:r>
            <a:rPr lang="en-NZ" sz="1100">
              <a:solidFill>
                <a:schemeClr val="dk1"/>
              </a:solidFill>
              <a:effectLst/>
              <a:latin typeface="+mn-lt"/>
              <a:ea typeface="+mn-ea"/>
              <a:cs typeface="+mn-cs"/>
            </a:rPr>
            <a:t>IPCC, 2007</a:t>
          </a:r>
          <a:r>
            <a:rPr lang="en-NZ" sz="1100" i="1">
              <a:solidFill>
                <a:schemeClr val="dk1"/>
              </a:solidFill>
              <a:effectLst/>
              <a:latin typeface="+mn-lt"/>
              <a:ea typeface="+mn-ea"/>
              <a:cs typeface="+mn-cs"/>
            </a:rPr>
            <a:t>, The use of MER in economic and emissions scenario modelling </a:t>
          </a:r>
          <a:r>
            <a:rPr lang="en-NZ" sz="1100">
              <a:solidFill>
                <a:schemeClr val="dk1"/>
              </a:solidFill>
              <a:effectLst/>
              <a:latin typeface="+mn-lt"/>
              <a:ea typeface="+mn-ea"/>
              <a:cs typeface="+mn-cs"/>
            </a:rPr>
            <a:t>https://archive.ipcc.ch/publications_and_data/ar4/wg3/en/ch3s3-2-1-4.html</a:t>
          </a:r>
        </a:p>
        <a:p>
          <a:br>
            <a:rPr lang="en-NZ" sz="1100">
              <a:solidFill>
                <a:schemeClr val="dk1"/>
              </a:solidFill>
              <a:effectLst/>
              <a:latin typeface="+mn-lt"/>
              <a:ea typeface="+mn-ea"/>
              <a:cs typeface="+mn-cs"/>
            </a:rPr>
          </a:br>
          <a:r>
            <a:rPr lang="en-NZ" sz="1100" baseline="0"/>
            <a:t>We calculate the comparison for both measures here but use the PPP measure in our analysis. </a:t>
          </a:r>
          <a:endParaRPr lang="en-NZ"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30</xdr:col>
      <xdr:colOff>283387</xdr:colOff>
      <xdr:row>127</xdr:row>
      <xdr:rowOff>170032</xdr:rowOff>
    </xdr:from>
    <xdr:to>
      <xdr:col>44</xdr:col>
      <xdr:colOff>582705</xdr:colOff>
      <xdr:row>156</xdr:row>
      <xdr:rowOff>158244</xdr:rowOff>
    </xdr:to>
    <xdr:graphicFrame macro="">
      <xdr:nvGraphicFramePr>
        <xdr:cNvPr id="6" name="Chart 5">
          <a:extLst>
            <a:ext uri="{FF2B5EF4-FFF2-40B4-BE49-F238E27FC236}">
              <a16:creationId xmlns:a16="http://schemas.microsoft.com/office/drawing/2014/main" id="{18AB9F25-40CF-4FDB-94ED-D8D9BA8F31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30</xdr:col>
      <xdr:colOff>234284</xdr:colOff>
      <xdr:row>66</xdr:row>
      <xdr:rowOff>115899</xdr:rowOff>
    </xdr:from>
    <xdr:to>
      <xdr:col>44</xdr:col>
      <xdr:colOff>498661</xdr:colOff>
      <xdr:row>95</xdr:row>
      <xdr:rowOff>94950</xdr:rowOff>
    </xdr:to>
    <xdr:graphicFrame macro="">
      <xdr:nvGraphicFramePr>
        <xdr:cNvPr id="7" name="Chart 6">
          <a:extLst>
            <a:ext uri="{FF2B5EF4-FFF2-40B4-BE49-F238E27FC236}">
              <a16:creationId xmlns:a16="http://schemas.microsoft.com/office/drawing/2014/main" id="{D207BA0F-AE2A-46E5-8394-264E9F3B73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30</xdr:col>
      <xdr:colOff>329046</xdr:colOff>
      <xdr:row>36</xdr:row>
      <xdr:rowOff>58067</xdr:rowOff>
    </xdr:from>
    <xdr:to>
      <xdr:col>44</xdr:col>
      <xdr:colOff>554693</xdr:colOff>
      <xdr:row>65</xdr:row>
      <xdr:rowOff>12125</xdr:rowOff>
    </xdr:to>
    <xdr:graphicFrame macro="">
      <xdr:nvGraphicFramePr>
        <xdr:cNvPr id="8" name="Chart 7">
          <a:extLst>
            <a:ext uri="{FF2B5EF4-FFF2-40B4-BE49-F238E27FC236}">
              <a16:creationId xmlns:a16="http://schemas.microsoft.com/office/drawing/2014/main" id="{C019AAA9-2E6E-4D3B-AFBC-75810F96EE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30</xdr:col>
      <xdr:colOff>260485</xdr:colOff>
      <xdr:row>97</xdr:row>
      <xdr:rowOff>174506</xdr:rowOff>
    </xdr:from>
    <xdr:to>
      <xdr:col>44</xdr:col>
      <xdr:colOff>524863</xdr:colOff>
      <xdr:row>126</xdr:row>
      <xdr:rowOff>153557</xdr:rowOff>
    </xdr:to>
    <xdr:graphicFrame macro="">
      <xdr:nvGraphicFramePr>
        <xdr:cNvPr id="10" name="Chart 9">
          <a:extLst>
            <a:ext uri="{FF2B5EF4-FFF2-40B4-BE49-F238E27FC236}">
              <a16:creationId xmlns:a16="http://schemas.microsoft.com/office/drawing/2014/main" id="{50D754DC-105C-466C-8AB4-9D51FED8AC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7</xdr:col>
      <xdr:colOff>133350</xdr:colOff>
      <xdr:row>10</xdr:row>
      <xdr:rowOff>166687</xdr:rowOff>
    </xdr:from>
    <xdr:to>
      <xdr:col>14</xdr:col>
      <xdr:colOff>438150</xdr:colOff>
      <xdr:row>25</xdr:row>
      <xdr:rowOff>52387</xdr:rowOff>
    </xdr:to>
    <xdr:graphicFrame macro="">
      <xdr:nvGraphicFramePr>
        <xdr:cNvPr id="2" name="Chart 1">
          <a:extLst>
            <a:ext uri="{FF2B5EF4-FFF2-40B4-BE49-F238E27FC236}">
              <a16:creationId xmlns:a16="http://schemas.microsoft.com/office/drawing/2014/main" id="{74D1AD9B-FC17-3811-125C-716398C0299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5</xdr:col>
      <xdr:colOff>381000</xdr:colOff>
      <xdr:row>108</xdr:row>
      <xdr:rowOff>66675</xdr:rowOff>
    </xdr:from>
    <xdr:to>
      <xdr:col>13</xdr:col>
      <xdr:colOff>76200</xdr:colOff>
      <xdr:row>122</xdr:row>
      <xdr:rowOff>9525</xdr:rowOff>
    </xdr:to>
    <xdr:graphicFrame macro="">
      <xdr:nvGraphicFramePr>
        <xdr:cNvPr id="2" name="Chart 1">
          <a:extLst>
            <a:ext uri="{FF2B5EF4-FFF2-40B4-BE49-F238E27FC236}">
              <a16:creationId xmlns:a16="http://schemas.microsoft.com/office/drawing/2014/main" id="{F2B6A38A-FC7C-EC69-C07F-B580E694AC7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47625</xdr:colOff>
      <xdr:row>109</xdr:row>
      <xdr:rowOff>47625</xdr:rowOff>
    </xdr:from>
    <xdr:to>
      <xdr:col>21</xdr:col>
      <xdr:colOff>352425</xdr:colOff>
      <xdr:row>122</xdr:row>
      <xdr:rowOff>190500</xdr:rowOff>
    </xdr:to>
    <xdr:graphicFrame macro="">
      <xdr:nvGraphicFramePr>
        <xdr:cNvPr id="3" name="Chart 2">
          <a:extLst>
            <a:ext uri="{FF2B5EF4-FFF2-40B4-BE49-F238E27FC236}">
              <a16:creationId xmlns:a16="http://schemas.microsoft.com/office/drawing/2014/main" id="{2F0AF93A-B2AD-AE79-52B9-508CBD634A7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13</xdr:col>
      <xdr:colOff>523875</xdr:colOff>
      <xdr:row>92</xdr:row>
      <xdr:rowOff>161925</xdr:rowOff>
    </xdr:from>
    <xdr:to>
      <xdr:col>21</xdr:col>
      <xdr:colOff>133350</xdr:colOff>
      <xdr:row>106</xdr:row>
      <xdr:rowOff>104775</xdr:rowOff>
    </xdr:to>
    <xdr:graphicFrame macro="">
      <xdr:nvGraphicFramePr>
        <xdr:cNvPr id="3" name="Chart 2">
          <a:extLst>
            <a:ext uri="{FF2B5EF4-FFF2-40B4-BE49-F238E27FC236}">
              <a16:creationId xmlns:a16="http://schemas.microsoft.com/office/drawing/2014/main" id="{4B0FB8CB-60EA-0BBE-608E-E4E62D06E3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8</xdr:col>
      <xdr:colOff>200025</xdr:colOff>
      <xdr:row>83</xdr:row>
      <xdr:rowOff>123825</xdr:rowOff>
    </xdr:from>
    <xdr:to>
      <xdr:col>15</xdr:col>
      <xdr:colOff>504825</xdr:colOff>
      <xdr:row>97</xdr:row>
      <xdr:rowOff>66675</xdr:rowOff>
    </xdr:to>
    <xdr:graphicFrame macro="">
      <xdr:nvGraphicFramePr>
        <xdr:cNvPr id="2" name="Chart 1">
          <a:extLst>
            <a:ext uri="{FF2B5EF4-FFF2-40B4-BE49-F238E27FC236}">
              <a16:creationId xmlns:a16="http://schemas.microsoft.com/office/drawing/2014/main" id="{6675DCAE-E772-2404-8185-9796B95835E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485775</xdr:colOff>
      <xdr:row>113</xdr:row>
      <xdr:rowOff>28575</xdr:rowOff>
    </xdr:from>
    <xdr:to>
      <xdr:col>11</xdr:col>
      <xdr:colOff>180975</xdr:colOff>
      <xdr:row>126</xdr:row>
      <xdr:rowOff>171450</xdr:rowOff>
    </xdr:to>
    <xdr:graphicFrame macro="">
      <xdr:nvGraphicFramePr>
        <xdr:cNvPr id="3" name="Chart 2">
          <a:extLst>
            <a:ext uri="{FF2B5EF4-FFF2-40B4-BE49-F238E27FC236}">
              <a16:creationId xmlns:a16="http://schemas.microsoft.com/office/drawing/2014/main" id="{DB98EBF8-3F60-EE9D-E2B5-7A484982B18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ULC\compareULC.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NrPortbl/iManage/PARKYNO/1877751_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I:\WRK\CHT\s2008weo\Ch1\fig13\Fig1_13.xls" TargetMode="External"/></Relationships>
</file>

<file path=xl/externalLinks/_rels/externalLink12.xml.rels><?xml version="1.0" encoding="UTF-8" standalone="yes"?>
<Relationships xmlns="http://schemas.openxmlformats.org/package/2006/relationships"><Relationship Id="rId2" Type="http://schemas.microsoft.com/office/2019/04/relationships/externalLinkLongPath" Target="https://ministryforenvironment.sharepoint.com/sites/ECM-EM-ER/Shared%20Documents/01%20-%20Greenhouse%20gas%20inventories_6562361/23%20-%202023%20Submission%20(1990-2021)/04%20-%20Emissions%20data%20and%20analysis/05%20-%20Data%20for%20other%20purposes/Time%20series%20emissions%20data%201990%20to%202021%20(AR4%20-%20AR5)%20based%20LOCKED%20DOWN%20%2022%20Feb%202023%20CRF%20-%20Energy%20CO2%20biomass%20corrected.xlsx?A5053CE6" TargetMode="External"/><Relationship Id="rId1" Type="http://schemas.openxmlformats.org/officeDocument/2006/relationships/externalLinkPath" Target="file:///\\A5053CE6\Time%20series%20emissions%20data%201990%20to%202021%20(AR4%20-%20AR5)%20based%20LOCKED%20DOWN%20%2022%20Feb%202023%20CRF%20-%20Energy%20CO2%20biomass%20corrected.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Equity%20calculations%20summary%20and%20detail%20Andy%20original.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NRPortbl/iManage/MANNINGC/4348348_1.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FranciscoHernandez/Downloads/Municipal%20solid%20waste%20model%20for%202021%20inventory.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G:\TF3%20Tax%20monitoring\TF32%20Tax%20data\Monthist.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I:\Cfis-02\Year%20end\Current%20Form\Accounts\publishing\Accounts.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I:\Users\mcloughlins\AppData\Roaming\Microsoft\Excel\908717_1.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Users\MatthewSmith\Downloads\2050-historical-and-projected-sectoral-emissions-data-November_2023-for-publishing.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TF1%20Tax%20forecasting\2008\NEFU\TF12%20Forecast%20outputs,%20writeups\Corp%20Tax%202008%20NEFU.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NRPortbl/iManage/HENDLED/2111259_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Cfis-02/Year%20end/Current%20Form/Accounts/publishing/Account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NrPortbl/iManage/PARKYNO/1844681_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M:\NrPortbl\iManage\KEENEM\763757_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NrPortbl/iManage/HASLAMN/1264192_1.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L:\2019-20\5.%20BEFU%202020\3%20-%20Finals\9%20-%20Publishing%20-%20Forecast%20Financial%20Statements\Forecast%20Financial%20Statements\1.%20Linked%20accounts\BEFU%2020%20Linked%20Accounts.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I:\Forecast%20Updates\Economic%20models\Summary%20Indicators\SI_Calculations_vO.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Sheet"/>
      <sheetName val="EER"/>
      <sheetName val="EDNA"/>
      <sheetName val="Sheet2"/>
      <sheetName val="Sheet9"/>
      <sheetName val="ULC"/>
    </sheetNames>
    <sheetDataSet>
      <sheetData sheetId="0"/>
      <sheetData sheetId="1"/>
      <sheetData sheetId="2"/>
      <sheetData sheetId="3"/>
      <sheetData sheetId="4"/>
      <sheetData sheetId="5"/>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1"/>
      <sheetName val="Other assets - indexed"/>
      <sheetName val="Other assets - normal"/>
      <sheetName val="Trust v company v direct"/>
      <sheetName val="Bond v rental housing"/>
      <sheetName val="40% saving"/>
      <sheetName val="Indexation"/>
      <sheetName val="Indexation (2)"/>
      <sheetName val="Directly held"/>
      <sheetName val="Tax gap - Hypothetical person"/>
      <sheetName val="Tax gap"/>
      <sheetName val="Tax gap (2)"/>
      <sheetName val="Tax gap (3)"/>
      <sheetName val="Nordic @ 17.5"/>
      <sheetName val="Simplified nordic"/>
      <sheetName val="Sheet2"/>
      <sheetName val="Directly held v2"/>
      <sheetName val="Company"/>
    </sheetNames>
    <sheetDataSet>
      <sheetData sheetId="0" refreshError="1"/>
      <sheetData sheetId="1" refreshError="1"/>
      <sheetData sheetId="2"/>
      <sheetData sheetId="3" refreshError="1"/>
      <sheetData sheetId="4"/>
      <sheetData sheetId="5"/>
      <sheetData sheetId="6" refreshError="1"/>
      <sheetData sheetId="7" refreshError="1"/>
      <sheetData sheetId="8" refreshError="1"/>
      <sheetData sheetId="9" refreshError="1"/>
      <sheetData sheetId="10"/>
      <sheetData sheetId="11" refreshError="1"/>
      <sheetData sheetId="12" refreshError="1"/>
      <sheetData sheetId="13"/>
      <sheetData sheetId="14" refreshError="1"/>
      <sheetData sheetId="15" refreshError="1"/>
      <sheetData sheetId="16" refreshError="1"/>
      <sheetData sheetId="1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Sheet"/>
      <sheetName val="comp NGAP (Adv&amp;Emg)"/>
      <sheetName val="Panel 1"/>
      <sheetName val="Panel 2"/>
      <sheetName val="Panel 3"/>
      <sheetName val="Panel 4"/>
      <sheetName val="Panel 5"/>
      <sheetName val="ChartData"/>
      <sheetName val="Prnt"/>
    </sheetNames>
    <sheetDataSet>
      <sheetData sheetId="0"/>
      <sheetData sheetId="1"/>
      <sheetData sheetId="2"/>
      <sheetData sheetId="3"/>
      <sheetData sheetId="4"/>
      <sheetData sheetId="5"/>
      <sheetData sheetId="6"/>
      <sheetData sheetId="7"/>
      <sheetData sheetId="8"/>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5 - CO2"/>
      <sheetName val="AR5 - CH4"/>
      <sheetName val="AR4 - All gases"/>
      <sheetName val="AR4 - CO2"/>
      <sheetName val="AR4 - CH4"/>
      <sheetName val="AR4 - N2O"/>
      <sheetName val="AR4 - HFCs"/>
      <sheetName val="AR4 - PFCs"/>
      <sheetName val="AR4 - SF6"/>
      <sheetName val="AR5 - All gases"/>
      <sheetName val="AR5 - N2O"/>
      <sheetName val="AR5 - HFCs"/>
      <sheetName val="AR5 - PFCs"/>
      <sheetName val="AR5 - SF6"/>
      <sheetName val="GWPs"/>
      <sheetName val="Check All gases"/>
      <sheetName val="Check a gas"/>
      <sheetName val="AR4 - All gases Check"/>
      <sheetName val="AR5 - All gases Check"/>
      <sheetName val="Summary"/>
      <sheetName val="No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R15 emissions"/>
      <sheetName val="2021 inventory"/>
      <sheetName val="POP"/>
      <sheetName val="GDP"/>
      <sheetName val="equal rate of reduction"/>
      <sheetName val="equal per capita"/>
      <sheetName val="equal capacity to pay"/>
      <sheetName val="equal responsibility"/>
      <sheetName val="Summary resul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splay"/>
      <sheetName val="Guide"/>
      <sheetName val="Sources"/>
      <sheetName val="Statistics NZ"/>
      <sheetName val="Population Treasury"/>
      <sheetName val="Labour Force Treasury"/>
      <sheetName val="Exogenous"/>
      <sheetName val="NZSF Adjuster"/>
      <sheetName val="Fiscal Forecast Adjuster"/>
      <sheetName val="Fiscal Outturns"/>
      <sheetName val="Economic Forecasts"/>
      <sheetName val="Fiscal Forecasts"/>
      <sheetName val="Assumptions"/>
      <sheetName val="2020 PREFU FSM"/>
      <sheetName val="Scenario"/>
      <sheetName val="Tables 2 &amp; 3"/>
      <sheetName val="Fig 2.19"/>
      <sheetName val="Fig 2.20"/>
      <sheetName val="Fig 2.21"/>
      <sheetName val="Fig 2.22"/>
      <sheetName val="Fig 2.23"/>
      <sheetName val="Fig 2.2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Policy impact analysis"/>
      <sheetName val="Input waste data here"/>
      <sheetName val="List of landfills"/>
      <sheetName val="Composition and DDOC"/>
      <sheetName val="Other parameters"/>
      <sheetName val="Bulk waste decay models 5.A.1"/>
      <sheetName val="MEG"/>
      <sheetName val="All results 5.A.1.a"/>
      <sheetName val="Data for CRF 5.A.1.a"/>
      <sheetName val="Graph for 5.A.1.a"/>
      <sheetName val="more recovery graphs"/>
      <sheetName val="Data for 5.F"/>
      <sheetName val="Other data for NIR"/>
      <sheetName val="AD Table for NIR"/>
      <sheetName val="Recalculations"/>
      <sheetName val="NO LEVY SCENARIO decay model"/>
      <sheetName val="Data for uncategorised 5.A.3"/>
      <sheetName val="Bulk waste decay models 5.A.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elp Adjust Lookups"/>
      <sheetName val="July 1998 Series"/>
      <sheetName val="Receipts"/>
      <sheetName val="Revenue"/>
      <sheetName val="Macros"/>
    </sheetNames>
    <sheetDataSet>
      <sheetData sheetId="0" refreshError="1"/>
      <sheetData sheetId="1" refreshError="1"/>
      <sheetData sheetId="2"/>
      <sheetData sheetId="3" refreshError="1"/>
      <sheetData sheetId="4"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erform"/>
      <sheetName val="Position"/>
      <sheetName val="Mvts in equity"/>
      <sheetName val="Cash flows"/>
      <sheetName val="Borrowings"/>
      <sheetName val="Mkt values"/>
      <sheetName val="Maturity"/>
      <sheetName val="Movements"/>
      <sheetName val="Commitments"/>
      <sheetName val="Notes 1-5"/>
      <sheetName val="Notes 6,7,8"/>
      <sheetName val="SOE CE Fin Perf"/>
      <sheetName val="SOE CE BS"/>
      <sheetName val="SOE CE Summary"/>
      <sheetName val="Notes 10 - 13"/>
      <sheetName val="Note 15"/>
      <sheetName val="Note 16"/>
      <sheetName val="Note 17"/>
      <sheetName val="note 19"/>
      <sheetName val="Xchecks"/>
      <sheetName val="analysis accounts"/>
      <sheetName val="consistency analy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castTo02"/>
      <sheetName val="ActualTo02"/>
      <sheetName val="FcastConsol"/>
      <sheetName val="ActualConsol"/>
      <sheetName val="OpExp"/>
      <sheetName val="NetCash"/>
      <sheetName val="AdjOpExp"/>
      <sheetName val="Tax"/>
      <sheetName val="TotRec"/>
      <sheetName val="NetCashPctRec"/>
      <sheetName val="FinCost"/>
      <sheetName val="BenExp"/>
      <sheetName val="Purch"/>
      <sheetName val="PurchAdj"/>
      <sheetName val="Advances"/>
      <sheetName val="PurchInv"/>
      <sheetName val="ReportTables"/>
      <sheetName val="Tablz"/>
      <sheetName val="forecast and projection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enario Totals"/>
      <sheetName val="1990-2050 Central estimate AR5"/>
      <sheetName val="1990-2050 High estimate AR5"/>
      <sheetName val="1990-2050 Low estimate AR5"/>
    </sheetNames>
    <sheetDataSet>
      <sheetData sheetId="0"/>
      <sheetData sheetId="1"/>
      <sheetData sheetId="2">
        <row r="10">
          <cell r="C10">
            <v>15869.15</v>
          </cell>
          <cell r="D10">
            <v>16318.24</v>
          </cell>
          <cell r="E10">
            <v>17806.36</v>
          </cell>
          <cell r="F10">
            <v>16862.61</v>
          </cell>
          <cell r="G10">
            <v>16521.219999999998</v>
          </cell>
          <cell r="H10">
            <v>15645.529999999999</v>
          </cell>
          <cell r="I10">
            <v>17078.45</v>
          </cell>
          <cell r="J10">
            <v>18834.75</v>
          </cell>
          <cell r="K10">
            <v>17039.14</v>
          </cell>
          <cell r="L10">
            <v>18096.990000000002</v>
          </cell>
          <cell r="M10">
            <v>18260.829999999998</v>
          </cell>
          <cell r="N10">
            <v>20189.75</v>
          </cell>
          <cell r="O10">
            <v>19666.3</v>
          </cell>
          <cell r="P10">
            <v>20531.169999999998</v>
          </cell>
          <cell r="Q10">
            <v>19919.11</v>
          </cell>
          <cell r="R10">
            <v>21442.36</v>
          </cell>
          <cell r="S10">
            <v>21836.82</v>
          </cell>
          <cell r="T10">
            <v>20317.259999999998</v>
          </cell>
          <cell r="U10">
            <v>21462.959999999999</v>
          </cell>
          <cell r="V10">
            <v>19026.62</v>
          </cell>
          <cell r="W10">
            <v>18979.530000000002</v>
          </cell>
          <cell r="X10">
            <v>18303.080000000002</v>
          </cell>
          <cell r="Y10">
            <v>19965.84</v>
          </cell>
          <cell r="Z10">
            <v>18998.71</v>
          </cell>
          <cell r="AA10">
            <v>18793.73</v>
          </cell>
          <cell r="AB10">
            <v>18551.620000000003</v>
          </cell>
          <cell r="AC10">
            <v>17040.32</v>
          </cell>
          <cell r="AD10">
            <v>17565.25</v>
          </cell>
          <cell r="AE10">
            <v>17332.829999999998</v>
          </cell>
          <cell r="AF10">
            <v>18788.179999999997</v>
          </cell>
          <cell r="AG10">
            <v>17789.63</v>
          </cell>
          <cell r="AH10">
            <v>17442.130000000005</v>
          </cell>
          <cell r="AI10">
            <v>14734.22</v>
          </cell>
          <cell r="AJ10">
            <v>15757.289999999999</v>
          </cell>
          <cell r="AK10">
            <v>14948.67</v>
          </cell>
          <cell r="AL10">
            <v>12120.76</v>
          </cell>
          <cell r="AM10">
            <v>11330.75</v>
          </cell>
          <cell r="AN10">
            <v>10557.35</v>
          </cell>
          <cell r="AO10">
            <v>10281.09</v>
          </cell>
          <cell r="AP10">
            <v>9809.91</v>
          </cell>
          <cell r="AQ10">
            <v>9589.15</v>
          </cell>
          <cell r="AR10">
            <v>9570.26</v>
          </cell>
          <cell r="AS10">
            <v>9464.1</v>
          </cell>
          <cell r="AT10">
            <v>9507.5</v>
          </cell>
          <cell r="AU10">
            <v>9355.8499999999985</v>
          </cell>
          <cell r="AV10">
            <v>9272.52</v>
          </cell>
          <cell r="AW10">
            <v>9430.17</v>
          </cell>
          <cell r="AX10">
            <v>9451.3100000000013</v>
          </cell>
          <cell r="AY10">
            <v>8899.7900000000009</v>
          </cell>
          <cell r="AZ10">
            <v>8851.4699999999993</v>
          </cell>
          <cell r="BA10">
            <v>8881.01</v>
          </cell>
          <cell r="BB10">
            <v>8254.6299999999992</v>
          </cell>
          <cell r="BC10">
            <v>8183.36</v>
          </cell>
          <cell r="BD10">
            <v>8151.3200000000006</v>
          </cell>
          <cell r="BE10">
            <v>8173.5800000000008</v>
          </cell>
          <cell r="BF10">
            <v>8356.0600000000013</v>
          </cell>
          <cell r="BG10">
            <v>8478.66</v>
          </cell>
          <cell r="BH10">
            <v>8487.58</v>
          </cell>
          <cell r="BI10">
            <v>8357.23</v>
          </cell>
          <cell r="BJ10">
            <v>8288.5</v>
          </cell>
          <cell r="BK10">
            <v>7982.14</v>
          </cell>
        </row>
        <row r="17">
          <cell r="C17">
            <v>8123.4699999999993</v>
          </cell>
          <cell r="D17">
            <v>8103.15</v>
          </cell>
          <cell r="E17">
            <v>8465.3799999999992</v>
          </cell>
          <cell r="F17">
            <v>8917.1099999999988</v>
          </cell>
          <cell r="G17">
            <v>9577.08</v>
          </cell>
          <cell r="H17">
            <v>10239.76</v>
          </cell>
          <cell r="I17">
            <v>10370.209999999999</v>
          </cell>
          <cell r="J17">
            <v>10595.89</v>
          </cell>
          <cell r="K17">
            <v>10800.29</v>
          </cell>
          <cell r="L17">
            <v>11085.25</v>
          </cell>
          <cell r="M17">
            <v>11635.18</v>
          </cell>
          <cell r="N17">
            <v>11692.740000000002</v>
          </cell>
          <cell r="O17">
            <v>12148.08</v>
          </cell>
          <cell r="P17">
            <v>12682.55</v>
          </cell>
          <cell r="Q17">
            <v>12975.97</v>
          </cell>
          <cell r="R17">
            <v>13046.880000000001</v>
          </cell>
          <cell r="S17">
            <v>13165.76</v>
          </cell>
          <cell r="T17">
            <v>13268.76</v>
          </cell>
          <cell r="U17">
            <v>13278.56</v>
          </cell>
          <cell r="V17">
            <v>13085.960000000001</v>
          </cell>
          <cell r="W17">
            <v>13334.779999999999</v>
          </cell>
          <cell r="X17">
            <v>13318.210000000001</v>
          </cell>
          <cell r="Y17">
            <v>12993.499999999998</v>
          </cell>
          <cell r="Z17">
            <v>13068.25</v>
          </cell>
          <cell r="AA17">
            <v>13326.980000000001</v>
          </cell>
          <cell r="AB17">
            <v>13801.810000000001</v>
          </cell>
          <cell r="AC17">
            <v>13894.369999999999</v>
          </cell>
          <cell r="AD17">
            <v>14792.88</v>
          </cell>
          <cell r="AE17">
            <v>15115.519999999999</v>
          </cell>
          <cell r="AF17">
            <v>14644.25</v>
          </cell>
          <cell r="AG17">
            <v>13192.24</v>
          </cell>
          <cell r="AH17">
            <v>13846.17</v>
          </cell>
          <cell r="AI17">
            <v>13889.24</v>
          </cell>
          <cell r="AJ17">
            <v>14131.019999999999</v>
          </cell>
          <cell r="AK17">
            <v>14159.69</v>
          </cell>
          <cell r="AL17">
            <v>14157.359999999999</v>
          </cell>
          <cell r="AM17">
            <v>14120.06</v>
          </cell>
          <cell r="AN17">
            <v>14061.54</v>
          </cell>
          <cell r="AO17">
            <v>13982.53</v>
          </cell>
          <cell r="AP17">
            <v>13912.01</v>
          </cell>
          <cell r="AQ17">
            <v>13819.34</v>
          </cell>
          <cell r="AR17">
            <v>13716.779999999999</v>
          </cell>
          <cell r="AS17">
            <v>13582.4</v>
          </cell>
          <cell r="AT17">
            <v>13422.050000000001</v>
          </cell>
          <cell r="AU17">
            <v>13231</v>
          </cell>
          <cell r="AV17">
            <v>13007.050000000001</v>
          </cell>
          <cell r="AW17">
            <v>12758.46</v>
          </cell>
          <cell r="AX17">
            <v>12484.7</v>
          </cell>
          <cell r="AY17">
            <v>12184.9</v>
          </cell>
          <cell r="AZ17">
            <v>11867.43</v>
          </cell>
          <cell r="BA17">
            <v>11521.32</v>
          </cell>
          <cell r="BB17">
            <v>11153.960000000001</v>
          </cell>
          <cell r="BC17">
            <v>10767.449999999999</v>
          </cell>
          <cell r="BD17">
            <v>10373.92</v>
          </cell>
          <cell r="BE17">
            <v>9998.36</v>
          </cell>
          <cell r="BF17">
            <v>9640.7100000000009</v>
          </cell>
          <cell r="BG17">
            <v>9296.8499999999985</v>
          </cell>
          <cell r="BH17">
            <v>8968.16</v>
          </cell>
          <cell r="BI17">
            <v>8657.35</v>
          </cell>
          <cell r="BJ17">
            <v>8358.18</v>
          </cell>
          <cell r="BK17">
            <v>8078.74</v>
          </cell>
        </row>
        <row r="24">
          <cell r="C24">
            <v>36052.92</v>
          </cell>
          <cell r="D24">
            <v>36305.599999999999</v>
          </cell>
          <cell r="E24">
            <v>35802.46</v>
          </cell>
          <cell r="F24">
            <v>36186.239999999998</v>
          </cell>
          <cell r="G24">
            <v>37363.370000000003</v>
          </cell>
          <cell r="H24">
            <v>37941.46</v>
          </cell>
          <cell r="I24">
            <v>38290.49</v>
          </cell>
          <cell r="J24">
            <v>39201.39</v>
          </cell>
          <cell r="K24">
            <v>38545.64</v>
          </cell>
          <cell r="L24">
            <v>38790.620000000003</v>
          </cell>
          <cell r="M24">
            <v>39947.78</v>
          </cell>
          <cell r="N24">
            <v>40715.159999999996</v>
          </cell>
          <cell r="O24">
            <v>40561.56</v>
          </cell>
          <cell r="P24">
            <v>41154.449999999997</v>
          </cell>
          <cell r="Q24">
            <v>41258.270000000004</v>
          </cell>
          <cell r="R24">
            <v>41664.339999999997</v>
          </cell>
          <cell r="S24">
            <v>41438.29</v>
          </cell>
          <cell r="T24">
            <v>40496.509999999995</v>
          </cell>
          <cell r="U24">
            <v>39092.180000000008</v>
          </cell>
          <cell r="V24">
            <v>39232.319999999992</v>
          </cell>
          <cell r="W24">
            <v>39461.519999999997</v>
          </cell>
          <cell r="X24">
            <v>40065.619999999995</v>
          </cell>
          <cell r="Y24">
            <v>40813.06</v>
          </cell>
          <cell r="Z24">
            <v>40997.43</v>
          </cell>
          <cell r="AA24">
            <v>41575.790000000008</v>
          </cell>
          <cell r="AB24">
            <v>41042.85</v>
          </cell>
          <cell r="AC24">
            <v>40576.680000000008</v>
          </cell>
          <cell r="AD24">
            <v>40737.299999999996</v>
          </cell>
          <cell r="AE24">
            <v>41064.229999999996</v>
          </cell>
          <cell r="AF24">
            <v>41144.25</v>
          </cell>
          <cell r="AG24">
            <v>41083.01</v>
          </cell>
          <cell r="AH24">
            <v>40497.57</v>
          </cell>
          <cell r="AI24">
            <v>40337.910000000003</v>
          </cell>
          <cell r="AJ24">
            <v>40309.869999999995</v>
          </cell>
          <cell r="AK24">
            <v>39949.99</v>
          </cell>
          <cell r="AL24">
            <v>39454.5</v>
          </cell>
          <cell r="AM24">
            <v>39129.67</v>
          </cell>
          <cell r="AN24">
            <v>38877.11</v>
          </cell>
          <cell r="AO24">
            <v>38632.78</v>
          </cell>
          <cell r="AP24">
            <v>38728.629999999997</v>
          </cell>
          <cell r="AQ24">
            <v>38795.64</v>
          </cell>
          <cell r="AR24">
            <v>38855.189999999995</v>
          </cell>
          <cell r="AS24">
            <v>38921.740000000005</v>
          </cell>
          <cell r="AT24">
            <v>38795.21</v>
          </cell>
          <cell r="AU24">
            <v>38764.660000000003</v>
          </cell>
          <cell r="AV24">
            <v>38788.659999999996</v>
          </cell>
          <cell r="AW24">
            <v>38823.379999999997</v>
          </cell>
          <cell r="AX24">
            <v>38871.69</v>
          </cell>
          <cell r="AY24">
            <v>38925.03</v>
          </cell>
          <cell r="AZ24">
            <v>38975.11</v>
          </cell>
          <cell r="BA24">
            <v>39025.07</v>
          </cell>
          <cell r="BB24">
            <v>39074.82</v>
          </cell>
          <cell r="BC24">
            <v>39128.39</v>
          </cell>
          <cell r="BD24">
            <v>39179.369999999995</v>
          </cell>
          <cell r="BE24">
            <v>39231.050000000003</v>
          </cell>
          <cell r="BF24">
            <v>39281.22</v>
          </cell>
          <cell r="BG24">
            <v>39331.74</v>
          </cell>
          <cell r="BH24">
            <v>39382.869999999995</v>
          </cell>
          <cell r="BI24">
            <v>39432.76</v>
          </cell>
          <cell r="BJ24">
            <v>39483.450000000004</v>
          </cell>
          <cell r="BK24">
            <v>39528.22</v>
          </cell>
        </row>
        <row r="31">
          <cell r="C31">
            <v>4372.75</v>
          </cell>
          <cell r="D31">
            <v>4493.6499999999996</v>
          </cell>
          <cell r="E31">
            <v>4607.3099999999995</v>
          </cell>
          <cell r="F31">
            <v>4725.1500000000005</v>
          </cell>
          <cell r="G31">
            <v>4596.63</v>
          </cell>
          <cell r="H31">
            <v>4700.2700000000004</v>
          </cell>
          <cell r="I31">
            <v>4797.3799999999992</v>
          </cell>
          <cell r="J31">
            <v>4865.95</v>
          </cell>
          <cell r="K31">
            <v>4861.25</v>
          </cell>
          <cell r="L31">
            <v>4890.09</v>
          </cell>
          <cell r="M31">
            <v>4921.0499999999993</v>
          </cell>
          <cell r="N31">
            <v>4945.2700000000004</v>
          </cell>
          <cell r="O31">
            <v>4961.83</v>
          </cell>
          <cell r="P31">
            <v>4855.83</v>
          </cell>
          <cell r="Q31">
            <v>4875.1400000000003</v>
          </cell>
          <cell r="R31">
            <v>4861.8200000000006</v>
          </cell>
          <cell r="S31">
            <v>4639.8899999999994</v>
          </cell>
          <cell r="T31">
            <v>4599.12</v>
          </cell>
          <cell r="U31">
            <v>4504.4399999999996</v>
          </cell>
          <cell r="V31">
            <v>4357.4999999999991</v>
          </cell>
          <cell r="W31">
            <v>4294.6499999999996</v>
          </cell>
          <cell r="X31">
            <v>4126.8599999999997</v>
          </cell>
          <cell r="Y31">
            <v>4007.8900000000003</v>
          </cell>
          <cell r="Z31">
            <v>3951.99</v>
          </cell>
          <cell r="AA31">
            <v>3903.12</v>
          </cell>
          <cell r="AB31">
            <v>3860.82</v>
          </cell>
          <cell r="AC31">
            <v>3828.4</v>
          </cell>
          <cell r="AD31">
            <v>3785.77</v>
          </cell>
          <cell r="AE31">
            <v>3711.07</v>
          </cell>
          <cell r="AF31">
            <v>3659.63</v>
          </cell>
          <cell r="AG31">
            <v>3609.0541234000002</v>
          </cell>
          <cell r="AH31">
            <v>3550.8385631000001</v>
          </cell>
          <cell r="AI31">
            <v>3528.9796394409086</v>
          </cell>
          <cell r="AJ31">
            <v>3513.9654035342137</v>
          </cell>
          <cell r="AK31">
            <v>3490.4085217774286</v>
          </cell>
          <cell r="AL31">
            <v>3456.8345174888254</v>
          </cell>
          <cell r="AM31">
            <v>3382.6694564565123</v>
          </cell>
          <cell r="AN31">
            <v>3316.8006266848492</v>
          </cell>
          <cell r="AO31">
            <v>3260.6180280410208</v>
          </cell>
          <cell r="AP31">
            <v>3245.6229180873634</v>
          </cell>
          <cell r="AQ31">
            <v>3232.0817283053689</v>
          </cell>
          <cell r="AR31">
            <v>3219.9335517826603</v>
          </cell>
          <cell r="AS31">
            <v>3213.5739114061998</v>
          </cell>
          <cell r="AT31">
            <v>3209.5458393799131</v>
          </cell>
          <cell r="AU31">
            <v>3206.9702285095909</v>
          </cell>
          <cell r="AV31">
            <v>3206.1506679693225</v>
          </cell>
          <cell r="AW31">
            <v>3205.8861784799192</v>
          </cell>
          <cell r="AX31">
            <v>3206.3260831444181</v>
          </cell>
          <cell r="AY31">
            <v>3207.3740247192491</v>
          </cell>
          <cell r="AZ31">
            <v>3208.9468799838723</v>
          </cell>
          <cell r="BA31">
            <v>3211.0650632594552</v>
          </cell>
          <cell r="BB31">
            <v>3214.2028551499689</v>
          </cell>
          <cell r="BC31">
            <v>3218.1848018147871</v>
          </cell>
          <cell r="BD31">
            <v>3222.86659236896</v>
          </cell>
          <cell r="BE31">
            <v>3228.1678579814743</v>
          </cell>
          <cell r="BF31">
            <v>3234.0981201741283</v>
          </cell>
          <cell r="BG31">
            <v>3240.3964062385694</v>
          </cell>
          <cell r="BH31">
            <v>3246.8151995028679</v>
          </cell>
          <cell r="BI31">
            <v>3253.67867274733</v>
          </cell>
          <cell r="BJ31">
            <v>3260.874467360441</v>
          </cell>
          <cell r="BK31">
            <v>3268.3785539568644</v>
          </cell>
        </row>
        <row r="38">
          <cell r="C38">
            <v>850.25</v>
          </cell>
          <cell r="D38">
            <v>858.37</v>
          </cell>
          <cell r="E38">
            <v>1117.43</v>
          </cell>
          <cell r="F38">
            <v>1191.1199999999999</v>
          </cell>
          <cell r="G38">
            <v>1328.49</v>
          </cell>
          <cell r="H38">
            <v>881.39</v>
          </cell>
          <cell r="I38">
            <v>63.45</v>
          </cell>
          <cell r="J38">
            <v>-1319.64</v>
          </cell>
          <cell r="K38">
            <v>-3370.38</v>
          </cell>
          <cell r="L38">
            <v>-5899.66</v>
          </cell>
          <cell r="M38">
            <v>-6045.99</v>
          </cell>
          <cell r="N38">
            <v>-8560.69</v>
          </cell>
          <cell r="O38">
            <v>-10490.04</v>
          </cell>
          <cell r="P38">
            <v>-10231.209999999999</v>
          </cell>
          <cell r="Q38">
            <v>-7958.18</v>
          </cell>
          <cell r="R38">
            <v>-4041.68</v>
          </cell>
          <cell r="S38">
            <v>-1405.91</v>
          </cell>
          <cell r="T38">
            <v>2986.46</v>
          </cell>
          <cell r="U38">
            <v>-13812.9</v>
          </cell>
          <cell r="V38">
            <v>-11782.19</v>
          </cell>
          <cell r="W38">
            <v>-11670.17</v>
          </cell>
          <cell r="X38">
            <v>-12779.04</v>
          </cell>
          <cell r="Y38">
            <v>-11036.96</v>
          </cell>
          <cell r="Z38">
            <v>-8724.74</v>
          </cell>
          <cell r="AA38">
            <v>-11232.75</v>
          </cell>
          <cell r="AB38">
            <v>-11884.86</v>
          </cell>
          <cell r="AC38">
            <v>-11309.65</v>
          </cell>
          <cell r="AD38">
            <v>-10158.709999999999</v>
          </cell>
          <cell r="AE38">
            <v>-10124.09</v>
          </cell>
          <cell r="AF38">
            <v>-9202.64</v>
          </cell>
          <cell r="AG38">
            <v>-7705.42</v>
          </cell>
          <cell r="AH38">
            <v>-7031.13</v>
          </cell>
          <cell r="AI38">
            <v>-5411.7</v>
          </cell>
          <cell r="AJ38">
            <v>-4902.45</v>
          </cell>
          <cell r="AK38">
            <v>-4807.99</v>
          </cell>
          <cell r="AL38">
            <v>-5663.4</v>
          </cell>
          <cell r="AM38">
            <v>-7063.75</v>
          </cell>
          <cell r="AN38">
            <v>-8932.7099999999991</v>
          </cell>
          <cell r="AO38">
            <v>-11175.76</v>
          </cell>
          <cell r="AP38">
            <v>-13075.44</v>
          </cell>
          <cell r="AQ38">
            <v>-14321.71</v>
          </cell>
          <cell r="AR38">
            <v>-14923.65</v>
          </cell>
          <cell r="AS38">
            <v>-15158.74</v>
          </cell>
          <cell r="AT38">
            <v>-15652.65</v>
          </cell>
          <cell r="AU38">
            <v>-15957.07</v>
          </cell>
          <cell r="AV38">
            <v>-16502.12</v>
          </cell>
          <cell r="AW38">
            <v>-17468.43</v>
          </cell>
          <cell r="AX38">
            <v>-19897.96</v>
          </cell>
          <cell r="AY38">
            <v>-20901.34</v>
          </cell>
          <cell r="AZ38">
            <v>-21997.96</v>
          </cell>
          <cell r="BA38">
            <v>-23009.06</v>
          </cell>
          <cell r="BB38">
            <v>-23990.49</v>
          </cell>
          <cell r="BC38">
            <v>-24604.54</v>
          </cell>
          <cell r="BD38">
            <v>-24653.75</v>
          </cell>
          <cell r="BE38">
            <v>-24378.51</v>
          </cell>
          <cell r="BF38">
            <v>-23381.39</v>
          </cell>
          <cell r="BG38">
            <v>-22575.57</v>
          </cell>
          <cell r="BH38">
            <v>-21780.66</v>
          </cell>
          <cell r="BI38">
            <v>-21885.5</v>
          </cell>
          <cell r="BJ38">
            <v>-21965.09</v>
          </cell>
          <cell r="BK38">
            <v>-22112.77</v>
          </cell>
        </row>
        <row r="45">
          <cell r="C45">
            <v>3480.5699999999997</v>
          </cell>
          <cell r="D45">
            <v>3632.8199999999997</v>
          </cell>
          <cell r="E45">
            <v>3322.77</v>
          </cell>
          <cell r="F45">
            <v>3188.71</v>
          </cell>
          <cell r="G45">
            <v>3066.19</v>
          </cell>
          <cell r="H45">
            <v>3166.2499999999995</v>
          </cell>
          <cell r="I45">
            <v>3331.17</v>
          </cell>
          <cell r="J45">
            <v>3253.5699999999997</v>
          </cell>
          <cell r="K45">
            <v>3244.59</v>
          </cell>
          <cell r="L45">
            <v>3430.8</v>
          </cell>
          <cell r="M45">
            <v>3467.51</v>
          </cell>
          <cell r="N45">
            <v>3572.0300000000007</v>
          </cell>
          <cell r="O45">
            <v>3647.88</v>
          </cell>
          <cell r="P45">
            <v>3839.1600000000003</v>
          </cell>
          <cell r="Q45">
            <v>3896.32</v>
          </cell>
          <cell r="R45">
            <v>4007.7399999999993</v>
          </cell>
          <cell r="S45">
            <v>4098.7400000000007</v>
          </cell>
          <cell r="T45">
            <v>4330.3599999999997</v>
          </cell>
          <cell r="U45">
            <v>4213.8</v>
          </cell>
          <cell r="V45">
            <v>4177.3</v>
          </cell>
          <cell r="W45">
            <v>4515.88</v>
          </cell>
          <cell r="X45">
            <v>4543.079999999999</v>
          </cell>
          <cell r="Y45">
            <v>4570.51</v>
          </cell>
          <cell r="Z45">
            <v>4668.79</v>
          </cell>
          <cell r="AA45">
            <v>4870.8200000000006</v>
          </cell>
          <cell r="AB45">
            <v>4974.3700000000008</v>
          </cell>
          <cell r="AC45">
            <v>4706.57</v>
          </cell>
          <cell r="AD45">
            <v>4727.4399999999996</v>
          </cell>
          <cell r="AE45">
            <v>4638.46</v>
          </cell>
          <cell r="AF45">
            <v>4690.5999999999995</v>
          </cell>
          <cell r="AG45">
            <v>4495.22</v>
          </cell>
          <cell r="AH45">
            <v>4514.6100000000006</v>
          </cell>
          <cell r="AI45">
            <v>4448.3900000000003</v>
          </cell>
          <cell r="AJ45">
            <v>4320.8500000000004</v>
          </cell>
          <cell r="AK45">
            <v>4320.95</v>
          </cell>
          <cell r="AL45">
            <v>3705.9400000000005</v>
          </cell>
          <cell r="AM45">
            <v>3689.75</v>
          </cell>
          <cell r="AN45">
            <v>3634.88</v>
          </cell>
          <cell r="AO45">
            <v>3610.6399999999994</v>
          </cell>
          <cell r="AP45">
            <v>3605.05</v>
          </cell>
          <cell r="AQ45">
            <v>3583.84</v>
          </cell>
          <cell r="AR45">
            <v>3543.7400000000002</v>
          </cell>
          <cell r="AS45">
            <v>3519.7200000000003</v>
          </cell>
          <cell r="AT45">
            <v>3481.3899999999994</v>
          </cell>
          <cell r="AU45">
            <v>3443.51</v>
          </cell>
          <cell r="AV45">
            <v>3413.5</v>
          </cell>
          <cell r="AW45">
            <v>3402.5400000000004</v>
          </cell>
          <cell r="AX45">
            <v>3395.17</v>
          </cell>
          <cell r="AY45">
            <v>3382.5000000000005</v>
          </cell>
          <cell r="AZ45">
            <v>3383.6800000000003</v>
          </cell>
          <cell r="BA45">
            <v>3363.7000000000003</v>
          </cell>
          <cell r="BB45">
            <v>3337.6500000000005</v>
          </cell>
          <cell r="BC45">
            <v>3312.5300000000007</v>
          </cell>
          <cell r="BD45">
            <v>3296.8900000000003</v>
          </cell>
          <cell r="BE45">
            <v>3274.2700000000004</v>
          </cell>
          <cell r="BF45">
            <v>3251.2500000000005</v>
          </cell>
          <cell r="BG45">
            <v>3223.88</v>
          </cell>
          <cell r="BH45">
            <v>3198.05</v>
          </cell>
          <cell r="BI45">
            <v>3172.01</v>
          </cell>
          <cell r="BJ45">
            <v>3152.32</v>
          </cell>
          <cell r="BK45">
            <v>3130.5800000000004</v>
          </cell>
        </row>
      </sheetData>
      <sheetData sheetId="3">
        <row r="10">
          <cell r="C10">
            <v>15869.15</v>
          </cell>
          <cell r="D10">
            <v>16318.24</v>
          </cell>
          <cell r="E10">
            <v>17806.36</v>
          </cell>
          <cell r="F10">
            <v>16862.61</v>
          </cell>
          <cell r="G10">
            <v>16521.219999999998</v>
          </cell>
          <cell r="H10">
            <v>15645.529999999999</v>
          </cell>
          <cell r="I10">
            <v>17078.45</v>
          </cell>
          <cell r="J10">
            <v>18834.75</v>
          </cell>
          <cell r="K10">
            <v>17039.14</v>
          </cell>
          <cell r="L10">
            <v>18096.990000000002</v>
          </cell>
          <cell r="M10">
            <v>18260.829999999998</v>
          </cell>
          <cell r="N10">
            <v>20189.75</v>
          </cell>
          <cell r="O10">
            <v>19666.3</v>
          </cell>
          <cell r="P10">
            <v>20531.169999999998</v>
          </cell>
          <cell r="Q10">
            <v>19919.11</v>
          </cell>
          <cell r="R10">
            <v>21442.36</v>
          </cell>
          <cell r="S10">
            <v>21836.82</v>
          </cell>
          <cell r="T10">
            <v>20317.259999999998</v>
          </cell>
          <cell r="U10">
            <v>21462.959999999999</v>
          </cell>
          <cell r="V10">
            <v>19026.62</v>
          </cell>
          <cell r="W10">
            <v>18979.530000000002</v>
          </cell>
          <cell r="X10">
            <v>18303.080000000002</v>
          </cell>
          <cell r="Y10">
            <v>19965.84</v>
          </cell>
          <cell r="Z10">
            <v>18998.71</v>
          </cell>
          <cell r="AA10">
            <v>18793.73</v>
          </cell>
          <cell r="AB10">
            <v>18551.620000000003</v>
          </cell>
          <cell r="AC10">
            <v>17040.32</v>
          </cell>
          <cell r="AD10">
            <v>17565.25</v>
          </cell>
          <cell r="AE10">
            <v>17332.829999999998</v>
          </cell>
          <cell r="AF10">
            <v>18788.179999999997</v>
          </cell>
          <cell r="AG10">
            <v>17789.63</v>
          </cell>
          <cell r="AH10">
            <v>17442.130000000005</v>
          </cell>
          <cell r="AI10">
            <v>14734.22</v>
          </cell>
          <cell r="AJ10">
            <v>15757.279999999999</v>
          </cell>
          <cell r="AK10">
            <v>14948.65</v>
          </cell>
          <cell r="AL10">
            <v>12120.73</v>
          </cell>
          <cell r="AM10">
            <v>11330.57</v>
          </cell>
          <cell r="AN10">
            <v>10504.91</v>
          </cell>
          <cell r="AO10">
            <v>10040.31</v>
          </cell>
          <cell r="AP10">
            <v>9550.2900000000009</v>
          </cell>
          <cell r="AQ10">
            <v>9253.17</v>
          </cell>
          <cell r="AR10">
            <v>9141.02</v>
          </cell>
          <cell r="AS10">
            <v>8932.84</v>
          </cell>
          <cell r="AT10">
            <v>8894.6</v>
          </cell>
          <cell r="AU10">
            <v>8600.7199999999993</v>
          </cell>
          <cell r="AV10">
            <v>8459.1999999999989</v>
          </cell>
          <cell r="AW10">
            <v>8525.09</v>
          </cell>
          <cell r="AX10">
            <v>8446.4599999999991</v>
          </cell>
          <cell r="AY10">
            <v>7523.38</v>
          </cell>
          <cell r="AZ10">
            <v>7379.41</v>
          </cell>
          <cell r="BA10">
            <v>7319.96</v>
          </cell>
          <cell r="BB10">
            <v>6627.5199999999995</v>
          </cell>
          <cell r="BC10">
            <v>6565.12</v>
          </cell>
          <cell r="BD10">
            <v>6551.4400000000005</v>
          </cell>
          <cell r="BE10">
            <v>6583.65</v>
          </cell>
          <cell r="BF10">
            <v>6642.57</v>
          </cell>
          <cell r="BG10">
            <v>6745.18</v>
          </cell>
          <cell r="BH10">
            <v>6728.11</v>
          </cell>
          <cell r="BI10">
            <v>6584.59</v>
          </cell>
          <cell r="BJ10">
            <v>6472.0300000000007</v>
          </cell>
          <cell r="BK10">
            <v>6374.61</v>
          </cell>
        </row>
        <row r="17">
          <cell r="C17">
            <v>8123.4699999999993</v>
          </cell>
          <cell r="D17">
            <v>8103.15</v>
          </cell>
          <cell r="E17">
            <v>8465.3799999999992</v>
          </cell>
          <cell r="F17">
            <v>8917.1099999999988</v>
          </cell>
          <cell r="G17">
            <v>9577.08</v>
          </cell>
          <cell r="H17">
            <v>10239.76</v>
          </cell>
          <cell r="I17">
            <v>10370.209999999999</v>
          </cell>
          <cell r="J17">
            <v>10595.89</v>
          </cell>
          <cell r="K17">
            <v>10800.29</v>
          </cell>
          <cell r="L17">
            <v>11085.25</v>
          </cell>
          <cell r="M17">
            <v>11635.18</v>
          </cell>
          <cell r="N17">
            <v>11692.740000000002</v>
          </cell>
          <cell r="O17">
            <v>12148.08</v>
          </cell>
          <cell r="P17">
            <v>12682.55</v>
          </cell>
          <cell r="Q17">
            <v>12975.97</v>
          </cell>
          <cell r="R17">
            <v>13046.880000000001</v>
          </cell>
          <cell r="S17">
            <v>13165.76</v>
          </cell>
          <cell r="T17">
            <v>13268.76</v>
          </cell>
          <cell r="U17">
            <v>13278.56</v>
          </cell>
          <cell r="V17">
            <v>13085.960000000001</v>
          </cell>
          <cell r="W17">
            <v>13334.779999999999</v>
          </cell>
          <cell r="X17">
            <v>13318.210000000001</v>
          </cell>
          <cell r="Y17">
            <v>12993.499999999998</v>
          </cell>
          <cell r="Z17">
            <v>13068.25</v>
          </cell>
          <cell r="AA17">
            <v>13326.980000000001</v>
          </cell>
          <cell r="AB17">
            <v>13801.810000000001</v>
          </cell>
          <cell r="AC17">
            <v>13894.369999999999</v>
          </cell>
          <cell r="AD17">
            <v>14792.88</v>
          </cell>
          <cell r="AE17">
            <v>15115.519999999999</v>
          </cell>
          <cell r="AF17">
            <v>14644.25</v>
          </cell>
          <cell r="AG17">
            <v>13192.24</v>
          </cell>
          <cell r="AH17">
            <v>13846.17</v>
          </cell>
          <cell r="AI17">
            <v>13889.24</v>
          </cell>
          <cell r="AJ17">
            <v>14110.1</v>
          </cell>
          <cell r="AK17">
            <v>14105.59</v>
          </cell>
          <cell r="AL17">
            <v>14058.09</v>
          </cell>
          <cell r="AM17">
            <v>13963.71</v>
          </cell>
          <cell r="AN17">
            <v>13841.49</v>
          </cell>
          <cell r="AO17">
            <v>13694.38</v>
          </cell>
          <cell r="AP17">
            <v>13545.170000000002</v>
          </cell>
          <cell r="AQ17">
            <v>13360.21</v>
          </cell>
          <cell r="AR17">
            <v>13158.62</v>
          </cell>
          <cell r="AS17">
            <v>12920.1</v>
          </cell>
          <cell r="AT17">
            <v>12646.79</v>
          </cell>
          <cell r="AU17">
            <v>12331.4</v>
          </cell>
          <cell r="AV17">
            <v>11974.46</v>
          </cell>
          <cell r="AW17">
            <v>11581.56</v>
          </cell>
          <cell r="AX17">
            <v>11151.82</v>
          </cell>
          <cell r="AY17">
            <v>10687.05</v>
          </cell>
          <cell r="AZ17">
            <v>10195.529999999999</v>
          </cell>
          <cell r="BA17">
            <v>9700.06</v>
          </cell>
          <cell r="BB17">
            <v>9217.4400000000023</v>
          </cell>
          <cell r="BC17">
            <v>8750.48</v>
          </cell>
          <cell r="BD17">
            <v>8301.6</v>
          </cell>
          <cell r="BE17">
            <v>7878.88</v>
          </cell>
          <cell r="BF17">
            <v>7477.8600000000006</v>
          </cell>
          <cell r="BG17">
            <v>7095.5300000000007</v>
          </cell>
          <cell r="BH17">
            <v>6731.22</v>
          </cell>
          <cell r="BI17">
            <v>6386.63</v>
          </cell>
          <cell r="BJ17">
            <v>6058.6900000000005</v>
          </cell>
          <cell r="BK17">
            <v>5751.5700000000006</v>
          </cell>
        </row>
        <row r="24">
          <cell r="C24">
            <v>36052.92</v>
          </cell>
          <cell r="D24">
            <v>36305.599999999999</v>
          </cell>
          <cell r="E24">
            <v>35802.46</v>
          </cell>
          <cell r="F24">
            <v>36186.239999999998</v>
          </cell>
          <cell r="G24">
            <v>37363.370000000003</v>
          </cell>
          <cell r="H24">
            <v>37941.46</v>
          </cell>
          <cell r="I24">
            <v>38290.49</v>
          </cell>
          <cell r="J24">
            <v>39201.39</v>
          </cell>
          <cell r="K24">
            <v>38545.64</v>
          </cell>
          <cell r="L24">
            <v>38790.620000000003</v>
          </cell>
          <cell r="M24">
            <v>39947.78</v>
          </cell>
          <cell r="N24">
            <v>40715.159999999996</v>
          </cell>
          <cell r="O24">
            <v>40561.56</v>
          </cell>
          <cell r="P24">
            <v>41154.449999999997</v>
          </cell>
          <cell r="Q24">
            <v>41258.270000000004</v>
          </cell>
          <cell r="R24">
            <v>41664.339999999997</v>
          </cell>
          <cell r="S24">
            <v>41438.29</v>
          </cell>
          <cell r="T24">
            <v>40496.509999999995</v>
          </cell>
          <cell r="U24">
            <v>39092.180000000008</v>
          </cell>
          <cell r="V24">
            <v>39232.319999999992</v>
          </cell>
          <cell r="W24">
            <v>39461.519999999997</v>
          </cell>
          <cell r="X24">
            <v>40065.619999999995</v>
          </cell>
          <cell r="Y24">
            <v>40813.06</v>
          </cell>
          <cell r="Z24">
            <v>40997.43</v>
          </cell>
          <cell r="AA24">
            <v>41575.790000000008</v>
          </cell>
          <cell r="AB24">
            <v>41042.85</v>
          </cell>
          <cell r="AC24">
            <v>40576.680000000008</v>
          </cell>
          <cell r="AD24">
            <v>40737.299999999996</v>
          </cell>
          <cell r="AE24">
            <v>41064.229999999996</v>
          </cell>
          <cell r="AF24">
            <v>41144.25</v>
          </cell>
          <cell r="AG24">
            <v>41083.01</v>
          </cell>
          <cell r="AH24">
            <v>40497.57</v>
          </cell>
          <cell r="AI24">
            <v>39539.14</v>
          </cell>
          <cell r="AJ24">
            <v>38729.08</v>
          </cell>
          <cell r="AK24">
            <v>37849.4</v>
          </cell>
          <cell r="AL24">
            <v>37379.97</v>
          </cell>
          <cell r="AM24">
            <v>37072.229999999996</v>
          </cell>
          <cell r="AN24">
            <v>36832.94</v>
          </cell>
          <cell r="AO24">
            <v>36601.46</v>
          </cell>
          <cell r="AP24">
            <v>36037.07</v>
          </cell>
          <cell r="AQ24">
            <v>35525.51</v>
          </cell>
          <cell r="AR24">
            <v>35014</v>
          </cell>
          <cell r="AS24">
            <v>34515.509999999995</v>
          </cell>
          <cell r="AT24">
            <v>34250.15</v>
          </cell>
          <cell r="AU24">
            <v>34070.82</v>
          </cell>
          <cell r="AV24">
            <v>33940.07</v>
          </cell>
          <cell r="AW24">
            <v>33819.11</v>
          </cell>
          <cell r="AX24">
            <v>33710.31</v>
          </cell>
          <cell r="AY24">
            <v>33606.090000000004</v>
          </cell>
          <cell r="AZ24">
            <v>33499.269999999997</v>
          </cell>
          <cell r="BA24">
            <v>33392.589999999997</v>
          </cell>
          <cell r="BB24">
            <v>33285.97</v>
          </cell>
          <cell r="BC24">
            <v>33182.800000000003</v>
          </cell>
          <cell r="BD24">
            <v>33077.67</v>
          </cell>
          <cell r="BE24">
            <v>32973.340000000004</v>
          </cell>
          <cell r="BF24">
            <v>32867.96</v>
          </cell>
          <cell r="BG24">
            <v>32763.100000000002</v>
          </cell>
          <cell r="BH24">
            <v>32658.959999999999</v>
          </cell>
          <cell r="BI24">
            <v>32554.019999999997</v>
          </cell>
          <cell r="BJ24">
            <v>32449.97</v>
          </cell>
          <cell r="BK24">
            <v>32341.279999999999</v>
          </cell>
        </row>
        <row r="31">
          <cell r="C31">
            <v>4372.75</v>
          </cell>
          <cell r="D31">
            <v>4493.6499999999996</v>
          </cell>
          <cell r="E31">
            <v>4607.3099999999995</v>
          </cell>
          <cell r="F31">
            <v>4725.1500000000005</v>
          </cell>
          <cell r="G31">
            <v>4596.63</v>
          </cell>
          <cell r="H31">
            <v>4700.2700000000004</v>
          </cell>
          <cell r="I31">
            <v>4797.3799999999992</v>
          </cell>
          <cell r="J31">
            <v>4865.95</v>
          </cell>
          <cell r="K31">
            <v>4861.25</v>
          </cell>
          <cell r="L31">
            <v>4890.09</v>
          </cell>
          <cell r="M31">
            <v>4921.0499999999993</v>
          </cell>
          <cell r="N31">
            <v>4945.2700000000004</v>
          </cell>
          <cell r="O31">
            <v>4961.83</v>
          </cell>
          <cell r="P31">
            <v>4855.83</v>
          </cell>
          <cell r="Q31">
            <v>4875.1400000000003</v>
          </cell>
          <cell r="R31">
            <v>4861.8200000000006</v>
          </cell>
          <cell r="S31">
            <v>4639.8899999999994</v>
          </cell>
          <cell r="T31">
            <v>4599.12</v>
          </cell>
          <cell r="U31">
            <v>4504.4399999999996</v>
          </cell>
          <cell r="V31">
            <v>4357.4999999999991</v>
          </cell>
          <cell r="W31">
            <v>4294.6499999999996</v>
          </cell>
          <cell r="X31">
            <v>4126.8599999999997</v>
          </cell>
          <cell r="Y31">
            <v>4007.8900000000003</v>
          </cell>
          <cell r="Z31">
            <v>3951.99</v>
          </cell>
          <cell r="AA31">
            <v>3903.12</v>
          </cell>
          <cell r="AB31">
            <v>3860.82</v>
          </cell>
          <cell r="AC31">
            <v>3828.4</v>
          </cell>
          <cell r="AD31">
            <v>3785.77</v>
          </cell>
          <cell r="AE31">
            <v>3711.07</v>
          </cell>
          <cell r="AF31">
            <v>3659.63</v>
          </cell>
          <cell r="AG31">
            <v>3609.0541234000002</v>
          </cell>
          <cell r="AH31">
            <v>3550.8385631000001</v>
          </cell>
          <cell r="AI31">
            <v>3524.3611802876567</v>
          </cell>
          <cell r="AJ31">
            <v>3505.2956306547708</v>
          </cell>
          <cell r="AK31">
            <v>3471.7174645055966</v>
          </cell>
          <cell r="AL31">
            <v>3424.7089986147444</v>
          </cell>
          <cell r="AM31">
            <v>3311.0009374096503</v>
          </cell>
          <cell r="AN31">
            <v>3206.7820209318756</v>
          </cell>
          <cell r="AO31">
            <v>3113.5678549155973</v>
          </cell>
          <cell r="AP31">
            <v>3086.2247526355459</v>
          </cell>
          <cell r="AQ31">
            <v>3059.999217420956</v>
          </cell>
          <cell r="AR31">
            <v>3033.1989401214291</v>
          </cell>
          <cell r="AS31">
            <v>3014.1540452408994</v>
          </cell>
          <cell r="AT31">
            <v>2997.8084897081781</v>
          </cell>
          <cell r="AU31">
            <v>2982.9448099576553</v>
          </cell>
          <cell r="AV31">
            <v>2969.495591972945</v>
          </cell>
          <cell r="AW31">
            <v>2956.2895140219616</v>
          </cell>
          <cell r="AX31">
            <v>2943.2930398825947</v>
          </cell>
          <cell r="AY31">
            <v>2930.5869563566862</v>
          </cell>
          <cell r="AZ31">
            <v>2918.0685780169133</v>
          </cell>
          <cell r="BA31">
            <v>2906.2131990208441</v>
          </cell>
          <cell r="BB31">
            <v>2894.873001390114</v>
          </cell>
          <cell r="BC31">
            <v>2883.8226595298083</v>
          </cell>
          <cell r="BD31">
            <v>2872.9974852034393</v>
          </cell>
          <cell r="BE31">
            <v>2862.33922596921</v>
          </cell>
          <cell r="BF31">
            <v>2851.9762579199341</v>
          </cell>
          <cell r="BG31">
            <v>2841.8822858013045</v>
          </cell>
          <cell r="BH31">
            <v>2831.8683237767409</v>
          </cell>
          <cell r="BI31">
            <v>2822.0825461637323</v>
          </cell>
          <cell r="BJ31">
            <v>2812.2033596869383</v>
          </cell>
          <cell r="BK31">
            <v>2802.537761040574</v>
          </cell>
        </row>
        <row r="38">
          <cell r="C38">
            <v>850.25</v>
          </cell>
          <cell r="D38">
            <v>858.37</v>
          </cell>
          <cell r="E38">
            <v>1117.43</v>
          </cell>
          <cell r="F38">
            <v>1191.1199999999999</v>
          </cell>
          <cell r="G38">
            <v>1328.49</v>
          </cell>
          <cell r="H38">
            <v>881.39</v>
          </cell>
          <cell r="I38">
            <v>63.45</v>
          </cell>
          <cell r="J38">
            <v>-1319.64</v>
          </cell>
          <cell r="K38">
            <v>-3370.38</v>
          </cell>
          <cell r="L38">
            <v>-5899.66</v>
          </cell>
          <cell r="M38">
            <v>-6045.99</v>
          </cell>
          <cell r="N38">
            <v>-8560.69</v>
          </cell>
          <cell r="O38">
            <v>-10490.04</v>
          </cell>
          <cell r="P38">
            <v>-10231.209999999999</v>
          </cell>
          <cell r="Q38">
            <v>-7958.18</v>
          </cell>
          <cell r="R38">
            <v>-4041.68</v>
          </cell>
          <cell r="S38">
            <v>-1405.91</v>
          </cell>
          <cell r="T38">
            <v>2986.46</v>
          </cell>
          <cell r="U38">
            <v>-13812.9</v>
          </cell>
          <cell r="V38">
            <v>-11782.19</v>
          </cell>
          <cell r="W38">
            <v>-11670.17</v>
          </cell>
          <cell r="X38">
            <v>-12779.04</v>
          </cell>
          <cell r="Y38">
            <v>-11036.96</v>
          </cell>
          <cell r="Z38">
            <v>-8724.74</v>
          </cell>
          <cell r="AA38">
            <v>-11232.75</v>
          </cell>
          <cell r="AB38">
            <v>-11884.86</v>
          </cell>
          <cell r="AC38">
            <v>-11309.65</v>
          </cell>
          <cell r="AD38">
            <v>-10158.709999999999</v>
          </cell>
          <cell r="AE38">
            <v>-10124.09</v>
          </cell>
          <cell r="AF38">
            <v>-9202.64</v>
          </cell>
          <cell r="AG38">
            <v>-7705.42</v>
          </cell>
          <cell r="AH38">
            <v>-7031.13</v>
          </cell>
          <cell r="AI38">
            <v>-6880.17</v>
          </cell>
          <cell r="AJ38">
            <v>-6078.62</v>
          </cell>
          <cell r="AK38">
            <v>-6037.61</v>
          </cell>
          <cell r="AL38">
            <v>-6979.46</v>
          </cell>
          <cell r="AM38">
            <v>-8515.5300000000007</v>
          </cell>
          <cell r="AN38">
            <v>-10707.3</v>
          </cell>
          <cell r="AO38">
            <v>-13286.33</v>
          </cell>
          <cell r="AP38">
            <v>-16289.49</v>
          </cell>
          <cell r="AQ38">
            <v>-18662.48</v>
          </cell>
          <cell r="AR38">
            <v>-19646.310000000001</v>
          </cell>
          <cell r="AS38">
            <v>-20373.7</v>
          </cell>
          <cell r="AT38">
            <v>-21294.29</v>
          </cell>
          <cell r="AU38">
            <v>-22026.31</v>
          </cell>
          <cell r="AV38">
            <v>-23066.7</v>
          </cell>
          <cell r="AW38">
            <v>-24606.65</v>
          </cell>
          <cell r="AX38">
            <v>-26713.759999999998</v>
          </cell>
          <cell r="AY38">
            <v>-28312.3</v>
          </cell>
          <cell r="AZ38">
            <v>-30005.87</v>
          </cell>
          <cell r="BA38">
            <v>-31624.74</v>
          </cell>
          <cell r="BB38">
            <v>-33217.11</v>
          </cell>
          <cell r="BC38">
            <v>-34440.959999999999</v>
          </cell>
          <cell r="BD38">
            <v>-35170.78</v>
          </cell>
          <cell r="BE38">
            <v>-35511.51</v>
          </cell>
          <cell r="BF38">
            <v>-35180.65</v>
          </cell>
          <cell r="BG38">
            <v>-33961.47</v>
          </cell>
          <cell r="BH38">
            <v>-33166.199999999997</v>
          </cell>
          <cell r="BI38">
            <v>-33593.74</v>
          </cell>
          <cell r="BJ38">
            <v>-34034.99</v>
          </cell>
          <cell r="BK38">
            <v>-34555.35</v>
          </cell>
        </row>
        <row r="45">
          <cell r="C45">
            <v>3480.5699999999997</v>
          </cell>
          <cell r="D45">
            <v>3632.8199999999997</v>
          </cell>
          <cell r="E45">
            <v>3322.77</v>
          </cell>
          <cell r="F45">
            <v>3188.71</v>
          </cell>
          <cell r="G45">
            <v>3066.19</v>
          </cell>
          <cell r="H45">
            <v>3166.2499999999995</v>
          </cell>
          <cell r="I45">
            <v>3331.17</v>
          </cell>
          <cell r="J45">
            <v>3253.5699999999997</v>
          </cell>
          <cell r="K45">
            <v>3244.59</v>
          </cell>
          <cell r="L45">
            <v>3430.8</v>
          </cell>
          <cell r="M45">
            <v>3467.51</v>
          </cell>
          <cell r="N45">
            <v>3572.0300000000007</v>
          </cell>
          <cell r="O45">
            <v>3647.88</v>
          </cell>
          <cell r="P45">
            <v>3839.1600000000003</v>
          </cell>
          <cell r="Q45">
            <v>3896.32</v>
          </cell>
          <cell r="R45">
            <v>4007.7399999999993</v>
          </cell>
          <cell r="S45">
            <v>4098.7400000000007</v>
          </cell>
          <cell r="T45">
            <v>4330.3599999999997</v>
          </cell>
          <cell r="U45">
            <v>4213.8</v>
          </cell>
          <cell r="V45">
            <v>4177.3</v>
          </cell>
          <cell r="W45">
            <v>4515.88</v>
          </cell>
          <cell r="X45">
            <v>4543.079999999999</v>
          </cell>
          <cell r="Y45">
            <v>4570.51</v>
          </cell>
          <cell r="Z45">
            <v>4668.79</v>
          </cell>
          <cell r="AA45">
            <v>4870.8200000000006</v>
          </cell>
          <cell r="AB45">
            <v>4974.3700000000008</v>
          </cell>
          <cell r="AC45">
            <v>4706.57</v>
          </cell>
          <cell r="AD45">
            <v>4727.4399999999996</v>
          </cell>
          <cell r="AE45">
            <v>4638.46</v>
          </cell>
          <cell r="AF45">
            <v>4690.5999999999995</v>
          </cell>
          <cell r="AG45">
            <v>4495.22</v>
          </cell>
          <cell r="AH45">
            <v>4514.6100000000006</v>
          </cell>
          <cell r="AI45">
            <v>4447.9100000000008</v>
          </cell>
          <cell r="AJ45">
            <v>4285.29</v>
          </cell>
          <cell r="AK45">
            <v>4213.67</v>
          </cell>
          <cell r="AL45">
            <v>3550.66</v>
          </cell>
          <cell r="AM45">
            <v>3518.6000000000004</v>
          </cell>
          <cell r="AN45">
            <v>3450.9100000000003</v>
          </cell>
          <cell r="AO45">
            <v>3404.28</v>
          </cell>
          <cell r="AP45">
            <v>3373.2900000000004</v>
          </cell>
          <cell r="AQ45">
            <v>3318.62</v>
          </cell>
          <cell r="AR45">
            <v>3249.8900000000003</v>
          </cell>
          <cell r="AS45">
            <v>3195.3500000000004</v>
          </cell>
          <cell r="AT45">
            <v>3127.5899999999997</v>
          </cell>
          <cell r="AU45">
            <v>3060.0300000000007</v>
          </cell>
          <cell r="AV45">
            <v>2990.1700000000005</v>
          </cell>
          <cell r="AW45">
            <v>2953.71</v>
          </cell>
          <cell r="AX45">
            <v>2922.0600000000004</v>
          </cell>
          <cell r="AY45">
            <v>2883.4500000000007</v>
          </cell>
          <cell r="AZ45">
            <v>2860.38</v>
          </cell>
          <cell r="BA45">
            <v>2816.7200000000003</v>
          </cell>
          <cell r="BB45">
            <v>2777.1700000000005</v>
          </cell>
          <cell r="BC45">
            <v>2744.3900000000008</v>
          </cell>
          <cell r="BD45">
            <v>2728.4700000000007</v>
          </cell>
          <cell r="BE45">
            <v>2703.1400000000003</v>
          </cell>
          <cell r="BF45">
            <v>2682.8500000000004</v>
          </cell>
          <cell r="BG45">
            <v>2660.9100000000008</v>
          </cell>
          <cell r="BH45">
            <v>2641.5700000000006</v>
          </cell>
          <cell r="BI45">
            <v>2623.82</v>
          </cell>
          <cell r="BJ45">
            <v>2608.9900000000007</v>
          </cell>
          <cell r="BK45">
            <v>2597.2800000000007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ttons"/>
      <sheetName val="Assumptions"/>
      <sheetName val="FIRST"/>
      <sheetName val="UOMI"/>
      <sheetName val="NRWTByPayer"/>
      <sheetName val="NRWTListed"/>
      <sheetName val="NRWTNoms"/>
      <sheetName val="FDWPRevDtl"/>
      <sheetName val="FDWPRecDtl"/>
      <sheetName val="Dividends"/>
      <sheetName val="OutturnData"/>
      <sheetName val="ScratchPad"/>
      <sheetName val="MacroInputs"/>
      <sheetName val="OpSurp"/>
      <sheetName val="AnnToQtr"/>
      <sheetName val="NRWTMth"/>
      <sheetName val="NRWTAnn"/>
      <sheetName val="NRWTDtl"/>
      <sheetName val="FDWPAnn"/>
      <sheetName val="FDWPMth"/>
      <sheetName val="Rcpt08 (2)"/>
      <sheetName val="DWTMth"/>
      <sheetName val="DWTAnn"/>
      <sheetName val="DWTSumm"/>
      <sheetName val="DWTDtl"/>
      <sheetName val="DWTDtlOld"/>
      <sheetName val="RevMth"/>
      <sheetName val="RecMth"/>
      <sheetName val="RefMth"/>
      <sheetName val="RevAnn"/>
      <sheetName val="LossEqns"/>
      <sheetName val="DataPrep"/>
      <sheetName val="Forecast"/>
      <sheetName val="NewRex (2)"/>
      <sheetName val="SumAll (2)"/>
      <sheetName val="OSvsPfts"/>
      <sheetName val="Sheet1"/>
      <sheetName val="ExAdj"/>
      <sheetName val="ExAdjPREFU"/>
      <sheetName val="ExAdjChg"/>
      <sheetName val="MonthlySum"/>
      <sheetName val="Rcpt08"/>
      <sheetName val="ProvVsTermRev"/>
      <sheetName val="PTMthsRev"/>
      <sheetName val="ProvVsTermRec"/>
      <sheetName val="PTMthsRec"/>
      <sheetName val="Accrual"/>
      <sheetName val="FinalCoTax"/>
      <sheetName val="OldForecasts"/>
      <sheetName val="AllRec"/>
      <sheetName val="NewRex"/>
      <sheetName val="GrandRec"/>
      <sheetName val="Funds"/>
      <sheetName val="LossSum"/>
      <sheetName val="PandL"/>
      <sheetName val="AnnualSum"/>
      <sheetName val="SumAll"/>
      <sheetName val="SumWide"/>
      <sheetName val="ToSumFile"/>
      <sheetName val="ToAremos"/>
      <sheetName val="MonthTrak"/>
      <sheetName val="TrakChart"/>
      <sheetName val="TraxInput"/>
      <sheetName val="TrakCompare"/>
      <sheetName val="CompChart"/>
      <sheetName val="CompChartYTD"/>
      <sheetName val="Graphing"/>
      <sheetName val="OSvsCorptax"/>
      <sheetName val="CorpTaxJune"/>
      <sheetName val="OSJune"/>
      <sheetName val="ETRdata"/>
      <sheetName val="ETR1"/>
      <sheetName val="ETR2"/>
      <sheetName val="ETR3"/>
      <sheetName val="ETR4"/>
      <sheetName val="ETR5"/>
      <sheetName val="Alldivs"/>
      <sheetName val="Reckon"/>
      <sheetName val="Chart 1"/>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
      <sheetName val="Weekly Reporting"/>
      <sheetName val="Database Codes"/>
      <sheetName val="Database"/>
      <sheetName val="Aggregation 1"/>
      <sheetName val="Aggregation 2"/>
      <sheetName val="Circ for Updates"/>
      <sheetName val="Pivot - Summary"/>
      <sheetName val="Pivot - Sources"/>
      <sheetName val="Pivot - BEFU"/>
      <sheetName val="Report - Summary"/>
      <sheetName val="Summary 27 Sep"/>
      <sheetName val="Summary 20 Sep"/>
      <sheetName val="Summary 16 August"/>
      <sheetName val="Pivot - Published Report"/>
      <sheetName val="DIA Response Costs"/>
      <sheetName val="DIA Email"/>
      <sheetName val="Circ for HYEFU 2012"/>
      <sheetName val="Pivot - Cash"/>
      <sheetName val="Summary 4 Octob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erform"/>
      <sheetName val="Position"/>
      <sheetName val="Mvts in equity"/>
      <sheetName val="Cash flows"/>
      <sheetName val="Borrowings"/>
      <sheetName val="Mkt values"/>
      <sheetName val="Maturity"/>
      <sheetName val="Movements"/>
      <sheetName val="Commitments"/>
      <sheetName val="Notes 1-5"/>
      <sheetName val="Notes 6,7,8"/>
      <sheetName val="SOE CE Fin Perf"/>
      <sheetName val="SOE CE BS"/>
      <sheetName val="SOE CE Summary"/>
      <sheetName val="Notes 10 - 13"/>
      <sheetName val="Note 15"/>
      <sheetName val="Note 16"/>
      <sheetName val="Note 17"/>
      <sheetName val="note 19"/>
      <sheetName val="Xchecks"/>
      <sheetName val="analysis accounts"/>
      <sheetName val="consistency analy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SK parameters"/>
      <sheetName val="Economic data"/>
      <sheetName val="Fiscal data"/>
      <sheetName val="Elasticity data"/>
      <sheetName val="Calculation &amp; Results"/>
      <sheetName val="cab"/>
      <sheetName val="Inverse CAB"/>
      <sheetName val="Historical results"/>
      <sheetName val="Cyclically adj balance vsOBEGAL"/>
      <sheetName val="BEFU Table"/>
      <sheetName val="Chart1"/>
      <sheetName val="Sheet1"/>
      <sheetName val="Historical results (2)"/>
      <sheetName val="Sheet3"/>
      <sheetName val="Sheet6"/>
      <sheetName val="Sheet7"/>
    </sheetNames>
    <sheetDataSet>
      <sheetData sheetId="0"/>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ttons"/>
      <sheetName val="Assumptions"/>
      <sheetName val="UOMI"/>
      <sheetName val="NRWTByPayer"/>
      <sheetName val="NRWTListed"/>
      <sheetName val="NRWTNoms"/>
      <sheetName val="OutturnData"/>
      <sheetName val="MacroInputs"/>
      <sheetName val="NZSFund"/>
      <sheetName val="ExAdj"/>
      <sheetName val="OpSurp"/>
      <sheetName val="AnnToQtr"/>
      <sheetName val="FIRST"/>
      <sheetName val="NRWT"/>
      <sheetName val="NRWTRex"/>
      <sheetName val="NRWTSumm"/>
      <sheetName val="FDWPbyPayer"/>
      <sheetName val="FDWP"/>
      <sheetName val="FDWPRex"/>
      <sheetName val="Dividends"/>
      <sheetName val="DWT"/>
      <sheetName val="DWTRex"/>
      <sheetName val="DWTSumm"/>
      <sheetName val="DWTDtl"/>
      <sheetName val="LossEqns"/>
      <sheetName val="ScratchPad"/>
      <sheetName val="Forecast"/>
      <sheetName val="Funds"/>
      <sheetName val="PandL"/>
      <sheetName val="MonthlySum"/>
      <sheetName val="AnnualSum"/>
      <sheetName val="AllRec"/>
      <sheetName val="SumAll"/>
      <sheetName val="ToSumFile"/>
      <sheetName val="ToAremos"/>
      <sheetName val="MonthTrak"/>
      <sheetName val="TrakChart"/>
      <sheetName val="TraxInput"/>
      <sheetName val="TrakCompare"/>
      <sheetName val="CompChart"/>
      <sheetName val="CompChartYTD"/>
      <sheetName val="Graphing"/>
      <sheetName val="OSvsCorptax"/>
      <sheetName val="CorpTaxJune"/>
      <sheetName val="OSJune"/>
      <sheetName val="Reckon"/>
      <sheetName val="ETRdata"/>
      <sheetName val="ETR1"/>
      <sheetName val="ETR2"/>
      <sheetName val="ETR3"/>
      <sheetName val="ETR4"/>
      <sheetName val="Alldiv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Summary"/>
      <sheetName val="Tables"/>
      <sheetName val="Capital"/>
      <sheetName val="Savings"/>
      <sheetName val="Maori related"/>
      <sheetName val="Speaker"/>
      <sheetName val="Act"/>
      <sheetName val="Maori"/>
      <sheetName val="United_Future"/>
      <sheetName val="Key"/>
      <sheetName val="English"/>
      <sheetName val="Brownlee"/>
      <sheetName val="Power"/>
      <sheetName val="Ryall"/>
      <sheetName val="N_Smith"/>
      <sheetName val="Collins"/>
      <sheetName val="Tolley"/>
      <sheetName val="Finlayson"/>
      <sheetName val="D_Carter"/>
      <sheetName val="McCully"/>
      <sheetName val="Groser"/>
      <sheetName val="Mapp"/>
      <sheetName val="Joyce"/>
      <sheetName val="Te_Heuheu"/>
      <sheetName val="Bennett"/>
      <sheetName val="Heatley"/>
      <sheetName val="Wong"/>
      <sheetName val="Coleman"/>
      <sheetName val="Wilkinson"/>
      <sheetName val="Williamson"/>
      <sheetName val="Worth"/>
      <sheetName val="J_Carter"/>
      <sheetName val="Adjustments"/>
      <sheetName val="Cabinet_Decisions"/>
      <sheetName val="Contingency item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nked accounts Checklist"/>
      <sheetName val="Cross Checks"/>
      <sheetName val="Control"/>
      <sheetName val="Perform"/>
      <sheetName val="Fun Class"/>
      <sheetName val="SOCRE"/>
      <sheetName val="Net worth"/>
      <sheetName val="Cash flows"/>
      <sheetName val="CF Rec"/>
      <sheetName val="Position"/>
      <sheetName val="Borrowings"/>
      <sheetName val="Commit &amp; Cont"/>
      <sheetName val="Notes 1- 6"/>
      <sheetName val="Note 7-12"/>
      <sheetName val="Notes 13-15"/>
      <sheetName val="Note 16"/>
      <sheetName val="Note 17"/>
      <sheetName val="2019 Actual"/>
      <sheetName val="2020 Forecast"/>
      <sheetName val="2021 Forecast"/>
      <sheetName val="2022 Forecast"/>
      <sheetName val="2023 Forecast"/>
      <sheetName val="2024 Forecast"/>
      <sheetName val="Time Series"/>
      <sheetName val="FSM Data"/>
      <sheetName val="Fiscal Data - CAB New"/>
      <sheetName val="Fiscal Data - FI New"/>
      <sheetName val="CAB data -Old"/>
      <sheetName val="CC Impulse - Old"/>
      <sheetName val="CC + CE Impulse - old"/>
      <sheetName val="TR Comms table"/>
      <sheetName val="Chapter FI table"/>
      <sheetName val="Dashboard tables"/>
      <sheetName val="Note 17 (old)"/>
      <sheetName val="FSM data old vers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Main"/>
      <sheetName val="Notes"/>
      <sheetName val="Economic Data"/>
      <sheetName val="Fiscal Data - CAB"/>
      <sheetName val="Fiscal Data - FI"/>
      <sheetName val="Tax Data"/>
      <sheetName val="Inputs"/>
      <sheetName val="Calculations - CAB"/>
      <sheetName val="Calculations - FI"/>
      <sheetName val="Scenarios Model"/>
      <sheetName val="Results"/>
      <sheetName val="Scenarios"/>
      <sheetName val="Forecast Comparis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persons/person.xml><?xml version="1.0" encoding="utf-8"?>
<personList xmlns="http://schemas.microsoft.com/office/spreadsheetml/2018/threadedcomments" xmlns:x="http://schemas.openxmlformats.org/spreadsheetml/2006/main">
  <person displayName="Author" id="{EE95977F-F298-4077-8FE6-1F63FFB6DECB}" userId="Author" providerId="None"/>
  <person displayName="Matthew Smith" id="{ED68EA13-F952-45DB-AF38-931381D0BBF8}" userId="S::matthew.smith@climatecommission.govt.nz::08fe72e0-cfbc-4def-baa0-d08dc6258106"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58" dT="2024-02-26T01:42:09.14" personId="{EE95977F-F298-4077-8FE6-1F63FFB6DECB}" id="{35D18C07-6CC3-4C17-9A99-7DCB97879820}">
    <text>*0.6 + *0.4 (What does this represent?)
Can this be put in another place (ie., Pop projections tab?)</text>
  </threadedComment>
  <threadedComment ref="E58" dT="2024-02-28T01:37:08.58" personId="{ED68EA13-F952-45DB-AF38-931381D0BBF8}" id="{34F861C6-22B4-46B3-BC3E-06C65B46DB11}" parentId="{35D18C07-6CC3-4C17-9A99-7DCB97879820}">
    <text>Stats NZ's projections are for every five years, landing on years ending in 8 and 3. I.e 2028, 2033, 2038 .... This bit interpolates them to get projections for decade years. But because end of decade years are closer to the years ending in 8 than the years ending in 3, it's a weighted average. (I can lay out the maths if needed)</text>
  </threadedComment>
</ThreadedComments>
</file>

<file path=xl/threadedComments/threadedComment2.xml><?xml version="1.0" encoding="utf-8"?>
<ThreadedComments xmlns="http://schemas.microsoft.com/office/spreadsheetml/2018/threadedcomments" xmlns:x="http://schemas.openxmlformats.org/spreadsheetml/2006/main">
  <threadedComment ref="AH16" dT="2023-03-29T19:57:21.02" personId="{00000000-0000-0000-0000-000000000000}" id="{84D71C7F-66DF-4A75-A4AD-6666FB1E6CEC}">
    <text>Estimates of Non NZ ETS emissions for 2020 &amp; 2021 added in 2023</text>
  </threadedComment>
  <threadedComment ref="B31" dT="2022-07-19T01:58:39.86" personId="{00000000-0000-0000-0000-000000000000}" id="{4360739E-E7AE-4915-A35D-9B8D9EC68E84}">
    <text>Updated Jan-23 after update to forestry model with new Dec-22 data</text>
  </threadedComment>
</ThreadedComments>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6">
    <wetp:webextensionref xmlns:r="http://schemas.openxmlformats.org/officeDocument/2006/relationships" r:id="rId1"/>
  </wetp:taskpane>
</wetp:taskpanes>
</file>

<file path=xl/webextensions/webextension1.xml><?xml version="1.0" encoding="utf-8"?>
<we:webextension xmlns:we="http://schemas.microsoft.com/office/webextensions/webextension/2010/11" id="{23577C0C-C636-4E5F-A87A-1B990EBD7D4F}">
  <we:reference id="6da5b0d7-dbb0-49a9-93ba-d19c80971ba6" version="8.0.4.0" store="EXCatalog" storeType="EXCatalog"/>
  <we:alternateReferences>
    <we:reference id="WA104381050" version="8.0.4.0" store="en-NZ" storeType="OMEX"/>
  </we:alternateReferences>
  <we:properties/>
  <we:bindings/>
  <we:snapshot xmlns:r="http://schemas.openxmlformats.org/officeDocument/2006/relationships"/>
  <we:extLst>
    <a:ext xmlns:a="http://schemas.openxmlformats.org/drawingml/2006/main" uri="{D87F86FE-615C-45B5-9D79-34F1136793EB}">
      <we:containsCustomFunctions/>
    </a:ext>
  </we:extLst>
</we:webextension>
</file>

<file path=xl/worksheets/_rels/sheet1.xml.rels><?xml version="1.0" encoding="UTF-8" standalone="yes"?>
<Relationships xmlns="http://schemas.openxmlformats.org/package/2006/relationships"><Relationship Id="rId1" Type="http://schemas.openxmlformats.org/officeDocument/2006/relationships/hyperlink" Target="https://data.ene.iiasa.ac.at/ar6/" TargetMode="Externa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data.worldbank.org/indicator/NY.GDP.MKTP.CD"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environment.govt.nz/facts-and-science/climate-change/measuring-greenhouse-gas-emissions/about-new-zealands-greenhouse-gas-inventory/"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1.bin"/><Relationship Id="rId4" Type="http://schemas.microsoft.com/office/2017/10/relationships/threadedComment" Target="../threadedComments/threadedComment2.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12.bin"/><Relationship Id="rId1" Type="http://schemas.openxmlformats.org/officeDocument/2006/relationships/hyperlink" Target="https://www.ghgprotocol.org/sites/default/files/ghgp/Global-Warming-Potential-Values%20%28Feb%2016%202016%29_1.pdf" TargetMode="External"/><Relationship Id="rId4" Type="http://schemas.openxmlformats.org/officeDocument/2006/relationships/comments" Target="../comments4.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environment.govt.nz/what-government-is-doing/areas-of-work/climate-change/emissions-budgets-and-the-emissions-reduction-plan/"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edgar.jrc.ec.europa.eu/dataset_ghg80" TargetMode="External"/><Relationship Id="rId2" Type="http://schemas.openxmlformats.org/officeDocument/2006/relationships/hyperlink" Target="https://environment.govt.nz/facts-and-science/climate-change/new-zealands-projected-greenhouse-gas-emissions-to-2050/" TargetMode="External"/><Relationship Id="rId1" Type="http://schemas.openxmlformats.org/officeDocument/2006/relationships/hyperlink" Target="https://www.ipcc.ch/report/sixth-assessment-report-cycle/"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https://infoshare.stats.govt.nz/SelectVariables.aspx?pxID=d4bab39f-13ea-452b-8b60-d9bcb46edcdb" TargetMode="External"/><Relationship Id="rId1" Type="http://schemas.openxmlformats.org/officeDocument/2006/relationships/hyperlink" Target="mailto:info@stats.govt.nz"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stats.govt.nz/information-releases/national-population-projections-2022base2073/" TargetMode="External"/><Relationship Id="rId1" Type="http://schemas.openxmlformats.org/officeDocument/2006/relationships/hyperlink" Target="http://www.stats.govt.nz/"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data.worldbank.org/indicator/NY.GDP.MKTP.PP.K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6B416-5A27-47B6-A0F3-CA618A296B66}">
  <sheetPr>
    <tabColor rgb="FF9966FF"/>
  </sheetPr>
  <dimension ref="A1:B35"/>
  <sheetViews>
    <sheetView tabSelected="1" workbookViewId="0">
      <selection activeCell="A11" sqref="A11"/>
    </sheetView>
  </sheetViews>
  <sheetFormatPr defaultRowHeight="15"/>
  <cols>
    <col min="1" max="1" width="31" customWidth="1"/>
  </cols>
  <sheetData>
    <row r="1" spans="1:2">
      <c r="A1" t="s">
        <v>0</v>
      </c>
    </row>
    <row r="2" spans="1:2">
      <c r="A2" t="s">
        <v>1</v>
      </c>
    </row>
    <row r="3" spans="1:2">
      <c r="A3" s="46" t="s">
        <v>2</v>
      </c>
    </row>
    <row r="4" spans="1:2">
      <c r="A4" t="s">
        <v>3</v>
      </c>
    </row>
    <row r="5" spans="1:2">
      <c r="A5" t="s">
        <v>4</v>
      </c>
    </row>
    <row r="7" spans="1:2">
      <c r="A7" s="47" t="s">
        <v>5</v>
      </c>
      <c r="B7" s="47" t="s">
        <v>6</v>
      </c>
    </row>
    <row r="8" spans="1:2">
      <c r="A8" t="s">
        <v>7</v>
      </c>
      <c r="B8" t="s">
        <v>8</v>
      </c>
    </row>
    <row r="9" spans="1:2">
      <c r="A9" t="s">
        <v>9</v>
      </c>
      <c r="B9" t="s">
        <v>10</v>
      </c>
    </row>
    <row r="10" spans="1:2">
      <c r="A10" t="s">
        <v>11</v>
      </c>
      <c r="B10" t="s">
        <v>12</v>
      </c>
    </row>
    <row r="11" spans="1:2">
      <c r="A11" t="s">
        <v>13</v>
      </c>
      <c r="B11" t="s">
        <v>14</v>
      </c>
    </row>
    <row r="12" spans="1:2">
      <c r="A12" t="s">
        <v>15</v>
      </c>
      <c r="B12" t="s">
        <v>16</v>
      </c>
    </row>
    <row r="13" spans="1:2">
      <c r="A13" t="s">
        <v>17</v>
      </c>
      <c r="B13" t="s">
        <v>18</v>
      </c>
    </row>
    <row r="14" spans="1:2">
      <c r="A14" t="s">
        <v>19</v>
      </c>
      <c r="B14" t="s">
        <v>20</v>
      </c>
    </row>
    <row r="15" spans="1:2">
      <c r="A15" t="s">
        <v>21</v>
      </c>
      <c r="B15" t="s">
        <v>22</v>
      </c>
    </row>
    <row r="16" spans="1:2">
      <c r="A16" t="s">
        <v>23</v>
      </c>
      <c r="B16" t="s">
        <v>24</v>
      </c>
    </row>
    <row r="17" spans="1:2">
      <c r="A17" t="s">
        <v>25</v>
      </c>
      <c r="B17" t="s">
        <v>26</v>
      </c>
    </row>
    <row r="18" spans="1:2">
      <c r="A18" t="s">
        <v>27</v>
      </c>
      <c r="B18" t="s">
        <v>28</v>
      </c>
    </row>
    <row r="19" spans="1:2">
      <c r="A19" t="s">
        <v>29</v>
      </c>
      <c r="B19" t="s">
        <v>30</v>
      </c>
    </row>
    <row r="20" spans="1:2">
      <c r="A20" t="s">
        <v>31</v>
      </c>
      <c r="B20" t="s">
        <v>32</v>
      </c>
    </row>
    <row r="21" spans="1:2">
      <c r="A21" t="s">
        <v>33</v>
      </c>
      <c r="B21" t="s">
        <v>34</v>
      </c>
    </row>
    <row r="22" spans="1:2">
      <c r="A22" t="s">
        <v>35</v>
      </c>
      <c r="B22" t="s">
        <v>36</v>
      </c>
    </row>
    <row r="23" spans="1:2">
      <c r="A23" t="s">
        <v>37</v>
      </c>
      <c r="B23" t="s">
        <v>38</v>
      </c>
    </row>
    <row r="24" spans="1:2">
      <c r="A24" t="s">
        <v>39</v>
      </c>
      <c r="B24" t="s">
        <v>40</v>
      </c>
    </row>
    <row r="25" spans="1:2">
      <c r="A25" t="s">
        <v>41</v>
      </c>
      <c r="B25" t="s">
        <v>42</v>
      </c>
    </row>
    <row r="26" spans="1:2">
      <c r="A26" t="s">
        <v>43</v>
      </c>
      <c r="B26" t="s">
        <v>44</v>
      </c>
    </row>
    <row r="27" spans="1:2">
      <c r="A27" t="s">
        <v>45</v>
      </c>
      <c r="B27" t="s">
        <v>46</v>
      </c>
    </row>
    <row r="28" spans="1:2">
      <c r="A28" t="s">
        <v>47</v>
      </c>
      <c r="B28" t="s">
        <v>48</v>
      </c>
    </row>
    <row r="29" spans="1:2">
      <c r="A29" t="s">
        <v>49</v>
      </c>
      <c r="B29" t="s">
        <v>50</v>
      </c>
    </row>
    <row r="30" spans="1:2">
      <c r="A30" t="s">
        <v>51</v>
      </c>
      <c r="B30" t="s">
        <v>52</v>
      </c>
    </row>
    <row r="31" spans="1:2">
      <c r="A31" t="s">
        <v>53</v>
      </c>
      <c r="B31" t="s">
        <v>54</v>
      </c>
    </row>
    <row r="32" spans="1:2">
      <c r="A32" t="s">
        <v>55</v>
      </c>
      <c r="B32" t="s">
        <v>56</v>
      </c>
    </row>
    <row r="33" spans="1:2">
      <c r="A33" t="s">
        <v>57</v>
      </c>
      <c r="B33" t="s">
        <v>58</v>
      </c>
    </row>
    <row r="34" spans="1:2">
      <c r="A34" t="s">
        <v>59</v>
      </c>
      <c r="B34" t="s">
        <v>60</v>
      </c>
    </row>
    <row r="35" spans="1:2">
      <c r="A35" t="s">
        <v>61</v>
      </c>
      <c r="B35" t="s">
        <v>62</v>
      </c>
    </row>
  </sheetData>
  <hyperlinks>
    <hyperlink ref="A3" r:id="rId1" location="/workspaces" xr:uid="{AA818616-0C50-46E4-8F15-9A47E0C58517}"/>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3EC60-0A92-4230-B69B-23B5E7B8D731}">
  <sheetPr codeName="Sheet17">
    <tabColor theme="4" tint="0.79998168889431442"/>
  </sheetPr>
  <dimension ref="A1:BP271"/>
  <sheetViews>
    <sheetView topLeftCell="A161" workbookViewId="0">
      <selection activeCell="BO185" sqref="BO185"/>
    </sheetView>
  </sheetViews>
  <sheetFormatPr defaultRowHeight="15" outlineLevelCol="1"/>
  <cols>
    <col min="1" max="1" width="44" bestFit="1" customWidth="1"/>
    <col min="2" max="2" width="25.7109375" bestFit="1" customWidth="1"/>
    <col min="3" max="3" width="15.7109375" bestFit="1" customWidth="1"/>
    <col min="4" max="4" width="15.140625" bestFit="1" customWidth="1"/>
    <col min="5" max="66" width="12" hidden="1" customWidth="1" outlineLevel="1"/>
    <col min="67" max="67" width="23.7109375" style="190" bestFit="1" customWidth="1" collapsed="1"/>
    <col min="257" max="257" width="44" bestFit="1" customWidth="1"/>
    <col min="258" max="258" width="25.7109375" bestFit="1" customWidth="1"/>
    <col min="259" max="259" width="15.7109375" bestFit="1" customWidth="1"/>
    <col min="260" max="260" width="15.140625" bestFit="1" customWidth="1"/>
    <col min="261" max="323" width="12" bestFit="1" customWidth="1"/>
    <col min="513" max="513" width="44" bestFit="1" customWidth="1"/>
    <col min="514" max="514" width="25.7109375" bestFit="1" customWidth="1"/>
    <col min="515" max="515" width="15.7109375" bestFit="1" customWidth="1"/>
    <col min="516" max="516" width="15.140625" bestFit="1" customWidth="1"/>
    <col min="517" max="579" width="12" bestFit="1" customWidth="1"/>
    <col min="769" max="769" width="44" bestFit="1" customWidth="1"/>
    <col min="770" max="770" width="25.7109375" bestFit="1" customWidth="1"/>
    <col min="771" max="771" width="15.7109375" bestFit="1" customWidth="1"/>
    <col min="772" max="772" width="15.140625" bestFit="1" customWidth="1"/>
    <col min="773" max="835" width="12" bestFit="1" customWidth="1"/>
    <col min="1025" max="1025" width="44" bestFit="1" customWidth="1"/>
    <col min="1026" max="1026" width="25.7109375" bestFit="1" customWidth="1"/>
    <col min="1027" max="1027" width="15.7109375" bestFit="1" customWidth="1"/>
    <col min="1028" max="1028" width="15.140625" bestFit="1" customWidth="1"/>
    <col min="1029" max="1091" width="12" bestFit="1" customWidth="1"/>
    <col min="1281" max="1281" width="44" bestFit="1" customWidth="1"/>
    <col min="1282" max="1282" width="25.7109375" bestFit="1" customWidth="1"/>
    <col min="1283" max="1283" width="15.7109375" bestFit="1" customWidth="1"/>
    <col min="1284" max="1284" width="15.140625" bestFit="1" customWidth="1"/>
    <col min="1285" max="1347" width="12" bestFit="1" customWidth="1"/>
    <col min="1537" max="1537" width="44" bestFit="1" customWidth="1"/>
    <col min="1538" max="1538" width="25.7109375" bestFit="1" customWidth="1"/>
    <col min="1539" max="1539" width="15.7109375" bestFit="1" customWidth="1"/>
    <col min="1540" max="1540" width="15.140625" bestFit="1" customWidth="1"/>
    <col min="1541" max="1603" width="12" bestFit="1" customWidth="1"/>
    <col min="1793" max="1793" width="44" bestFit="1" customWidth="1"/>
    <col min="1794" max="1794" width="25.7109375" bestFit="1" customWidth="1"/>
    <col min="1795" max="1795" width="15.7109375" bestFit="1" customWidth="1"/>
    <col min="1796" max="1796" width="15.140625" bestFit="1" customWidth="1"/>
    <col min="1797" max="1859" width="12" bestFit="1" customWidth="1"/>
    <col min="2049" max="2049" width="44" bestFit="1" customWidth="1"/>
    <col min="2050" max="2050" width="25.7109375" bestFit="1" customWidth="1"/>
    <col min="2051" max="2051" width="15.7109375" bestFit="1" customWidth="1"/>
    <col min="2052" max="2052" width="15.140625" bestFit="1" customWidth="1"/>
    <col min="2053" max="2115" width="12" bestFit="1" customWidth="1"/>
    <col min="2305" max="2305" width="44" bestFit="1" customWidth="1"/>
    <col min="2306" max="2306" width="25.7109375" bestFit="1" customWidth="1"/>
    <col min="2307" max="2307" width="15.7109375" bestFit="1" customWidth="1"/>
    <col min="2308" max="2308" width="15.140625" bestFit="1" customWidth="1"/>
    <col min="2309" max="2371" width="12" bestFit="1" customWidth="1"/>
    <col min="2561" max="2561" width="44" bestFit="1" customWidth="1"/>
    <col min="2562" max="2562" width="25.7109375" bestFit="1" customWidth="1"/>
    <col min="2563" max="2563" width="15.7109375" bestFit="1" customWidth="1"/>
    <col min="2564" max="2564" width="15.140625" bestFit="1" customWidth="1"/>
    <col min="2565" max="2627" width="12" bestFit="1" customWidth="1"/>
    <col min="2817" max="2817" width="44" bestFit="1" customWidth="1"/>
    <col min="2818" max="2818" width="25.7109375" bestFit="1" customWidth="1"/>
    <col min="2819" max="2819" width="15.7109375" bestFit="1" customWidth="1"/>
    <col min="2820" max="2820" width="15.140625" bestFit="1" customWidth="1"/>
    <col min="2821" max="2883" width="12" bestFit="1" customWidth="1"/>
    <col min="3073" max="3073" width="44" bestFit="1" customWidth="1"/>
    <col min="3074" max="3074" width="25.7109375" bestFit="1" customWidth="1"/>
    <col min="3075" max="3075" width="15.7109375" bestFit="1" customWidth="1"/>
    <col min="3076" max="3076" width="15.140625" bestFit="1" customWidth="1"/>
    <col min="3077" max="3139" width="12" bestFit="1" customWidth="1"/>
    <col min="3329" max="3329" width="44" bestFit="1" customWidth="1"/>
    <col min="3330" max="3330" width="25.7109375" bestFit="1" customWidth="1"/>
    <col min="3331" max="3331" width="15.7109375" bestFit="1" customWidth="1"/>
    <col min="3332" max="3332" width="15.140625" bestFit="1" customWidth="1"/>
    <col min="3333" max="3395" width="12" bestFit="1" customWidth="1"/>
    <col min="3585" max="3585" width="44" bestFit="1" customWidth="1"/>
    <col min="3586" max="3586" width="25.7109375" bestFit="1" customWidth="1"/>
    <col min="3587" max="3587" width="15.7109375" bestFit="1" customWidth="1"/>
    <col min="3588" max="3588" width="15.140625" bestFit="1" customWidth="1"/>
    <col min="3589" max="3651" width="12" bestFit="1" customWidth="1"/>
    <col min="3841" max="3841" width="44" bestFit="1" customWidth="1"/>
    <col min="3842" max="3842" width="25.7109375" bestFit="1" customWidth="1"/>
    <col min="3843" max="3843" width="15.7109375" bestFit="1" customWidth="1"/>
    <col min="3844" max="3844" width="15.140625" bestFit="1" customWidth="1"/>
    <col min="3845" max="3907" width="12" bestFit="1" customWidth="1"/>
    <col min="4097" max="4097" width="44" bestFit="1" customWidth="1"/>
    <col min="4098" max="4098" width="25.7109375" bestFit="1" customWidth="1"/>
    <col min="4099" max="4099" width="15.7109375" bestFit="1" customWidth="1"/>
    <col min="4100" max="4100" width="15.140625" bestFit="1" customWidth="1"/>
    <col min="4101" max="4163" width="12" bestFit="1" customWidth="1"/>
    <col min="4353" max="4353" width="44" bestFit="1" customWidth="1"/>
    <col min="4354" max="4354" width="25.7109375" bestFit="1" customWidth="1"/>
    <col min="4355" max="4355" width="15.7109375" bestFit="1" customWidth="1"/>
    <col min="4356" max="4356" width="15.140625" bestFit="1" customWidth="1"/>
    <col min="4357" max="4419" width="12" bestFit="1" customWidth="1"/>
    <col min="4609" max="4609" width="44" bestFit="1" customWidth="1"/>
    <col min="4610" max="4610" width="25.7109375" bestFit="1" customWidth="1"/>
    <col min="4611" max="4611" width="15.7109375" bestFit="1" customWidth="1"/>
    <col min="4612" max="4612" width="15.140625" bestFit="1" customWidth="1"/>
    <col min="4613" max="4675" width="12" bestFit="1" customWidth="1"/>
    <col min="4865" max="4865" width="44" bestFit="1" customWidth="1"/>
    <col min="4866" max="4866" width="25.7109375" bestFit="1" customWidth="1"/>
    <col min="4867" max="4867" width="15.7109375" bestFit="1" customWidth="1"/>
    <col min="4868" max="4868" width="15.140625" bestFit="1" customWidth="1"/>
    <col min="4869" max="4931" width="12" bestFit="1" customWidth="1"/>
    <col min="5121" max="5121" width="44" bestFit="1" customWidth="1"/>
    <col min="5122" max="5122" width="25.7109375" bestFit="1" customWidth="1"/>
    <col min="5123" max="5123" width="15.7109375" bestFit="1" customWidth="1"/>
    <col min="5124" max="5124" width="15.140625" bestFit="1" customWidth="1"/>
    <col min="5125" max="5187" width="12" bestFit="1" customWidth="1"/>
    <col min="5377" max="5377" width="44" bestFit="1" customWidth="1"/>
    <col min="5378" max="5378" width="25.7109375" bestFit="1" customWidth="1"/>
    <col min="5379" max="5379" width="15.7109375" bestFit="1" customWidth="1"/>
    <col min="5380" max="5380" width="15.140625" bestFit="1" customWidth="1"/>
    <col min="5381" max="5443" width="12" bestFit="1" customWidth="1"/>
    <col min="5633" max="5633" width="44" bestFit="1" customWidth="1"/>
    <col min="5634" max="5634" width="25.7109375" bestFit="1" customWidth="1"/>
    <col min="5635" max="5635" width="15.7109375" bestFit="1" customWidth="1"/>
    <col min="5636" max="5636" width="15.140625" bestFit="1" customWidth="1"/>
    <col min="5637" max="5699" width="12" bestFit="1" customWidth="1"/>
    <col min="5889" max="5889" width="44" bestFit="1" customWidth="1"/>
    <col min="5890" max="5890" width="25.7109375" bestFit="1" customWidth="1"/>
    <col min="5891" max="5891" width="15.7109375" bestFit="1" customWidth="1"/>
    <col min="5892" max="5892" width="15.140625" bestFit="1" customWidth="1"/>
    <col min="5893" max="5955" width="12" bestFit="1" customWidth="1"/>
    <col min="6145" max="6145" width="44" bestFit="1" customWidth="1"/>
    <col min="6146" max="6146" width="25.7109375" bestFit="1" customWidth="1"/>
    <col min="6147" max="6147" width="15.7109375" bestFit="1" customWidth="1"/>
    <col min="6148" max="6148" width="15.140625" bestFit="1" customWidth="1"/>
    <col min="6149" max="6211" width="12" bestFit="1" customWidth="1"/>
    <col min="6401" max="6401" width="44" bestFit="1" customWidth="1"/>
    <col min="6402" max="6402" width="25.7109375" bestFit="1" customWidth="1"/>
    <col min="6403" max="6403" width="15.7109375" bestFit="1" customWidth="1"/>
    <col min="6404" max="6404" width="15.140625" bestFit="1" customWidth="1"/>
    <col min="6405" max="6467" width="12" bestFit="1" customWidth="1"/>
    <col min="6657" max="6657" width="44" bestFit="1" customWidth="1"/>
    <col min="6658" max="6658" width="25.7109375" bestFit="1" customWidth="1"/>
    <col min="6659" max="6659" width="15.7109375" bestFit="1" customWidth="1"/>
    <col min="6660" max="6660" width="15.140625" bestFit="1" customWidth="1"/>
    <col min="6661" max="6723" width="12" bestFit="1" customWidth="1"/>
    <col min="6913" max="6913" width="44" bestFit="1" customWidth="1"/>
    <col min="6914" max="6914" width="25.7109375" bestFit="1" customWidth="1"/>
    <col min="6915" max="6915" width="15.7109375" bestFit="1" customWidth="1"/>
    <col min="6916" max="6916" width="15.140625" bestFit="1" customWidth="1"/>
    <col min="6917" max="6979" width="12" bestFit="1" customWidth="1"/>
    <col min="7169" max="7169" width="44" bestFit="1" customWidth="1"/>
    <col min="7170" max="7170" width="25.7109375" bestFit="1" customWidth="1"/>
    <col min="7171" max="7171" width="15.7109375" bestFit="1" customWidth="1"/>
    <col min="7172" max="7172" width="15.140625" bestFit="1" customWidth="1"/>
    <col min="7173" max="7235" width="12" bestFit="1" customWidth="1"/>
    <col min="7425" max="7425" width="44" bestFit="1" customWidth="1"/>
    <col min="7426" max="7426" width="25.7109375" bestFit="1" customWidth="1"/>
    <col min="7427" max="7427" width="15.7109375" bestFit="1" customWidth="1"/>
    <col min="7428" max="7428" width="15.140625" bestFit="1" customWidth="1"/>
    <col min="7429" max="7491" width="12" bestFit="1" customWidth="1"/>
    <col min="7681" max="7681" width="44" bestFit="1" customWidth="1"/>
    <col min="7682" max="7682" width="25.7109375" bestFit="1" customWidth="1"/>
    <col min="7683" max="7683" width="15.7109375" bestFit="1" customWidth="1"/>
    <col min="7684" max="7684" width="15.140625" bestFit="1" customWidth="1"/>
    <col min="7685" max="7747" width="12" bestFit="1" customWidth="1"/>
    <col min="7937" max="7937" width="44" bestFit="1" customWidth="1"/>
    <col min="7938" max="7938" width="25.7109375" bestFit="1" customWidth="1"/>
    <col min="7939" max="7939" width="15.7109375" bestFit="1" customWidth="1"/>
    <col min="7940" max="7940" width="15.140625" bestFit="1" customWidth="1"/>
    <col min="7941" max="8003" width="12" bestFit="1" customWidth="1"/>
    <col min="8193" max="8193" width="44" bestFit="1" customWidth="1"/>
    <col min="8194" max="8194" width="25.7109375" bestFit="1" customWidth="1"/>
    <col min="8195" max="8195" width="15.7109375" bestFit="1" customWidth="1"/>
    <col min="8196" max="8196" width="15.140625" bestFit="1" customWidth="1"/>
    <col min="8197" max="8259" width="12" bestFit="1" customWidth="1"/>
    <col min="8449" max="8449" width="44" bestFit="1" customWidth="1"/>
    <col min="8450" max="8450" width="25.7109375" bestFit="1" customWidth="1"/>
    <col min="8451" max="8451" width="15.7109375" bestFit="1" customWidth="1"/>
    <col min="8452" max="8452" width="15.140625" bestFit="1" customWidth="1"/>
    <col min="8453" max="8515" width="12" bestFit="1" customWidth="1"/>
    <col min="8705" max="8705" width="44" bestFit="1" customWidth="1"/>
    <col min="8706" max="8706" width="25.7109375" bestFit="1" customWidth="1"/>
    <col min="8707" max="8707" width="15.7109375" bestFit="1" customWidth="1"/>
    <col min="8708" max="8708" width="15.140625" bestFit="1" customWidth="1"/>
    <col min="8709" max="8771" width="12" bestFit="1" customWidth="1"/>
    <col min="8961" max="8961" width="44" bestFit="1" customWidth="1"/>
    <col min="8962" max="8962" width="25.7109375" bestFit="1" customWidth="1"/>
    <col min="8963" max="8963" width="15.7109375" bestFit="1" customWidth="1"/>
    <col min="8964" max="8964" width="15.140625" bestFit="1" customWidth="1"/>
    <col min="8965" max="9027" width="12" bestFit="1" customWidth="1"/>
    <col min="9217" max="9217" width="44" bestFit="1" customWidth="1"/>
    <col min="9218" max="9218" width="25.7109375" bestFit="1" customWidth="1"/>
    <col min="9219" max="9219" width="15.7109375" bestFit="1" customWidth="1"/>
    <col min="9220" max="9220" width="15.140625" bestFit="1" customWidth="1"/>
    <col min="9221" max="9283" width="12" bestFit="1" customWidth="1"/>
    <col min="9473" max="9473" width="44" bestFit="1" customWidth="1"/>
    <col min="9474" max="9474" width="25.7109375" bestFit="1" customWidth="1"/>
    <col min="9475" max="9475" width="15.7109375" bestFit="1" customWidth="1"/>
    <col min="9476" max="9476" width="15.140625" bestFit="1" customWidth="1"/>
    <col min="9477" max="9539" width="12" bestFit="1" customWidth="1"/>
    <col min="9729" max="9729" width="44" bestFit="1" customWidth="1"/>
    <col min="9730" max="9730" width="25.7109375" bestFit="1" customWidth="1"/>
    <col min="9731" max="9731" width="15.7109375" bestFit="1" customWidth="1"/>
    <col min="9732" max="9732" width="15.140625" bestFit="1" customWidth="1"/>
    <col min="9733" max="9795" width="12" bestFit="1" customWidth="1"/>
    <col min="9985" max="9985" width="44" bestFit="1" customWidth="1"/>
    <col min="9986" max="9986" width="25.7109375" bestFit="1" customWidth="1"/>
    <col min="9987" max="9987" width="15.7109375" bestFit="1" customWidth="1"/>
    <col min="9988" max="9988" width="15.140625" bestFit="1" customWidth="1"/>
    <col min="9989" max="10051" width="12" bestFit="1" customWidth="1"/>
    <col min="10241" max="10241" width="44" bestFit="1" customWidth="1"/>
    <col min="10242" max="10242" width="25.7109375" bestFit="1" customWidth="1"/>
    <col min="10243" max="10243" width="15.7109375" bestFit="1" customWidth="1"/>
    <col min="10244" max="10244" width="15.140625" bestFit="1" customWidth="1"/>
    <col min="10245" max="10307" width="12" bestFit="1" customWidth="1"/>
    <col min="10497" max="10497" width="44" bestFit="1" customWidth="1"/>
    <col min="10498" max="10498" width="25.7109375" bestFit="1" customWidth="1"/>
    <col min="10499" max="10499" width="15.7109375" bestFit="1" customWidth="1"/>
    <col min="10500" max="10500" width="15.140625" bestFit="1" customWidth="1"/>
    <col min="10501" max="10563" width="12" bestFit="1" customWidth="1"/>
    <col min="10753" max="10753" width="44" bestFit="1" customWidth="1"/>
    <col min="10754" max="10754" width="25.7109375" bestFit="1" customWidth="1"/>
    <col min="10755" max="10755" width="15.7109375" bestFit="1" customWidth="1"/>
    <col min="10756" max="10756" width="15.140625" bestFit="1" customWidth="1"/>
    <col min="10757" max="10819" width="12" bestFit="1" customWidth="1"/>
    <col min="11009" max="11009" width="44" bestFit="1" customWidth="1"/>
    <col min="11010" max="11010" width="25.7109375" bestFit="1" customWidth="1"/>
    <col min="11011" max="11011" width="15.7109375" bestFit="1" customWidth="1"/>
    <col min="11012" max="11012" width="15.140625" bestFit="1" customWidth="1"/>
    <col min="11013" max="11075" width="12" bestFit="1" customWidth="1"/>
    <col min="11265" max="11265" width="44" bestFit="1" customWidth="1"/>
    <col min="11266" max="11266" width="25.7109375" bestFit="1" customWidth="1"/>
    <col min="11267" max="11267" width="15.7109375" bestFit="1" customWidth="1"/>
    <col min="11268" max="11268" width="15.140625" bestFit="1" customWidth="1"/>
    <col min="11269" max="11331" width="12" bestFit="1" customWidth="1"/>
    <col min="11521" max="11521" width="44" bestFit="1" customWidth="1"/>
    <col min="11522" max="11522" width="25.7109375" bestFit="1" customWidth="1"/>
    <col min="11523" max="11523" width="15.7109375" bestFit="1" customWidth="1"/>
    <col min="11524" max="11524" width="15.140625" bestFit="1" customWidth="1"/>
    <col min="11525" max="11587" width="12" bestFit="1" customWidth="1"/>
    <col min="11777" max="11777" width="44" bestFit="1" customWidth="1"/>
    <col min="11778" max="11778" width="25.7109375" bestFit="1" customWidth="1"/>
    <col min="11779" max="11779" width="15.7109375" bestFit="1" customWidth="1"/>
    <col min="11780" max="11780" width="15.140625" bestFit="1" customWidth="1"/>
    <col min="11781" max="11843" width="12" bestFit="1" customWidth="1"/>
    <col min="12033" max="12033" width="44" bestFit="1" customWidth="1"/>
    <col min="12034" max="12034" width="25.7109375" bestFit="1" customWidth="1"/>
    <col min="12035" max="12035" width="15.7109375" bestFit="1" customWidth="1"/>
    <col min="12036" max="12036" width="15.140625" bestFit="1" customWidth="1"/>
    <col min="12037" max="12099" width="12" bestFit="1" customWidth="1"/>
    <col min="12289" max="12289" width="44" bestFit="1" customWidth="1"/>
    <col min="12290" max="12290" width="25.7109375" bestFit="1" customWidth="1"/>
    <col min="12291" max="12291" width="15.7109375" bestFit="1" customWidth="1"/>
    <col min="12292" max="12292" width="15.140625" bestFit="1" customWidth="1"/>
    <col min="12293" max="12355" width="12" bestFit="1" customWidth="1"/>
    <col min="12545" max="12545" width="44" bestFit="1" customWidth="1"/>
    <col min="12546" max="12546" width="25.7109375" bestFit="1" customWidth="1"/>
    <col min="12547" max="12547" width="15.7109375" bestFit="1" customWidth="1"/>
    <col min="12548" max="12548" width="15.140625" bestFit="1" customWidth="1"/>
    <col min="12549" max="12611" width="12" bestFit="1" customWidth="1"/>
    <col min="12801" max="12801" width="44" bestFit="1" customWidth="1"/>
    <col min="12802" max="12802" width="25.7109375" bestFit="1" customWidth="1"/>
    <col min="12803" max="12803" width="15.7109375" bestFit="1" customWidth="1"/>
    <col min="12804" max="12804" width="15.140625" bestFit="1" customWidth="1"/>
    <col min="12805" max="12867" width="12" bestFit="1" customWidth="1"/>
    <col min="13057" max="13057" width="44" bestFit="1" customWidth="1"/>
    <col min="13058" max="13058" width="25.7109375" bestFit="1" customWidth="1"/>
    <col min="13059" max="13059" width="15.7109375" bestFit="1" customWidth="1"/>
    <col min="13060" max="13060" width="15.140625" bestFit="1" customWidth="1"/>
    <col min="13061" max="13123" width="12" bestFit="1" customWidth="1"/>
    <col min="13313" max="13313" width="44" bestFit="1" customWidth="1"/>
    <col min="13314" max="13314" width="25.7109375" bestFit="1" customWidth="1"/>
    <col min="13315" max="13315" width="15.7109375" bestFit="1" customWidth="1"/>
    <col min="13316" max="13316" width="15.140625" bestFit="1" customWidth="1"/>
    <col min="13317" max="13379" width="12" bestFit="1" customWidth="1"/>
    <col min="13569" max="13569" width="44" bestFit="1" customWidth="1"/>
    <col min="13570" max="13570" width="25.7109375" bestFit="1" customWidth="1"/>
    <col min="13571" max="13571" width="15.7109375" bestFit="1" customWidth="1"/>
    <col min="13572" max="13572" width="15.140625" bestFit="1" customWidth="1"/>
    <col min="13573" max="13635" width="12" bestFit="1" customWidth="1"/>
    <col min="13825" max="13825" width="44" bestFit="1" customWidth="1"/>
    <col min="13826" max="13826" width="25.7109375" bestFit="1" customWidth="1"/>
    <col min="13827" max="13827" width="15.7109375" bestFit="1" customWidth="1"/>
    <col min="13828" max="13828" width="15.140625" bestFit="1" customWidth="1"/>
    <col min="13829" max="13891" width="12" bestFit="1" customWidth="1"/>
    <col min="14081" max="14081" width="44" bestFit="1" customWidth="1"/>
    <col min="14082" max="14082" width="25.7109375" bestFit="1" customWidth="1"/>
    <col min="14083" max="14083" width="15.7109375" bestFit="1" customWidth="1"/>
    <col min="14084" max="14084" width="15.140625" bestFit="1" customWidth="1"/>
    <col min="14085" max="14147" width="12" bestFit="1" customWidth="1"/>
    <col min="14337" max="14337" width="44" bestFit="1" customWidth="1"/>
    <col min="14338" max="14338" width="25.7109375" bestFit="1" customWidth="1"/>
    <col min="14339" max="14339" width="15.7109375" bestFit="1" customWidth="1"/>
    <col min="14340" max="14340" width="15.140625" bestFit="1" customWidth="1"/>
    <col min="14341" max="14403" width="12" bestFit="1" customWidth="1"/>
    <col min="14593" max="14593" width="44" bestFit="1" customWidth="1"/>
    <col min="14594" max="14594" width="25.7109375" bestFit="1" customWidth="1"/>
    <col min="14595" max="14595" width="15.7109375" bestFit="1" customWidth="1"/>
    <col min="14596" max="14596" width="15.140625" bestFit="1" customWidth="1"/>
    <col min="14597" max="14659" width="12" bestFit="1" customWidth="1"/>
    <col min="14849" max="14849" width="44" bestFit="1" customWidth="1"/>
    <col min="14850" max="14850" width="25.7109375" bestFit="1" customWidth="1"/>
    <col min="14851" max="14851" width="15.7109375" bestFit="1" customWidth="1"/>
    <col min="14852" max="14852" width="15.140625" bestFit="1" customWidth="1"/>
    <col min="14853" max="14915" width="12" bestFit="1" customWidth="1"/>
    <col min="15105" max="15105" width="44" bestFit="1" customWidth="1"/>
    <col min="15106" max="15106" width="25.7109375" bestFit="1" customWidth="1"/>
    <col min="15107" max="15107" width="15.7109375" bestFit="1" customWidth="1"/>
    <col min="15108" max="15108" width="15.140625" bestFit="1" customWidth="1"/>
    <col min="15109" max="15171" width="12" bestFit="1" customWidth="1"/>
    <col min="15361" max="15361" width="44" bestFit="1" customWidth="1"/>
    <col min="15362" max="15362" width="25.7109375" bestFit="1" customWidth="1"/>
    <col min="15363" max="15363" width="15.7109375" bestFit="1" customWidth="1"/>
    <col min="15364" max="15364" width="15.140625" bestFit="1" customWidth="1"/>
    <col min="15365" max="15427" width="12" bestFit="1" customWidth="1"/>
    <col min="15617" max="15617" width="44" bestFit="1" customWidth="1"/>
    <col min="15618" max="15618" width="25.7109375" bestFit="1" customWidth="1"/>
    <col min="15619" max="15619" width="15.7109375" bestFit="1" customWidth="1"/>
    <col min="15620" max="15620" width="15.140625" bestFit="1" customWidth="1"/>
    <col min="15621" max="15683" width="12" bestFit="1" customWidth="1"/>
    <col min="15873" max="15873" width="44" bestFit="1" customWidth="1"/>
    <col min="15874" max="15874" width="25.7109375" bestFit="1" customWidth="1"/>
    <col min="15875" max="15875" width="15.7109375" bestFit="1" customWidth="1"/>
    <col min="15876" max="15876" width="15.140625" bestFit="1" customWidth="1"/>
    <col min="15877" max="15939" width="12" bestFit="1" customWidth="1"/>
    <col min="16129" max="16129" width="44" bestFit="1" customWidth="1"/>
    <col min="16130" max="16130" width="25.7109375" bestFit="1" customWidth="1"/>
    <col min="16131" max="16131" width="15.7109375" bestFit="1" customWidth="1"/>
    <col min="16132" max="16132" width="15.140625" bestFit="1" customWidth="1"/>
    <col min="16133" max="16195" width="12" bestFit="1" customWidth="1"/>
  </cols>
  <sheetData>
    <row r="1" spans="1:67">
      <c r="A1" t="s">
        <v>413</v>
      </c>
      <c r="B1" t="s">
        <v>414</v>
      </c>
    </row>
    <row r="2" spans="1:67">
      <c r="A2" t="s">
        <v>415</v>
      </c>
      <c r="B2" s="110">
        <v>45132</v>
      </c>
      <c r="C2" s="46" t="s">
        <v>1017</v>
      </c>
    </row>
    <row r="4" spans="1:67">
      <c r="A4" t="s">
        <v>417</v>
      </c>
      <c r="B4" t="s">
        <v>418</v>
      </c>
      <c r="C4" t="s">
        <v>419</v>
      </c>
      <c r="D4" t="s">
        <v>420</v>
      </c>
      <c r="E4" t="s">
        <v>421</v>
      </c>
      <c r="F4" t="s">
        <v>422</v>
      </c>
      <c r="G4" t="s">
        <v>423</v>
      </c>
      <c r="H4" t="s">
        <v>424</v>
      </c>
      <c r="I4" t="s">
        <v>425</v>
      </c>
      <c r="J4" t="s">
        <v>426</v>
      </c>
      <c r="K4" t="s">
        <v>427</v>
      </c>
      <c r="L4" t="s">
        <v>428</v>
      </c>
      <c r="M4" t="s">
        <v>429</v>
      </c>
      <c r="N4" t="s">
        <v>430</v>
      </c>
      <c r="O4" t="s">
        <v>431</v>
      </c>
      <c r="P4" t="s">
        <v>432</v>
      </c>
      <c r="Q4" t="s">
        <v>433</v>
      </c>
      <c r="R4" t="s">
        <v>434</v>
      </c>
      <c r="S4" t="s">
        <v>435</v>
      </c>
      <c r="T4" t="s">
        <v>436</v>
      </c>
      <c r="U4" t="s">
        <v>437</v>
      </c>
      <c r="V4" t="s">
        <v>438</v>
      </c>
      <c r="W4" t="s">
        <v>439</v>
      </c>
      <c r="X4" t="s">
        <v>440</v>
      </c>
      <c r="Y4" t="s">
        <v>441</v>
      </c>
      <c r="Z4" t="s">
        <v>442</v>
      </c>
      <c r="AA4" t="s">
        <v>443</v>
      </c>
      <c r="AB4" t="s">
        <v>444</v>
      </c>
      <c r="AC4" t="s">
        <v>445</v>
      </c>
      <c r="AD4" t="s">
        <v>446</v>
      </c>
      <c r="AE4" t="s">
        <v>447</v>
      </c>
      <c r="AF4" t="s">
        <v>448</v>
      </c>
      <c r="AG4" t="s">
        <v>449</v>
      </c>
      <c r="AH4" t="s">
        <v>450</v>
      </c>
      <c r="AI4" t="s">
        <v>451</v>
      </c>
      <c r="AJ4" t="s">
        <v>452</v>
      </c>
      <c r="AK4" t="s">
        <v>453</v>
      </c>
      <c r="AL4" t="s">
        <v>454</v>
      </c>
      <c r="AM4" t="s">
        <v>455</v>
      </c>
      <c r="AN4" t="s">
        <v>456</v>
      </c>
      <c r="AO4" t="s">
        <v>457</v>
      </c>
      <c r="AP4" t="s">
        <v>458</v>
      </c>
      <c r="AQ4" t="s">
        <v>459</v>
      </c>
      <c r="AR4" t="s">
        <v>460</v>
      </c>
      <c r="AS4" t="s">
        <v>461</v>
      </c>
      <c r="AT4" t="s">
        <v>462</v>
      </c>
      <c r="AU4" t="s">
        <v>463</v>
      </c>
      <c r="AV4" t="s">
        <v>464</v>
      </c>
      <c r="AW4" t="s">
        <v>465</v>
      </c>
      <c r="AX4" t="s">
        <v>466</v>
      </c>
      <c r="AY4" t="s">
        <v>467</v>
      </c>
      <c r="AZ4" t="s">
        <v>468</v>
      </c>
      <c r="BA4" t="s">
        <v>469</v>
      </c>
      <c r="BB4" t="s">
        <v>470</v>
      </c>
      <c r="BC4" t="s">
        <v>471</v>
      </c>
      <c r="BD4" t="s">
        <v>472</v>
      </c>
      <c r="BE4" t="s">
        <v>473</v>
      </c>
      <c r="BF4" t="s">
        <v>474</v>
      </c>
      <c r="BG4" t="s">
        <v>475</v>
      </c>
      <c r="BH4" t="s">
        <v>476</v>
      </c>
      <c r="BI4" t="s">
        <v>477</v>
      </c>
      <c r="BJ4" t="s">
        <v>478</v>
      </c>
      <c r="BK4" t="s">
        <v>479</v>
      </c>
      <c r="BL4" t="s">
        <v>480</v>
      </c>
      <c r="BM4" t="s">
        <v>481</v>
      </c>
      <c r="BN4" t="s">
        <v>482</v>
      </c>
      <c r="BO4" s="190" t="s">
        <v>483</v>
      </c>
    </row>
    <row r="5" spans="1:67">
      <c r="A5" t="s">
        <v>484</v>
      </c>
      <c r="B5" t="s">
        <v>485</v>
      </c>
      <c r="C5" t="s">
        <v>1018</v>
      </c>
      <c r="D5" t="s">
        <v>1019</v>
      </c>
      <c r="AE5">
        <v>405586592.17877096</v>
      </c>
      <c r="AF5">
        <v>487709497.2067039</v>
      </c>
      <c r="AG5">
        <v>596648044.69273746</v>
      </c>
      <c r="AH5">
        <v>695530726.25698328</v>
      </c>
      <c r="AI5">
        <v>764804469.27374303</v>
      </c>
      <c r="AJ5">
        <v>872067039.10614526</v>
      </c>
      <c r="AK5">
        <v>958659217.87709498</v>
      </c>
      <c r="AL5">
        <v>1083240223.4636872</v>
      </c>
      <c r="AM5">
        <v>1245810055.8659217</v>
      </c>
      <c r="AN5">
        <v>1320670391.0614524</v>
      </c>
      <c r="AO5">
        <v>1379888268.1564245</v>
      </c>
      <c r="AP5">
        <v>1531843575.4189944</v>
      </c>
      <c r="AQ5">
        <v>1665363128.4916201</v>
      </c>
      <c r="AR5">
        <v>1722905027.9329607</v>
      </c>
      <c r="AS5">
        <v>1873184357.5418994</v>
      </c>
      <c r="AT5">
        <v>1896648044.6927373</v>
      </c>
      <c r="AU5">
        <v>1962011173.1843574</v>
      </c>
      <c r="AV5">
        <v>2044134078.2122905</v>
      </c>
      <c r="AW5">
        <v>2254748603.3519554</v>
      </c>
      <c r="AX5">
        <v>2359776536.312849</v>
      </c>
      <c r="AY5">
        <v>2469832402.2346368</v>
      </c>
      <c r="AZ5">
        <v>2677653631.2849159</v>
      </c>
      <c r="BA5">
        <v>2843016759.7765365</v>
      </c>
      <c r="BB5">
        <v>2553631284.9162011</v>
      </c>
      <c r="BC5">
        <v>2453631284.9162011</v>
      </c>
      <c r="BD5">
        <v>2637988826.8156424</v>
      </c>
      <c r="BE5">
        <v>2615083798.8826814</v>
      </c>
      <c r="BF5">
        <v>2727932960.8938546</v>
      </c>
      <c r="BG5">
        <v>2791061452.5139666</v>
      </c>
      <c r="BH5">
        <v>2963128491.6201115</v>
      </c>
      <c r="BI5">
        <v>2983798882.6815643</v>
      </c>
      <c r="BJ5">
        <v>3092178770.9497204</v>
      </c>
      <c r="BK5">
        <v>3276187709.4972067</v>
      </c>
      <c r="BL5">
        <v>3395793854.7486033</v>
      </c>
      <c r="BM5">
        <v>2610038938.5474858</v>
      </c>
      <c r="BN5">
        <v>3126019385.4748602</v>
      </c>
    </row>
    <row r="6" spans="1:67">
      <c r="A6" t="s">
        <v>488</v>
      </c>
      <c r="B6" t="s">
        <v>489</v>
      </c>
      <c r="C6" t="s">
        <v>1018</v>
      </c>
      <c r="D6" t="s">
        <v>1019</v>
      </c>
      <c r="E6">
        <v>21125015452.19735</v>
      </c>
      <c r="F6">
        <v>21616228139.03751</v>
      </c>
      <c r="G6">
        <v>23506279899.96653</v>
      </c>
      <c r="H6">
        <v>28048360188.278782</v>
      </c>
      <c r="I6">
        <v>25920665259.890041</v>
      </c>
      <c r="J6">
        <v>29472103269.741936</v>
      </c>
      <c r="K6">
        <v>32014368121.371735</v>
      </c>
      <c r="L6">
        <v>33269509510.4599</v>
      </c>
      <c r="M6">
        <v>36327785494.927711</v>
      </c>
      <c r="N6">
        <v>41638967621.000717</v>
      </c>
      <c r="O6">
        <v>44629891648.970383</v>
      </c>
      <c r="P6">
        <v>49173371528.940857</v>
      </c>
      <c r="Q6">
        <v>53123459911.650459</v>
      </c>
      <c r="R6">
        <v>69482723443.653809</v>
      </c>
      <c r="S6">
        <v>85380645042.24379</v>
      </c>
      <c r="T6">
        <v>90835426418.475723</v>
      </c>
      <c r="U6">
        <v>90212747243.322067</v>
      </c>
      <c r="V6">
        <v>102240575582.94492</v>
      </c>
      <c r="W6">
        <v>116084638702.25113</v>
      </c>
      <c r="X6">
        <v>134256827127.36172</v>
      </c>
      <c r="Y6">
        <v>171217790780.75711</v>
      </c>
      <c r="Z6">
        <v>175859256874.35895</v>
      </c>
      <c r="AA6">
        <v>168095657215.22992</v>
      </c>
      <c r="AB6">
        <v>175564912386.05344</v>
      </c>
      <c r="AC6">
        <v>160646748724.36038</v>
      </c>
      <c r="AD6">
        <v>136759437909.94936</v>
      </c>
      <c r="AE6">
        <v>153050335915.69315</v>
      </c>
      <c r="AF6">
        <v>186658478814.25958</v>
      </c>
      <c r="AG6">
        <v>204765985926.27774</v>
      </c>
      <c r="AH6">
        <v>218241607366.27008</v>
      </c>
      <c r="AI6">
        <v>254062093241.87143</v>
      </c>
      <c r="AJ6">
        <v>276856728335.50085</v>
      </c>
      <c r="AK6">
        <v>246088124935.71817</v>
      </c>
      <c r="AL6">
        <v>242926405780.18802</v>
      </c>
      <c r="AM6">
        <v>239610677916.94904</v>
      </c>
      <c r="AN6">
        <v>270327154574.64395</v>
      </c>
      <c r="AO6">
        <v>269490833464.81631</v>
      </c>
      <c r="AP6">
        <v>283446224788.41309</v>
      </c>
      <c r="AQ6">
        <v>266652333830.50742</v>
      </c>
      <c r="AR6">
        <v>263024788889.78769</v>
      </c>
      <c r="AS6">
        <v>284759318602.86572</v>
      </c>
      <c r="AT6">
        <v>259643121973.10178</v>
      </c>
      <c r="AU6">
        <v>266529432166.37723</v>
      </c>
      <c r="AV6">
        <v>354176768091.4068</v>
      </c>
      <c r="AW6">
        <v>440481795990.95001</v>
      </c>
      <c r="AX6">
        <v>513941625353.72992</v>
      </c>
      <c r="AY6">
        <v>577586931666.75159</v>
      </c>
      <c r="AZ6">
        <v>662868036074.34888</v>
      </c>
      <c r="BA6">
        <v>710536227816.53748</v>
      </c>
      <c r="BB6">
        <v>721901168421.27954</v>
      </c>
      <c r="BC6">
        <v>863519541417.77429</v>
      </c>
      <c r="BD6">
        <v>967824566958.79102</v>
      </c>
      <c r="BE6">
        <v>975354777362.36792</v>
      </c>
      <c r="BF6">
        <v>985987130726.70142</v>
      </c>
      <c r="BG6">
        <v>1006526390112.8292</v>
      </c>
      <c r="BH6">
        <v>927348469903.11536</v>
      </c>
      <c r="BI6">
        <v>885176429223.50879</v>
      </c>
      <c r="BJ6">
        <v>1021043200767.0063</v>
      </c>
      <c r="BK6">
        <v>1007196197587.4084</v>
      </c>
      <c r="BL6">
        <v>1000834077088.5531</v>
      </c>
      <c r="BM6">
        <v>927593321647.66418</v>
      </c>
      <c r="BN6">
        <v>1081998139192.4668</v>
      </c>
      <c r="BO6" s="190">
        <v>1169483734191.4592</v>
      </c>
    </row>
    <row r="7" spans="1:67">
      <c r="A7" t="s">
        <v>490</v>
      </c>
      <c r="B7" t="s">
        <v>491</v>
      </c>
      <c r="C7" t="s">
        <v>1018</v>
      </c>
      <c r="D7" t="s">
        <v>1019</v>
      </c>
      <c r="E7">
        <v>537777811.11111116</v>
      </c>
      <c r="F7">
        <v>548888895.55555558</v>
      </c>
      <c r="G7">
        <v>546666677.77777779</v>
      </c>
      <c r="H7">
        <v>751111191.11111104</v>
      </c>
      <c r="I7">
        <v>800000044.44444442</v>
      </c>
      <c r="J7">
        <v>1006666637.7777778</v>
      </c>
      <c r="K7">
        <v>1399999966.6666667</v>
      </c>
      <c r="L7">
        <v>1673333417.7777777</v>
      </c>
      <c r="M7">
        <v>1373333366.6666667</v>
      </c>
      <c r="N7">
        <v>1408888922.2222223</v>
      </c>
      <c r="O7">
        <v>1748886595.5555556</v>
      </c>
      <c r="P7">
        <v>1831108971.1111112</v>
      </c>
      <c r="Q7">
        <v>1595555475.5555556</v>
      </c>
      <c r="R7">
        <v>1733333264.4444444</v>
      </c>
      <c r="S7">
        <v>2155555497.7777777</v>
      </c>
      <c r="T7">
        <v>2366666615.5555553</v>
      </c>
      <c r="U7">
        <v>2555555566.6666665</v>
      </c>
      <c r="V7">
        <v>2953333417.7777777</v>
      </c>
      <c r="W7">
        <v>3300000108.8888888</v>
      </c>
      <c r="X7">
        <v>3697940409.6109838</v>
      </c>
      <c r="Y7">
        <v>3641723321.9954648</v>
      </c>
      <c r="Z7">
        <v>3478787909.090909</v>
      </c>
      <c r="AU7">
        <v>3854235264.3717074</v>
      </c>
      <c r="AV7">
        <v>4539496562.9537268</v>
      </c>
      <c r="AW7">
        <v>5220825048.6463661</v>
      </c>
      <c r="AX7">
        <v>6226198934.8332949</v>
      </c>
      <c r="AY7">
        <v>6971383338.7080297</v>
      </c>
      <c r="AZ7">
        <v>9715765105.4801636</v>
      </c>
      <c r="BA7">
        <v>10249770318.5697</v>
      </c>
      <c r="BB7">
        <v>12154835707.898659</v>
      </c>
      <c r="BC7">
        <v>15633843661.805069</v>
      </c>
      <c r="BD7">
        <v>18190413831.903652</v>
      </c>
      <c r="BE7">
        <v>20203572959.502293</v>
      </c>
      <c r="BF7">
        <v>20564485419.168434</v>
      </c>
      <c r="BG7">
        <v>20550582746.844841</v>
      </c>
      <c r="BH7">
        <v>19998143635.872986</v>
      </c>
      <c r="BI7">
        <v>18019554403.450321</v>
      </c>
      <c r="BJ7">
        <v>18896353155.883923</v>
      </c>
      <c r="BK7">
        <v>18418860354.423775</v>
      </c>
      <c r="BL7">
        <v>18904502222.210789</v>
      </c>
      <c r="BM7">
        <v>20143451705.754845</v>
      </c>
      <c r="BN7">
        <v>14583135236.574402</v>
      </c>
    </row>
    <row r="8" spans="1:67">
      <c r="A8" t="s">
        <v>492</v>
      </c>
      <c r="B8" t="s">
        <v>493</v>
      </c>
      <c r="C8" t="s">
        <v>1018</v>
      </c>
      <c r="D8" t="s">
        <v>1019</v>
      </c>
      <c r="E8">
        <v>10447637852.918215</v>
      </c>
      <c r="F8">
        <v>11173212080.394047</v>
      </c>
      <c r="G8">
        <v>11990534017.872967</v>
      </c>
      <c r="H8">
        <v>12727688165.450535</v>
      </c>
      <c r="I8">
        <v>13898109284.017984</v>
      </c>
      <c r="J8">
        <v>14929792387.515064</v>
      </c>
      <c r="K8">
        <v>15910837741.967787</v>
      </c>
      <c r="L8">
        <v>14510579888.720743</v>
      </c>
      <c r="M8">
        <v>14968235781.964382</v>
      </c>
      <c r="N8">
        <v>16979315745.391426</v>
      </c>
      <c r="O8">
        <v>23596163865.318218</v>
      </c>
      <c r="P8">
        <v>20936358634.327389</v>
      </c>
      <c r="Q8">
        <v>25386169423.278336</v>
      </c>
      <c r="R8">
        <v>31975594564.711926</v>
      </c>
      <c r="S8">
        <v>44416677334.56736</v>
      </c>
      <c r="T8">
        <v>51667190241.549553</v>
      </c>
      <c r="U8">
        <v>62351622299.609756</v>
      </c>
      <c r="V8">
        <v>65595122955.594925</v>
      </c>
      <c r="W8">
        <v>71496496574.327881</v>
      </c>
      <c r="X8">
        <v>88948338390.393585</v>
      </c>
      <c r="Y8">
        <v>112439126385.11089</v>
      </c>
      <c r="Z8">
        <v>211338060014.60516</v>
      </c>
      <c r="AA8">
        <v>187448724919.92706</v>
      </c>
      <c r="AB8">
        <v>138384182006.54758</v>
      </c>
      <c r="AC8">
        <v>114516348920.80019</v>
      </c>
      <c r="AD8">
        <v>116776995132.66508</v>
      </c>
      <c r="AE8">
        <v>107886511308.91838</v>
      </c>
      <c r="AF8">
        <v>110728825941.6006</v>
      </c>
      <c r="AG8">
        <v>109438851253.75372</v>
      </c>
      <c r="AH8">
        <v>102254998562.58362</v>
      </c>
      <c r="AI8">
        <v>122387353859.46112</v>
      </c>
      <c r="AJ8">
        <v>118039698015.64056</v>
      </c>
      <c r="AK8">
        <v>118893094121.78972</v>
      </c>
      <c r="AL8">
        <v>99272180411.250305</v>
      </c>
      <c r="AM8">
        <v>86636400265.836258</v>
      </c>
      <c r="AN8">
        <v>108690885030.35641</v>
      </c>
      <c r="AO8">
        <v>126287285162.71156</v>
      </c>
      <c r="AP8">
        <v>127602388366.01927</v>
      </c>
      <c r="AQ8">
        <v>130678128885.1747</v>
      </c>
      <c r="AR8">
        <v>138085971819.80637</v>
      </c>
      <c r="AS8">
        <v>140945759313.81061</v>
      </c>
      <c r="AT8">
        <v>148529518712.34277</v>
      </c>
      <c r="AU8">
        <v>177201164643.36008</v>
      </c>
      <c r="AV8">
        <v>205214466071.12418</v>
      </c>
      <c r="AW8">
        <v>254264799898.50882</v>
      </c>
      <c r="AX8">
        <v>310889578636.22815</v>
      </c>
      <c r="AY8">
        <v>396921040009.47174</v>
      </c>
      <c r="AZ8">
        <v>465485534968.5351</v>
      </c>
      <c r="BA8">
        <v>567791156729.12854</v>
      </c>
      <c r="BB8">
        <v>508362731366.62604</v>
      </c>
      <c r="BC8">
        <v>598521555565.83936</v>
      </c>
      <c r="BD8">
        <v>682015858791.68091</v>
      </c>
      <c r="BE8">
        <v>737589473577.07178</v>
      </c>
      <c r="BF8">
        <v>833948054767.43799</v>
      </c>
      <c r="BG8">
        <v>894322482190.28101</v>
      </c>
      <c r="BH8">
        <v>768644740597.11646</v>
      </c>
      <c r="BI8">
        <v>691363412188.45972</v>
      </c>
      <c r="BJ8">
        <v>684898755570.71692</v>
      </c>
      <c r="BK8">
        <v>767025741475.03784</v>
      </c>
      <c r="BL8">
        <v>822538393591.4469</v>
      </c>
      <c r="BM8">
        <v>786460035395.02649</v>
      </c>
      <c r="BN8">
        <v>844459722152.99097</v>
      </c>
      <c r="BO8" s="190">
        <v>877863284874.06763</v>
      </c>
    </row>
    <row r="9" spans="1:67">
      <c r="A9" t="s">
        <v>494</v>
      </c>
      <c r="B9" t="s">
        <v>495</v>
      </c>
      <c r="C9" t="s">
        <v>1018</v>
      </c>
      <c r="D9" t="s">
        <v>1019</v>
      </c>
      <c r="Y9">
        <v>5930503400.9626312</v>
      </c>
      <c r="Z9">
        <v>5550483035.9649715</v>
      </c>
      <c r="AA9">
        <v>5550483035.9649715</v>
      </c>
      <c r="AB9">
        <v>5784341596.3633938</v>
      </c>
      <c r="AC9">
        <v>6131475065.1781549</v>
      </c>
      <c r="AD9">
        <v>7554065410.1209974</v>
      </c>
      <c r="AE9">
        <v>7072536108.6971054</v>
      </c>
      <c r="AF9">
        <v>8084412414.2656603</v>
      </c>
      <c r="AG9">
        <v>8769836768.834816</v>
      </c>
      <c r="AH9">
        <v>10201780976.669563</v>
      </c>
      <c r="AI9">
        <v>11229515599.304768</v>
      </c>
      <c r="AJ9">
        <v>12704558516.591557</v>
      </c>
      <c r="AK9">
        <v>15114352005.303261</v>
      </c>
      <c r="AL9">
        <v>11051939101.56004</v>
      </c>
      <c r="AM9">
        <v>3390500000</v>
      </c>
      <c r="AN9">
        <v>5561222222.2222223</v>
      </c>
      <c r="AO9">
        <v>7526963963.9639635</v>
      </c>
      <c r="AP9">
        <v>7648377412.8327723</v>
      </c>
      <c r="AQ9">
        <v>6506229607.2943239</v>
      </c>
      <c r="AR9">
        <v>6152922942.9803152</v>
      </c>
      <c r="AS9">
        <v>9129594818.6074924</v>
      </c>
      <c r="AT9">
        <v>8936079252.7713146</v>
      </c>
      <c r="AU9">
        <v>15285592487.423664</v>
      </c>
      <c r="AV9">
        <v>17812704626.232372</v>
      </c>
      <c r="AW9">
        <v>23552057820.459892</v>
      </c>
      <c r="AX9">
        <v>36970901025.203217</v>
      </c>
      <c r="AY9">
        <v>52381025105.217659</v>
      </c>
      <c r="AZ9">
        <v>65266415706.974136</v>
      </c>
      <c r="BA9">
        <v>88538664888.198288</v>
      </c>
      <c r="BB9">
        <v>70307196477.081451</v>
      </c>
      <c r="BC9">
        <v>81699526880.807907</v>
      </c>
      <c r="BD9">
        <v>109436566876.41864</v>
      </c>
      <c r="BE9">
        <v>124998210652.24281</v>
      </c>
      <c r="BF9">
        <v>133401582620.49359</v>
      </c>
      <c r="BG9">
        <v>137244439121.37398</v>
      </c>
      <c r="BH9">
        <v>87219300384.507172</v>
      </c>
      <c r="BI9">
        <v>49840491178.151764</v>
      </c>
      <c r="BJ9">
        <v>68972769395.627365</v>
      </c>
      <c r="BK9">
        <v>77792944471.949432</v>
      </c>
      <c r="BL9">
        <v>69309110145.768738</v>
      </c>
      <c r="BM9">
        <v>50241368243.631424</v>
      </c>
      <c r="BN9">
        <v>65685435100.498566</v>
      </c>
      <c r="BO9" s="190">
        <v>106713618735.43364</v>
      </c>
    </row>
    <row r="10" spans="1:67">
      <c r="A10" t="s">
        <v>496</v>
      </c>
      <c r="B10" t="s">
        <v>497</v>
      </c>
      <c r="C10" t="s">
        <v>1018</v>
      </c>
      <c r="D10" t="s">
        <v>1019</v>
      </c>
      <c r="AC10">
        <v>1857338011.8548822</v>
      </c>
      <c r="AD10">
        <v>1897050133.4201543</v>
      </c>
      <c r="AE10">
        <v>2097326250</v>
      </c>
      <c r="AF10">
        <v>2080796249.9999998</v>
      </c>
      <c r="AG10">
        <v>2051236250</v>
      </c>
      <c r="AH10">
        <v>2253090000</v>
      </c>
      <c r="AI10">
        <v>2028553750</v>
      </c>
      <c r="AJ10">
        <v>1099559027.7777777</v>
      </c>
      <c r="AK10">
        <v>652174990.83730388</v>
      </c>
      <c r="AL10">
        <v>1185315468.4629517</v>
      </c>
      <c r="AM10">
        <v>1880950857.7870157</v>
      </c>
      <c r="AN10">
        <v>2392764853.4210739</v>
      </c>
      <c r="AO10">
        <v>3199640825.6225839</v>
      </c>
      <c r="AP10">
        <v>2258513974.0967965</v>
      </c>
      <c r="AQ10">
        <v>2545964540.883832</v>
      </c>
      <c r="AR10">
        <v>3212121650.9775524</v>
      </c>
      <c r="AS10">
        <v>3480355258.0412197</v>
      </c>
      <c r="AT10">
        <v>3922100793.5403037</v>
      </c>
      <c r="AU10">
        <v>4348068242.1951227</v>
      </c>
      <c r="AV10">
        <v>5611496257.142313</v>
      </c>
      <c r="AW10">
        <v>7184685781.5187607</v>
      </c>
      <c r="AX10">
        <v>8052077209.3736982</v>
      </c>
      <c r="AY10">
        <v>8896074996.3587589</v>
      </c>
      <c r="AZ10">
        <v>10677324872.828642</v>
      </c>
      <c r="BA10">
        <v>12881352878.250063</v>
      </c>
      <c r="BB10">
        <v>12044205572.434246</v>
      </c>
      <c r="BC10">
        <v>11926926654.052109</v>
      </c>
      <c r="BD10">
        <v>12890760272.558374</v>
      </c>
      <c r="BE10">
        <v>12319834233.290417</v>
      </c>
      <c r="BF10">
        <v>12776224537.274315</v>
      </c>
      <c r="BG10">
        <v>13228147516.116798</v>
      </c>
      <c r="BH10">
        <v>11386853143.151987</v>
      </c>
      <c r="BI10">
        <v>11861199830.83956</v>
      </c>
      <c r="BJ10">
        <v>13019726211.736889</v>
      </c>
      <c r="BK10">
        <v>15156424061.981478</v>
      </c>
      <c r="BL10">
        <v>15401826080.518326</v>
      </c>
      <c r="BM10">
        <v>15162734205.246202</v>
      </c>
      <c r="BN10">
        <v>17930565118.817619</v>
      </c>
      <c r="BO10" s="190">
        <v>18882095517.876831</v>
      </c>
    </row>
    <row r="11" spans="1:67">
      <c r="A11" t="s">
        <v>498</v>
      </c>
      <c r="B11" t="s">
        <v>499</v>
      </c>
      <c r="C11" t="s">
        <v>1018</v>
      </c>
      <c r="D11" t="s">
        <v>1019</v>
      </c>
      <c r="O11">
        <v>78617622.615668103</v>
      </c>
      <c r="P11">
        <v>89406587.660322234</v>
      </c>
      <c r="Q11">
        <v>113414399.17980734</v>
      </c>
      <c r="R11">
        <v>150841573.45038989</v>
      </c>
      <c r="S11">
        <v>186557164.00867745</v>
      </c>
      <c r="T11">
        <v>220112879.7596131</v>
      </c>
      <c r="U11">
        <v>227284061.4721466</v>
      </c>
      <c r="V11">
        <v>253998001.24316144</v>
      </c>
      <c r="W11">
        <v>308020288.90630776</v>
      </c>
      <c r="X11">
        <v>411548365.74110174</v>
      </c>
      <c r="Y11">
        <v>446377571.45777959</v>
      </c>
      <c r="Z11">
        <v>388982990.4683888</v>
      </c>
      <c r="AA11">
        <v>375914806.52878219</v>
      </c>
      <c r="AB11">
        <v>327849981.48463422</v>
      </c>
      <c r="AC11">
        <v>330073057.02197683</v>
      </c>
      <c r="AD11">
        <v>346742876.30270958</v>
      </c>
      <c r="AE11">
        <v>481996191.30373251</v>
      </c>
      <c r="AF11">
        <v>611300147.25444412</v>
      </c>
      <c r="AG11">
        <v>721425971.76905537</v>
      </c>
      <c r="AH11">
        <v>795489464.0250268</v>
      </c>
      <c r="AI11">
        <v>1028989393.702947</v>
      </c>
      <c r="AJ11">
        <v>1106891024.786525</v>
      </c>
      <c r="AK11">
        <v>1209992649.5668821</v>
      </c>
      <c r="AL11">
        <v>1007090915.0599899</v>
      </c>
      <c r="AM11">
        <v>1017544675.4971336</v>
      </c>
      <c r="AN11">
        <v>1178745314.3263459</v>
      </c>
      <c r="AO11">
        <v>1224023415.653264</v>
      </c>
      <c r="AP11">
        <v>1180646068.292618</v>
      </c>
      <c r="AQ11">
        <v>1211953953.5634685</v>
      </c>
      <c r="AR11">
        <v>1239840269.7181356</v>
      </c>
      <c r="AS11">
        <v>1429048105.6661806</v>
      </c>
      <c r="AT11">
        <v>1546912331.8806992</v>
      </c>
      <c r="AU11">
        <v>1755989899.2959092</v>
      </c>
      <c r="AV11">
        <v>2361635782.0601883</v>
      </c>
      <c r="AW11">
        <v>2895047587.1188841</v>
      </c>
      <c r="AX11">
        <v>3159826891.5087304</v>
      </c>
      <c r="AY11">
        <v>3456265061.7206497</v>
      </c>
      <c r="AZ11">
        <v>3952397734.8548355</v>
      </c>
      <c r="BA11">
        <v>4085781938.5165153</v>
      </c>
      <c r="BB11">
        <v>3674188228.9502535</v>
      </c>
      <c r="BC11">
        <v>3449925738.8334222</v>
      </c>
      <c r="BD11">
        <v>3629133574.5136509</v>
      </c>
      <c r="BE11">
        <v>3188652765.2929692</v>
      </c>
      <c r="BF11">
        <v>3193512950.0157208</v>
      </c>
      <c r="BG11">
        <v>3271685596.5215049</v>
      </c>
      <c r="BH11">
        <v>2789881258.6054673</v>
      </c>
      <c r="BI11">
        <v>2896610479.8677917</v>
      </c>
      <c r="BJ11">
        <v>3000162081.2235618</v>
      </c>
      <c r="BK11">
        <v>3218419896.9332738</v>
      </c>
      <c r="BL11">
        <v>3155149347.9215069</v>
      </c>
      <c r="BM11">
        <v>2891001149.4007368</v>
      </c>
      <c r="BN11">
        <v>3325145406.7710938</v>
      </c>
      <c r="BO11" s="190">
        <v>3352032737.0390978</v>
      </c>
    </row>
    <row r="12" spans="1:67">
      <c r="A12" t="s">
        <v>500</v>
      </c>
      <c r="B12" t="s">
        <v>501</v>
      </c>
      <c r="C12" t="s">
        <v>1018</v>
      </c>
      <c r="D12" t="s">
        <v>1019</v>
      </c>
      <c r="M12">
        <v>34715404210.853088</v>
      </c>
      <c r="N12">
        <v>37827652252.000725</v>
      </c>
      <c r="O12">
        <v>42768536550.70327</v>
      </c>
      <c r="P12">
        <v>49428519673.456619</v>
      </c>
      <c r="Q12">
        <v>58935857748.533867</v>
      </c>
      <c r="R12">
        <v>74780454402.087753</v>
      </c>
      <c r="S12">
        <v>142137633612.97946</v>
      </c>
      <c r="T12">
        <v>157069227730.64456</v>
      </c>
      <c r="U12">
        <v>195513756716.26746</v>
      </c>
      <c r="V12">
        <v>225676459936.29739</v>
      </c>
      <c r="W12">
        <v>249608263403.04593</v>
      </c>
      <c r="X12">
        <v>337961752414.97894</v>
      </c>
      <c r="Y12">
        <v>459804598569.46167</v>
      </c>
      <c r="Z12">
        <v>474812142540.0946</v>
      </c>
      <c r="AA12">
        <v>444575870914.34326</v>
      </c>
      <c r="AB12">
        <v>418462069813.7644</v>
      </c>
      <c r="AC12">
        <v>425899415741.84332</v>
      </c>
      <c r="AD12">
        <v>419485435098.3197</v>
      </c>
      <c r="AE12">
        <v>406982702169.50348</v>
      </c>
      <c r="AF12">
        <v>440607629311.64838</v>
      </c>
      <c r="AG12">
        <v>424896194402.89569</v>
      </c>
      <c r="AH12">
        <v>455822667744.98175</v>
      </c>
      <c r="AI12">
        <v>644062569659.78418</v>
      </c>
      <c r="AJ12">
        <v>471800078473.10748</v>
      </c>
      <c r="AK12">
        <v>473811268023.86023</v>
      </c>
      <c r="AL12">
        <v>482764256146.68427</v>
      </c>
      <c r="AM12">
        <v>507764942792.86334</v>
      </c>
      <c r="AN12">
        <v>556046395850.06714</v>
      </c>
      <c r="AO12">
        <v>614186085021.47473</v>
      </c>
      <c r="AP12">
        <v>662308062161.0752</v>
      </c>
      <c r="AQ12">
        <v>649192024190.97656</v>
      </c>
      <c r="AR12">
        <v>717469440493.50305</v>
      </c>
      <c r="AS12">
        <v>820185610129.23914</v>
      </c>
      <c r="AT12">
        <v>802881110720.1626</v>
      </c>
      <c r="AU12">
        <v>807961558719.84741</v>
      </c>
      <c r="AV12">
        <v>893818030124.46008</v>
      </c>
      <c r="AW12">
        <v>1062736962989.3877</v>
      </c>
      <c r="AX12">
        <v>1304401465632.9443</v>
      </c>
      <c r="AY12">
        <v>1545539138979.4146</v>
      </c>
      <c r="AZ12">
        <v>1797932187931.8276</v>
      </c>
      <c r="BA12">
        <v>2263028942886.3193</v>
      </c>
      <c r="BB12">
        <v>1987053424430.1726</v>
      </c>
      <c r="BC12">
        <v>2334637959849.4805</v>
      </c>
      <c r="BD12">
        <v>2555979378991.6528</v>
      </c>
      <c r="BE12">
        <v>2801697577805.5903</v>
      </c>
      <c r="BF12">
        <v>2859669252729.5762</v>
      </c>
      <c r="BG12">
        <v>2905732745187.0054</v>
      </c>
      <c r="BH12">
        <v>2554156134622.5908</v>
      </c>
      <c r="BI12">
        <v>2537536661584.8066</v>
      </c>
      <c r="BJ12">
        <v>2637111521998.1289</v>
      </c>
      <c r="BK12">
        <v>2843476105063.8022</v>
      </c>
      <c r="BL12">
        <v>2868890920845.1177</v>
      </c>
      <c r="BM12">
        <v>2533377484136.8716</v>
      </c>
      <c r="BN12">
        <v>2928455523439.8765</v>
      </c>
      <c r="BO12" s="190">
        <v>3557557256270.5903</v>
      </c>
    </row>
    <row r="13" spans="1:67">
      <c r="A13" t="s">
        <v>502</v>
      </c>
      <c r="B13" t="s">
        <v>503</v>
      </c>
      <c r="C13" t="s">
        <v>1018</v>
      </c>
      <c r="D13" t="s">
        <v>1019</v>
      </c>
      <c r="T13">
        <v>14720728252.251663</v>
      </c>
      <c r="U13">
        <v>19213156353.497982</v>
      </c>
      <c r="V13">
        <v>24871775164.604309</v>
      </c>
      <c r="W13">
        <v>23775765254.439346</v>
      </c>
      <c r="X13">
        <v>31225660993.098629</v>
      </c>
      <c r="Y13">
        <v>43599160062.092392</v>
      </c>
      <c r="Z13">
        <v>49333424148.551735</v>
      </c>
      <c r="AA13">
        <v>46622718617.98494</v>
      </c>
      <c r="AB13">
        <v>42803323356.797417</v>
      </c>
      <c r="AC13">
        <v>41807954240.648354</v>
      </c>
      <c r="AD13">
        <v>40603650231.54454</v>
      </c>
      <c r="AE13">
        <v>33943612094.797058</v>
      </c>
      <c r="AF13">
        <v>36384908744.211388</v>
      </c>
      <c r="AG13">
        <v>36275674203.214386</v>
      </c>
      <c r="AH13">
        <v>41464995913.919914</v>
      </c>
      <c r="AI13">
        <v>50701443748.29747</v>
      </c>
      <c r="AJ13">
        <v>51552165622.446205</v>
      </c>
      <c r="AK13">
        <v>54239171887.769005</v>
      </c>
      <c r="AL13">
        <v>55625170253.336967</v>
      </c>
      <c r="AM13">
        <v>59305093979.84201</v>
      </c>
      <c r="AN13">
        <v>65743666575.864891</v>
      </c>
      <c r="AO13">
        <v>73571233996.186325</v>
      </c>
      <c r="AP13">
        <v>78839008444.565521</v>
      </c>
      <c r="AQ13">
        <v>75674336283.185837</v>
      </c>
      <c r="AR13">
        <v>84445473110.959839</v>
      </c>
      <c r="AS13">
        <v>104337372362.15112</v>
      </c>
      <c r="AT13">
        <v>103311640571.81757</v>
      </c>
      <c r="AU13">
        <v>109816201497.61743</v>
      </c>
      <c r="AV13">
        <v>124346358066.71205</v>
      </c>
      <c r="AW13">
        <v>147824370319.94556</v>
      </c>
      <c r="AX13">
        <v>180617467964.60178</v>
      </c>
      <c r="AY13">
        <v>222116541865.21445</v>
      </c>
      <c r="AZ13">
        <v>257916133424.09802</v>
      </c>
      <c r="BA13">
        <v>315474615738.59772</v>
      </c>
      <c r="BB13">
        <v>253547358747.44727</v>
      </c>
      <c r="BC13">
        <v>289787452661.67462</v>
      </c>
      <c r="BD13">
        <v>350666058379.85022</v>
      </c>
      <c r="BE13">
        <v>384610125391.42273</v>
      </c>
      <c r="BF13">
        <v>400218529748.12799</v>
      </c>
      <c r="BG13">
        <v>414105366752.89313</v>
      </c>
      <c r="BH13">
        <v>370275469571.13684</v>
      </c>
      <c r="BI13">
        <v>369255326235.53436</v>
      </c>
      <c r="BJ13">
        <v>390516804029.95233</v>
      </c>
      <c r="BK13">
        <v>427049432157.9306</v>
      </c>
      <c r="BL13">
        <v>417989721742.68213</v>
      </c>
      <c r="BM13">
        <v>349473015330.15656</v>
      </c>
      <c r="BN13">
        <v>415021590687.54254</v>
      </c>
      <c r="BO13" s="190">
        <v>507534921715.4527</v>
      </c>
    </row>
    <row r="14" spans="1:67">
      <c r="A14" t="s">
        <v>504</v>
      </c>
      <c r="B14" t="s">
        <v>505</v>
      </c>
      <c r="C14" t="s">
        <v>1018</v>
      </c>
      <c r="D14" t="s">
        <v>1019</v>
      </c>
      <c r="G14">
        <v>24450604877.608116</v>
      </c>
      <c r="H14">
        <v>18272123664.471519</v>
      </c>
      <c r="I14">
        <v>25605249381.759708</v>
      </c>
      <c r="J14">
        <v>28344705966.638908</v>
      </c>
      <c r="K14">
        <v>28630474727.90226</v>
      </c>
      <c r="L14">
        <v>24256667553.25692</v>
      </c>
      <c r="M14">
        <v>26436857247.498184</v>
      </c>
      <c r="N14">
        <v>31256284543.615479</v>
      </c>
      <c r="O14">
        <v>31584210365.544651</v>
      </c>
      <c r="P14">
        <v>33293199095.488117</v>
      </c>
      <c r="Q14">
        <v>34733000536.286209</v>
      </c>
      <c r="R14">
        <v>52544000116.903732</v>
      </c>
      <c r="S14">
        <v>72436777342.455414</v>
      </c>
      <c r="T14">
        <v>52438647921.9226</v>
      </c>
      <c r="U14">
        <v>51169499892.172218</v>
      </c>
      <c r="V14">
        <v>56781000101.084831</v>
      </c>
      <c r="W14">
        <v>89049453088.328171</v>
      </c>
      <c r="X14">
        <v>69252328951.644104</v>
      </c>
      <c r="Y14">
        <v>76961923741.070099</v>
      </c>
      <c r="Z14">
        <v>78676842366.552902</v>
      </c>
      <c r="AA14">
        <v>84307486836.724014</v>
      </c>
      <c r="AB14">
        <v>103979106777.91101</v>
      </c>
      <c r="AC14">
        <v>116915052107.03087</v>
      </c>
      <c r="AD14">
        <v>88150891728.10643</v>
      </c>
      <c r="AE14">
        <v>105872372613.85706</v>
      </c>
      <c r="AF14">
        <v>108810885301.25256</v>
      </c>
      <c r="AG14">
        <v>126890235049.09248</v>
      </c>
      <c r="AH14">
        <v>76629728760.122955</v>
      </c>
      <c r="AI14">
        <v>141352630146.73056</v>
      </c>
      <c r="AJ14">
        <v>189719984268.48453</v>
      </c>
      <c r="AK14">
        <v>228778994288.21381</v>
      </c>
      <c r="AL14">
        <v>236741715015.01501</v>
      </c>
      <c r="AM14">
        <v>257440000000</v>
      </c>
      <c r="AN14">
        <v>258031750000</v>
      </c>
      <c r="AO14">
        <v>272149750000</v>
      </c>
      <c r="AP14">
        <v>292859000000</v>
      </c>
      <c r="AQ14">
        <v>298948250000</v>
      </c>
      <c r="AR14">
        <v>283523000000</v>
      </c>
      <c r="AS14">
        <v>284203750000</v>
      </c>
      <c r="AT14">
        <v>268696750000</v>
      </c>
      <c r="AU14">
        <v>97724004251.860199</v>
      </c>
      <c r="AV14">
        <v>127586973492.17664</v>
      </c>
      <c r="AW14">
        <v>164657930452.78662</v>
      </c>
      <c r="AX14">
        <v>198737095012.28165</v>
      </c>
      <c r="AY14">
        <v>232557260817.30771</v>
      </c>
      <c r="AZ14">
        <v>287530508430.56799</v>
      </c>
      <c r="BA14">
        <v>361558037110.41925</v>
      </c>
      <c r="BB14">
        <v>332976484577.6189</v>
      </c>
      <c r="BC14">
        <v>423627422092.48969</v>
      </c>
      <c r="BD14">
        <v>530158176673.78851</v>
      </c>
      <c r="BE14">
        <v>545982375701.12799</v>
      </c>
      <c r="BF14">
        <v>552025140252.24634</v>
      </c>
      <c r="BG14">
        <v>526319673731.63831</v>
      </c>
      <c r="BH14">
        <v>594749285413.2124</v>
      </c>
      <c r="BI14">
        <v>557532317363.45117</v>
      </c>
      <c r="BJ14">
        <v>643628396190.38806</v>
      </c>
      <c r="BK14">
        <v>524819898586.90643</v>
      </c>
      <c r="BL14">
        <v>447754686715.08081</v>
      </c>
      <c r="BM14">
        <v>385540406815.59869</v>
      </c>
      <c r="BN14">
        <v>487227125385.6405</v>
      </c>
      <c r="BO14" s="190">
        <v>632770284408.51038</v>
      </c>
    </row>
    <row r="15" spans="1:67">
      <c r="A15" t="s">
        <v>506</v>
      </c>
      <c r="B15" t="s">
        <v>507</v>
      </c>
      <c r="C15" t="s">
        <v>1018</v>
      </c>
      <c r="D15" t="s">
        <v>1019</v>
      </c>
      <c r="AI15">
        <v>2256838857.6099715</v>
      </c>
      <c r="AJ15">
        <v>2069870129.8701298</v>
      </c>
      <c r="AK15">
        <v>1272835453.4263439</v>
      </c>
      <c r="AL15">
        <v>1201312829.2752385</v>
      </c>
      <c r="AM15">
        <v>1315158636.6755345</v>
      </c>
      <c r="AN15">
        <v>1468317435.2014842</v>
      </c>
      <c r="AO15">
        <v>1596968946.2370784</v>
      </c>
      <c r="AP15">
        <v>1639492444.7615163</v>
      </c>
      <c r="AQ15">
        <v>1893726437.2646184</v>
      </c>
      <c r="AR15">
        <v>1845482173.0273242</v>
      </c>
      <c r="AS15">
        <v>1911563668.8500648</v>
      </c>
      <c r="AT15">
        <v>2118467913.3787341</v>
      </c>
      <c r="AU15">
        <v>2376335048.399756</v>
      </c>
      <c r="AV15">
        <v>2807061008.6908445</v>
      </c>
      <c r="AW15">
        <v>3576615240.4161587</v>
      </c>
      <c r="AX15">
        <v>4900469515.0725203</v>
      </c>
      <c r="AY15">
        <v>6384452070.7417126</v>
      </c>
      <c r="AZ15">
        <v>9206301264.1757183</v>
      </c>
      <c r="BA15">
        <v>11662040703.891603</v>
      </c>
      <c r="BB15">
        <v>8647937090.6338921</v>
      </c>
      <c r="BC15">
        <v>9260285762.0970364</v>
      </c>
      <c r="BD15">
        <v>10142111812.366453</v>
      </c>
      <c r="BE15">
        <v>10619320692.808701</v>
      </c>
      <c r="BF15">
        <v>11121464429.702991</v>
      </c>
      <c r="BG15">
        <v>11609513241.075359</v>
      </c>
      <c r="BH15">
        <v>10553337527.774534</v>
      </c>
      <c r="BI15">
        <v>10546136240.395241</v>
      </c>
      <c r="BJ15">
        <v>11527458712.618654</v>
      </c>
      <c r="BK15">
        <v>12457940705.308796</v>
      </c>
      <c r="BL15">
        <v>13619290545.813139</v>
      </c>
      <c r="BM15">
        <v>12641698593.790771</v>
      </c>
      <c r="BN15">
        <v>13861409968.834984</v>
      </c>
      <c r="BO15" s="190">
        <v>19502783987.880733</v>
      </c>
    </row>
    <row r="16" spans="1:67">
      <c r="A16" t="s">
        <v>508</v>
      </c>
      <c r="B16" t="s">
        <v>509</v>
      </c>
      <c r="C16" t="s">
        <v>1018</v>
      </c>
      <c r="D16" t="s">
        <v>1019</v>
      </c>
      <c r="AU16">
        <v>512000000</v>
      </c>
      <c r="AV16">
        <v>524000000</v>
      </c>
      <c r="AW16">
        <v>509000000</v>
      </c>
      <c r="AX16">
        <v>500000000</v>
      </c>
      <c r="AY16">
        <v>493000000</v>
      </c>
      <c r="AZ16">
        <v>518000000</v>
      </c>
      <c r="BA16">
        <v>560000000</v>
      </c>
      <c r="BB16">
        <v>675000000</v>
      </c>
      <c r="BC16">
        <v>573000000</v>
      </c>
      <c r="BD16">
        <v>570000000</v>
      </c>
      <c r="BE16">
        <v>640000000</v>
      </c>
      <c r="BF16">
        <v>638000000</v>
      </c>
      <c r="BG16">
        <v>643000000</v>
      </c>
      <c r="BH16">
        <v>673000000</v>
      </c>
      <c r="BI16">
        <v>671000000</v>
      </c>
      <c r="BJ16">
        <v>612000000</v>
      </c>
      <c r="BK16">
        <v>639000000</v>
      </c>
      <c r="BL16">
        <v>647000000</v>
      </c>
      <c r="BM16">
        <v>716000000</v>
      </c>
      <c r="BN16">
        <v>709000000</v>
      </c>
    </row>
    <row r="17" spans="1:67">
      <c r="A17" t="s">
        <v>510</v>
      </c>
      <c r="B17" t="s">
        <v>511</v>
      </c>
      <c r="C17" t="s">
        <v>1018</v>
      </c>
      <c r="D17" t="s">
        <v>1019</v>
      </c>
      <c r="V17">
        <v>77496753.703703701</v>
      </c>
      <c r="W17">
        <v>87879341.481481478</v>
      </c>
      <c r="X17">
        <v>109079978.88888888</v>
      </c>
      <c r="Y17">
        <v>131431026.66666666</v>
      </c>
      <c r="Z17">
        <v>147841734.44444445</v>
      </c>
      <c r="AA17">
        <v>164369278.88888887</v>
      </c>
      <c r="AB17">
        <v>182144092.96296296</v>
      </c>
      <c r="AC17">
        <v>208372846.29629627</v>
      </c>
      <c r="AD17">
        <v>240923924.81481481</v>
      </c>
      <c r="AE17">
        <v>290440140.74074072</v>
      </c>
      <c r="AF17">
        <v>337174861.85185182</v>
      </c>
      <c r="AG17">
        <v>398637727.77777773</v>
      </c>
      <c r="AH17">
        <v>438794788.51851851</v>
      </c>
      <c r="AI17">
        <v>459470370.37037033</v>
      </c>
      <c r="AJ17">
        <v>481707407.4074074</v>
      </c>
      <c r="AK17">
        <v>499281481.48148143</v>
      </c>
      <c r="AL17">
        <v>535174074.07407403</v>
      </c>
      <c r="AM17">
        <v>589429629.62962961</v>
      </c>
      <c r="AN17">
        <v>577281481.48148143</v>
      </c>
      <c r="AO17">
        <v>633729629.62962961</v>
      </c>
      <c r="AP17">
        <v>680618518.51851845</v>
      </c>
      <c r="AQ17">
        <v>727859259.25925922</v>
      </c>
      <c r="AR17">
        <v>766199999.99999988</v>
      </c>
      <c r="AS17">
        <v>826370370.37037027</v>
      </c>
      <c r="AT17">
        <v>800481481.48148143</v>
      </c>
      <c r="AU17">
        <v>814381481.48148143</v>
      </c>
      <c r="AV17">
        <v>856396296.29629624</v>
      </c>
      <c r="AW17">
        <v>919729629.62962961</v>
      </c>
      <c r="AX17">
        <v>1022962962.9629629</v>
      </c>
      <c r="AY17">
        <v>1157662962.9629629</v>
      </c>
      <c r="AZ17">
        <v>1312759259.2592592</v>
      </c>
      <c r="BA17">
        <v>1370070370.3703704</v>
      </c>
      <c r="BB17">
        <v>1228329629.6296296</v>
      </c>
      <c r="BC17">
        <v>1148700000</v>
      </c>
      <c r="BD17">
        <v>1137637037.0370369</v>
      </c>
      <c r="BE17">
        <v>1199948148.1481481</v>
      </c>
      <c r="BF17">
        <v>1181448148.1481481</v>
      </c>
      <c r="BG17">
        <v>1249733333.3333333</v>
      </c>
      <c r="BH17">
        <v>1336692592.5925925</v>
      </c>
      <c r="BI17">
        <v>1436585185.1851852</v>
      </c>
      <c r="BJ17">
        <v>1467955555.5555553</v>
      </c>
      <c r="BK17">
        <v>1604770370.3703701</v>
      </c>
      <c r="BL17">
        <v>1675403703.7037036</v>
      </c>
      <c r="BM17">
        <v>1416348148.1481481</v>
      </c>
      <c r="BN17">
        <v>1560518518.5185182</v>
      </c>
      <c r="BO17" s="190">
        <v>1757603703.7037036</v>
      </c>
    </row>
    <row r="18" spans="1:67">
      <c r="A18" t="s">
        <v>512</v>
      </c>
      <c r="B18" t="s">
        <v>513</v>
      </c>
      <c r="C18" t="s">
        <v>1018</v>
      </c>
      <c r="D18" t="s">
        <v>1019</v>
      </c>
      <c r="E18">
        <v>18606562979.282867</v>
      </c>
      <c r="F18">
        <v>19682883151.623253</v>
      </c>
      <c r="G18">
        <v>19922563190.00082</v>
      </c>
      <c r="H18">
        <v>21539843448.959736</v>
      </c>
      <c r="I18">
        <v>23801123811.035946</v>
      </c>
      <c r="J18">
        <v>25976164159.30341</v>
      </c>
      <c r="K18">
        <v>27307844372.532043</v>
      </c>
      <c r="L18">
        <v>30442724874.489109</v>
      </c>
      <c r="M18">
        <v>32714085238.179333</v>
      </c>
      <c r="N18">
        <v>36683365873.740547</v>
      </c>
      <c r="O18">
        <v>41333606618.337097</v>
      </c>
      <c r="P18">
        <v>45216647240.089561</v>
      </c>
      <c r="Q18">
        <v>52042056074.766357</v>
      </c>
      <c r="R18">
        <v>63832158872.517616</v>
      </c>
      <c r="S18">
        <v>88963890935.887985</v>
      </c>
      <c r="T18">
        <v>97304383449.405991</v>
      </c>
      <c r="U18">
        <v>105060650224.27051</v>
      </c>
      <c r="V18">
        <v>110350997935.30626</v>
      </c>
      <c r="W18">
        <v>118491577918.81233</v>
      </c>
      <c r="X18">
        <v>134898330114.73361</v>
      </c>
      <c r="Y18">
        <v>149984401114.20615</v>
      </c>
      <c r="Z18">
        <v>176891907581.56277</v>
      </c>
      <c r="AA18">
        <v>194037294494.09689</v>
      </c>
      <c r="AB18">
        <v>177263464407.83322</v>
      </c>
      <c r="AC18">
        <v>193517245510.16028</v>
      </c>
      <c r="AD18">
        <v>180634851530.18085</v>
      </c>
      <c r="AE18">
        <v>182472020145.49524</v>
      </c>
      <c r="AF18">
        <v>189487824245.6326</v>
      </c>
      <c r="AG18">
        <v>236152526238.56384</v>
      </c>
      <c r="AH18">
        <v>299875825286.85797</v>
      </c>
      <c r="AI18">
        <v>311430632641.08655</v>
      </c>
      <c r="AJ18">
        <v>325981640935.41711</v>
      </c>
      <c r="AK18">
        <v>325532426233.22736</v>
      </c>
      <c r="AL18">
        <v>312138139404.15961</v>
      </c>
      <c r="AM18">
        <v>322809408509.16638</v>
      </c>
      <c r="AN18">
        <v>368140778140.77814</v>
      </c>
      <c r="AO18">
        <v>401310823652.7428</v>
      </c>
      <c r="AP18">
        <v>435613768959.97046</v>
      </c>
      <c r="AQ18">
        <v>399660855999.4574</v>
      </c>
      <c r="AR18">
        <v>389389647825.54199</v>
      </c>
      <c r="AS18">
        <v>415844972940.49646</v>
      </c>
      <c r="AT18">
        <v>379357823192.52985</v>
      </c>
      <c r="AU18">
        <v>395573025330.4469</v>
      </c>
      <c r="AV18">
        <v>467497961560.86194</v>
      </c>
      <c r="AW18">
        <v>614326362213.68616</v>
      </c>
      <c r="AX18">
        <v>695305000206.72888</v>
      </c>
      <c r="AY18">
        <v>747907432136.59802</v>
      </c>
      <c r="AZ18">
        <v>854427259166.20862</v>
      </c>
      <c r="BA18">
        <v>1055686110665.5344</v>
      </c>
      <c r="BB18">
        <v>928629769751.88354</v>
      </c>
      <c r="BC18">
        <v>1148569537284.6228</v>
      </c>
      <c r="BD18">
        <v>1398456161407.8506</v>
      </c>
      <c r="BE18">
        <v>1546952690139.9939</v>
      </c>
      <c r="BF18">
        <v>1576329690003.9307</v>
      </c>
      <c r="BG18">
        <v>1467589901175.4551</v>
      </c>
      <c r="BH18">
        <v>1350580336316.7546</v>
      </c>
      <c r="BI18">
        <v>1206562910556.5779</v>
      </c>
      <c r="BJ18">
        <v>1326467487376.4219</v>
      </c>
      <c r="BK18">
        <v>1428266513154.4751</v>
      </c>
      <c r="BL18">
        <v>1392218527563.2642</v>
      </c>
      <c r="BM18">
        <v>1326944627876.8682</v>
      </c>
      <c r="BN18">
        <v>1552703151616.0059</v>
      </c>
      <c r="BO18" s="190">
        <v>1675418665067.0903</v>
      </c>
    </row>
    <row r="19" spans="1:67">
      <c r="A19" t="s">
        <v>514</v>
      </c>
      <c r="B19" t="s">
        <v>515</v>
      </c>
      <c r="C19" t="s">
        <v>1018</v>
      </c>
      <c r="D19" t="s">
        <v>1019</v>
      </c>
      <c r="E19">
        <v>6592693841.1849499</v>
      </c>
      <c r="F19">
        <v>7311749633.3622875</v>
      </c>
      <c r="G19">
        <v>7756110210.1196642</v>
      </c>
      <c r="H19">
        <v>8374175257.7307529</v>
      </c>
      <c r="I19">
        <v>9169983885.7118511</v>
      </c>
      <c r="J19">
        <v>9994070615.8599701</v>
      </c>
      <c r="K19">
        <v>10887682273.101418</v>
      </c>
      <c r="L19">
        <v>11579431668.916473</v>
      </c>
      <c r="M19">
        <v>12440625312.868534</v>
      </c>
      <c r="N19">
        <v>13582798556.240419</v>
      </c>
      <c r="O19">
        <v>15373005557.025669</v>
      </c>
      <c r="P19">
        <v>17858486066.747437</v>
      </c>
      <c r="Q19">
        <v>22059612476.933151</v>
      </c>
      <c r="R19">
        <v>29515467706.795979</v>
      </c>
      <c r="S19">
        <v>35189299911.660774</v>
      </c>
      <c r="T19">
        <v>40059206763.056015</v>
      </c>
      <c r="U19">
        <v>42959976221.523354</v>
      </c>
      <c r="V19">
        <v>51545758887.686287</v>
      </c>
      <c r="W19">
        <v>62052259073.249321</v>
      </c>
      <c r="X19">
        <v>73937296963.458572</v>
      </c>
      <c r="Y19">
        <v>82058912997.234634</v>
      </c>
      <c r="Z19">
        <v>71034228443.062042</v>
      </c>
      <c r="AA19">
        <v>71275287569.573288</v>
      </c>
      <c r="AB19">
        <v>72121016546.652374</v>
      </c>
      <c r="AC19">
        <v>67985344886.871605</v>
      </c>
      <c r="AD19">
        <v>69386774408.08725</v>
      </c>
      <c r="AE19">
        <v>99036164939.161789</v>
      </c>
      <c r="AF19">
        <v>124168442533.73967</v>
      </c>
      <c r="AG19">
        <v>133339397080.12927</v>
      </c>
      <c r="AH19">
        <v>133105805512.22049</v>
      </c>
      <c r="AI19">
        <v>166463386179.35373</v>
      </c>
      <c r="AJ19">
        <v>173794177961.10782</v>
      </c>
      <c r="AK19">
        <v>195078126721.76309</v>
      </c>
      <c r="AL19">
        <v>190379720809.18018</v>
      </c>
      <c r="AM19">
        <v>203535242741.83835</v>
      </c>
      <c r="AN19">
        <v>241038283062.64502</v>
      </c>
      <c r="AO19">
        <v>237250948791.26593</v>
      </c>
      <c r="AP19">
        <v>212790348404.55518</v>
      </c>
      <c r="AQ19">
        <v>218259904401.95642</v>
      </c>
      <c r="AR19">
        <v>217259147049.95413</v>
      </c>
      <c r="AS19">
        <v>197289625479.90631</v>
      </c>
      <c r="AT19">
        <v>197508773215.32309</v>
      </c>
      <c r="AU19">
        <v>214394866675.23959</v>
      </c>
      <c r="AV19">
        <v>262273631180.05435</v>
      </c>
      <c r="AW19">
        <v>301457562038.54132</v>
      </c>
      <c r="AX19">
        <v>316092273276.01544</v>
      </c>
      <c r="AY19">
        <v>336280064332.41132</v>
      </c>
      <c r="AZ19">
        <v>389185571506.05225</v>
      </c>
      <c r="BA19">
        <v>432051935642.94519</v>
      </c>
      <c r="BB19">
        <v>401758735822.21069</v>
      </c>
      <c r="BC19">
        <v>392275107258.67676</v>
      </c>
      <c r="BD19">
        <v>431685217367.51361</v>
      </c>
      <c r="BE19">
        <v>409401816050.53131</v>
      </c>
      <c r="BF19">
        <v>430190979705.96545</v>
      </c>
      <c r="BG19">
        <v>442584815286.02667</v>
      </c>
      <c r="BH19">
        <v>381971148530.54279</v>
      </c>
      <c r="BI19">
        <v>395837353031.50995</v>
      </c>
      <c r="BJ19">
        <v>417261151844.98096</v>
      </c>
      <c r="BK19">
        <v>454991174096.09351</v>
      </c>
      <c r="BL19">
        <v>444621176100.54034</v>
      </c>
      <c r="BM19">
        <v>435225238000.42957</v>
      </c>
      <c r="BN19">
        <v>480368403893.36438</v>
      </c>
      <c r="BO19" s="190">
        <v>471400066091.24695</v>
      </c>
    </row>
    <row r="20" spans="1:67">
      <c r="A20" t="s">
        <v>516</v>
      </c>
      <c r="B20" t="s">
        <v>517</v>
      </c>
      <c r="C20" t="s">
        <v>1018</v>
      </c>
      <c r="D20" t="s">
        <v>1019</v>
      </c>
      <c r="AI20">
        <v>8858006042.2960739</v>
      </c>
      <c r="AJ20">
        <v>5344000000</v>
      </c>
      <c r="AK20">
        <v>444658671.58671582</v>
      </c>
      <c r="AL20">
        <v>1570392598.1495376</v>
      </c>
      <c r="AM20">
        <v>1193141110.3504274</v>
      </c>
      <c r="AN20">
        <v>2417332562.2218437</v>
      </c>
      <c r="AO20">
        <v>3176507991.7396388</v>
      </c>
      <c r="AP20">
        <v>3962362387.4792209</v>
      </c>
      <c r="AQ20">
        <v>4446370371.1502304</v>
      </c>
      <c r="AR20">
        <v>4581246713.3206606</v>
      </c>
      <c r="AS20">
        <v>5272617196.0451736</v>
      </c>
      <c r="AT20">
        <v>5707618246.5684757</v>
      </c>
      <c r="AU20">
        <v>6236086669.1753855</v>
      </c>
      <c r="AV20">
        <v>7276413079.1145105</v>
      </c>
      <c r="AW20">
        <v>8680410157.5716991</v>
      </c>
      <c r="AX20">
        <v>13245421880.834042</v>
      </c>
      <c r="AY20">
        <v>20981929497.618767</v>
      </c>
      <c r="AZ20">
        <v>33049426816.444801</v>
      </c>
      <c r="BA20">
        <v>48851318825.715195</v>
      </c>
      <c r="BB20">
        <v>44292408816.638</v>
      </c>
      <c r="BC20">
        <v>52909294791.926239</v>
      </c>
      <c r="BD20">
        <v>65952763948.839035</v>
      </c>
      <c r="BE20">
        <v>69679913509.909134</v>
      </c>
      <c r="BF20">
        <v>74160553008.731094</v>
      </c>
      <c r="BG20">
        <v>75239737488.804398</v>
      </c>
      <c r="BH20">
        <v>53076244754.503662</v>
      </c>
      <c r="BI20">
        <v>37867007022.784386</v>
      </c>
      <c r="BJ20">
        <v>40866632047.841438</v>
      </c>
      <c r="BK20">
        <v>47112479289.41864</v>
      </c>
      <c r="BL20">
        <v>48174235294.117645</v>
      </c>
      <c r="BM20">
        <v>42693000000</v>
      </c>
      <c r="BN20">
        <v>54825411764.705887</v>
      </c>
      <c r="BO20" s="190">
        <v>78721058823.529404</v>
      </c>
    </row>
    <row r="21" spans="1:67">
      <c r="A21" t="s">
        <v>518</v>
      </c>
      <c r="B21" t="s">
        <v>519</v>
      </c>
      <c r="C21" t="s">
        <v>1018</v>
      </c>
      <c r="D21" t="s">
        <v>1019</v>
      </c>
      <c r="E21">
        <v>195999989.80792001</v>
      </c>
      <c r="F21">
        <v>202999991.80105999</v>
      </c>
      <c r="G21">
        <v>213500005.79076999</v>
      </c>
      <c r="H21">
        <v>232749997.771905</v>
      </c>
      <c r="I21">
        <v>260750007.74446499</v>
      </c>
      <c r="J21">
        <v>158994962.81197661</v>
      </c>
      <c r="K21">
        <v>165444571.26312685</v>
      </c>
      <c r="L21">
        <v>178297142.6788457</v>
      </c>
      <c r="M21">
        <v>183199999.8168</v>
      </c>
      <c r="N21">
        <v>190205714.09550858</v>
      </c>
      <c r="O21">
        <v>242732571.18583885</v>
      </c>
      <c r="P21">
        <v>252842285.48251373</v>
      </c>
      <c r="Q21">
        <v>246804571.42857143</v>
      </c>
      <c r="R21">
        <v>304339839.55214554</v>
      </c>
      <c r="S21">
        <v>345263492.06349206</v>
      </c>
      <c r="T21">
        <v>420986666.66666663</v>
      </c>
      <c r="U21">
        <v>448412753.62318838</v>
      </c>
      <c r="V21">
        <v>547535555.55555558</v>
      </c>
      <c r="W21">
        <v>610225555.55555558</v>
      </c>
      <c r="X21">
        <v>782496666.66666663</v>
      </c>
      <c r="Y21">
        <v>919726666.66666663</v>
      </c>
      <c r="Z21">
        <v>969046666.66666663</v>
      </c>
      <c r="AA21">
        <v>1013222222.2222222</v>
      </c>
      <c r="AB21">
        <v>1082926304.464766</v>
      </c>
      <c r="AC21">
        <v>987143931.16698694</v>
      </c>
      <c r="AD21">
        <v>1149979285.7734692</v>
      </c>
      <c r="AE21">
        <v>1201725497.065779</v>
      </c>
      <c r="AF21">
        <v>1131466494.0110068</v>
      </c>
      <c r="AG21">
        <v>1082403219.4878733</v>
      </c>
      <c r="AH21">
        <v>1113924130.4114907</v>
      </c>
      <c r="AI21">
        <v>1132101252.5181746</v>
      </c>
      <c r="AJ21">
        <v>1167398478.3459036</v>
      </c>
      <c r="AK21">
        <v>1083037670.60484</v>
      </c>
      <c r="AL21">
        <v>938632612.02635908</v>
      </c>
      <c r="AM21">
        <v>925030590.15368295</v>
      </c>
      <c r="AN21">
        <v>1000428393.885281</v>
      </c>
      <c r="AO21">
        <v>869033856.31709325</v>
      </c>
      <c r="AP21">
        <v>972896267.91542494</v>
      </c>
      <c r="AQ21">
        <v>893770739.54206049</v>
      </c>
      <c r="AR21">
        <v>808077223.36574638</v>
      </c>
      <c r="AS21">
        <v>870486065.88313663</v>
      </c>
      <c r="AT21">
        <v>876794723.06858552</v>
      </c>
      <c r="AU21">
        <v>825394519.71932983</v>
      </c>
      <c r="AV21">
        <v>784654423.62047637</v>
      </c>
      <c r="AW21">
        <v>915257323.39609957</v>
      </c>
      <c r="AX21">
        <v>1117113080.0807366</v>
      </c>
      <c r="AY21">
        <v>1273375078.4484448</v>
      </c>
      <c r="AZ21">
        <v>1356199386.7962928</v>
      </c>
      <c r="BA21">
        <v>1611835856.5927505</v>
      </c>
      <c r="BB21">
        <v>1781455140.3420186</v>
      </c>
      <c r="BC21">
        <v>2032135191.4621105</v>
      </c>
      <c r="BD21">
        <v>2235820808.7290778</v>
      </c>
      <c r="BE21">
        <v>2333341334.4575348</v>
      </c>
      <c r="BF21">
        <v>2451606631.7669597</v>
      </c>
      <c r="BG21">
        <v>2705783330.3879633</v>
      </c>
      <c r="BH21">
        <v>3104003545.6067519</v>
      </c>
      <c r="BI21">
        <v>2644487777.236928</v>
      </c>
      <c r="BJ21">
        <v>2723586962.1868644</v>
      </c>
      <c r="BK21">
        <v>2667182198.9792466</v>
      </c>
      <c r="BL21">
        <v>2576518879.3988056</v>
      </c>
      <c r="BM21">
        <v>2649680261.0109677</v>
      </c>
      <c r="BN21">
        <v>2775798697.1648517</v>
      </c>
      <c r="BO21" s="190">
        <v>3073414677.8438549</v>
      </c>
    </row>
    <row r="22" spans="1:67">
      <c r="A22" t="s">
        <v>520</v>
      </c>
      <c r="B22" t="s">
        <v>521</v>
      </c>
      <c r="C22" t="s">
        <v>1018</v>
      </c>
      <c r="D22" t="s">
        <v>1019</v>
      </c>
      <c r="E22">
        <v>11658722590.990019</v>
      </c>
      <c r="F22">
        <v>12400145221.594988</v>
      </c>
      <c r="G22">
        <v>13264015675.319344</v>
      </c>
      <c r="H22">
        <v>14260017387.049244</v>
      </c>
      <c r="I22">
        <v>15960106680.673218</v>
      </c>
      <c r="J22">
        <v>17371457607.937378</v>
      </c>
      <c r="K22">
        <v>18651883472.480846</v>
      </c>
      <c r="L22">
        <v>19992040788.45929</v>
      </c>
      <c r="M22">
        <v>21376353113.474991</v>
      </c>
      <c r="N22">
        <v>23710735894.702213</v>
      </c>
      <c r="O22">
        <v>26706196046.79306</v>
      </c>
      <c r="P22">
        <v>29821661869.912014</v>
      </c>
      <c r="Q22">
        <v>37209418018.513428</v>
      </c>
      <c r="R22">
        <v>47743801490.374664</v>
      </c>
      <c r="S22">
        <v>56033077879.03894</v>
      </c>
      <c r="T22">
        <v>65678189097.290779</v>
      </c>
      <c r="U22">
        <v>71113882967.607101</v>
      </c>
      <c r="V22">
        <v>82839905458.638153</v>
      </c>
      <c r="W22">
        <v>101246526194.44089</v>
      </c>
      <c r="X22">
        <v>116315456796.918</v>
      </c>
      <c r="Y22">
        <v>126829314388.19148</v>
      </c>
      <c r="Z22">
        <v>104730018470.23033</v>
      </c>
      <c r="AA22">
        <v>92095926187.533112</v>
      </c>
      <c r="AB22">
        <v>87184239053.25444</v>
      </c>
      <c r="AC22">
        <v>83349530159.173416</v>
      </c>
      <c r="AD22">
        <v>86268264148.379639</v>
      </c>
      <c r="AE22">
        <v>120018787249.41304</v>
      </c>
      <c r="AF22">
        <v>149394404105.8887</v>
      </c>
      <c r="AG22">
        <v>162299103675.26056</v>
      </c>
      <c r="AH22">
        <v>164221056511.05652</v>
      </c>
      <c r="AI22">
        <v>205331747947.85129</v>
      </c>
      <c r="AJ22">
        <v>210510999409.33255</v>
      </c>
      <c r="AK22">
        <v>234781652446.67502</v>
      </c>
      <c r="AL22">
        <v>224721795708.95523</v>
      </c>
      <c r="AM22">
        <v>244884129491.19846</v>
      </c>
      <c r="AN22">
        <v>288025588396.27808</v>
      </c>
      <c r="AO22">
        <v>279201433224.75574</v>
      </c>
      <c r="AP22">
        <v>252708051420.83896</v>
      </c>
      <c r="AQ22">
        <v>258528339631.02911</v>
      </c>
      <c r="AR22">
        <v>258245733221.46774</v>
      </c>
      <c r="AS22">
        <v>236792460312.4711</v>
      </c>
      <c r="AT22">
        <v>236746141604.37036</v>
      </c>
      <c r="AU22">
        <v>258383599375.17694</v>
      </c>
      <c r="AV22">
        <v>318082528506.58759</v>
      </c>
      <c r="AW22">
        <v>369214712443.20557</v>
      </c>
      <c r="AX22">
        <v>385714762230.03876</v>
      </c>
      <c r="AY22">
        <v>408259840868.82294</v>
      </c>
      <c r="AZ22">
        <v>470922156309.45251</v>
      </c>
      <c r="BA22">
        <v>517328087920.078</v>
      </c>
      <c r="BB22">
        <v>483254171097.81219</v>
      </c>
      <c r="BC22">
        <v>481420882905.01239</v>
      </c>
      <c r="BD22">
        <v>523330354138.13696</v>
      </c>
      <c r="BE22">
        <v>496152879924.72668</v>
      </c>
      <c r="BF22">
        <v>521791015247.06445</v>
      </c>
      <c r="BG22">
        <v>535390200131.00922</v>
      </c>
      <c r="BH22">
        <v>462335574841.48413</v>
      </c>
      <c r="BI22">
        <v>476062757356.94043</v>
      </c>
      <c r="BJ22">
        <v>502764720556.35834</v>
      </c>
      <c r="BK22">
        <v>543299066998.89191</v>
      </c>
      <c r="BL22">
        <v>535865692402.34247</v>
      </c>
      <c r="BM22">
        <v>525213067068.31927</v>
      </c>
      <c r="BN22">
        <v>594351961634.48657</v>
      </c>
      <c r="BO22" s="190">
        <v>578604103123.34851</v>
      </c>
    </row>
    <row r="23" spans="1:67">
      <c r="A23" t="s">
        <v>522</v>
      </c>
      <c r="B23" t="s">
        <v>523</v>
      </c>
      <c r="C23" t="s">
        <v>1018</v>
      </c>
      <c r="D23" t="s">
        <v>1019</v>
      </c>
      <c r="E23">
        <v>226195578.06700614</v>
      </c>
      <c r="F23">
        <v>235668220.87222546</v>
      </c>
      <c r="G23">
        <v>236434954.34105867</v>
      </c>
      <c r="H23">
        <v>253927697.57302842</v>
      </c>
      <c r="I23">
        <v>269819005.7911002</v>
      </c>
      <c r="J23">
        <v>289908680.18067563</v>
      </c>
      <c r="K23">
        <v>302925235.69742835</v>
      </c>
      <c r="L23">
        <v>306221953.36472392</v>
      </c>
      <c r="M23">
        <v>326323105.58513045</v>
      </c>
      <c r="N23">
        <v>330748244.09269577</v>
      </c>
      <c r="O23">
        <v>333627713.4620356</v>
      </c>
      <c r="P23">
        <v>335073027.92408013</v>
      </c>
      <c r="Q23">
        <v>410331856.23796862</v>
      </c>
      <c r="R23">
        <v>504376074.0652613</v>
      </c>
      <c r="S23">
        <v>554654861.53713989</v>
      </c>
      <c r="T23">
        <v>676870139.26384759</v>
      </c>
      <c r="U23">
        <v>698408261.14167309</v>
      </c>
      <c r="V23">
        <v>750049780.16391551</v>
      </c>
      <c r="W23">
        <v>928843468.46871424</v>
      </c>
      <c r="X23">
        <v>1186231018.3573058</v>
      </c>
      <c r="Y23">
        <v>1405251843.7822111</v>
      </c>
      <c r="Z23">
        <v>1291120190.5676408</v>
      </c>
      <c r="AA23">
        <v>1267778671.5203319</v>
      </c>
      <c r="AB23">
        <v>1095348199.3683209</v>
      </c>
      <c r="AC23">
        <v>1051134009.2997504</v>
      </c>
      <c r="AD23">
        <v>1045712789.8201042</v>
      </c>
      <c r="AE23">
        <v>1336102026.9964638</v>
      </c>
      <c r="AF23">
        <v>1562412225.8133965</v>
      </c>
      <c r="AG23">
        <v>1620246084.7773345</v>
      </c>
      <c r="AH23">
        <v>1502294413.8736217</v>
      </c>
      <c r="AI23">
        <v>1959965330.4759636</v>
      </c>
      <c r="AJ23">
        <v>1986437797.8767164</v>
      </c>
      <c r="AK23">
        <v>1695315305.7030787</v>
      </c>
      <c r="AL23">
        <v>2274558078.7448611</v>
      </c>
      <c r="AM23">
        <v>1598075944.858763</v>
      </c>
      <c r="AN23">
        <v>2169627138.3496671</v>
      </c>
      <c r="AO23">
        <v>2361116448.1352534</v>
      </c>
      <c r="AP23">
        <v>2268301645.0936732</v>
      </c>
      <c r="AQ23">
        <v>2455092688.1476712</v>
      </c>
      <c r="AR23">
        <v>3677393996.8378849</v>
      </c>
      <c r="AS23">
        <v>3519991440.323668</v>
      </c>
      <c r="AT23">
        <v>3666222633.8361039</v>
      </c>
      <c r="AU23">
        <v>4194342689.262836</v>
      </c>
      <c r="AV23">
        <v>5349258092.8914747</v>
      </c>
      <c r="AW23">
        <v>6190270377.0758286</v>
      </c>
      <c r="AX23">
        <v>6567654958.7533731</v>
      </c>
      <c r="AY23">
        <v>7034111316.2995081</v>
      </c>
      <c r="AZ23">
        <v>8169048374.7084599</v>
      </c>
      <c r="BA23">
        <v>9787734516.7418633</v>
      </c>
      <c r="BB23">
        <v>9738626509.9336758</v>
      </c>
      <c r="BC23">
        <v>9535345011.4872761</v>
      </c>
      <c r="BD23">
        <v>10693321370.035208</v>
      </c>
      <c r="BE23">
        <v>11141358105.986389</v>
      </c>
      <c r="BF23">
        <v>12517845127.67664</v>
      </c>
      <c r="BG23">
        <v>13284527850.262655</v>
      </c>
      <c r="BH23">
        <v>11388160997.108755</v>
      </c>
      <c r="BI23">
        <v>11821065852.12697</v>
      </c>
      <c r="BJ23">
        <v>12701655845.962154</v>
      </c>
      <c r="BK23">
        <v>14262408079.700474</v>
      </c>
      <c r="BL23">
        <v>14391686309.033735</v>
      </c>
      <c r="BM23">
        <v>15651545208.87711</v>
      </c>
      <c r="BN23">
        <v>17690083519.932217</v>
      </c>
      <c r="BO23" s="190">
        <v>17401746309.265961</v>
      </c>
    </row>
    <row r="24" spans="1:67">
      <c r="A24" t="s">
        <v>524</v>
      </c>
      <c r="B24" t="s">
        <v>525</v>
      </c>
      <c r="C24" t="s">
        <v>1018</v>
      </c>
      <c r="D24" t="s">
        <v>1019</v>
      </c>
      <c r="E24">
        <v>330442815.28432792</v>
      </c>
      <c r="F24">
        <v>350247234.80171943</v>
      </c>
      <c r="G24">
        <v>379567099.73501694</v>
      </c>
      <c r="H24">
        <v>394040667.59511411</v>
      </c>
      <c r="I24">
        <v>410321644.83254784</v>
      </c>
      <c r="J24">
        <v>422916789.38984543</v>
      </c>
      <c r="K24">
        <v>433889767.02067566</v>
      </c>
      <c r="L24">
        <v>450753923.93048888</v>
      </c>
      <c r="M24">
        <v>460442689.82842177</v>
      </c>
      <c r="N24">
        <v>478298644.74758506</v>
      </c>
      <c r="O24">
        <v>458404268.71744996</v>
      </c>
      <c r="P24">
        <v>482411179.67246133</v>
      </c>
      <c r="Q24">
        <v>578595520.92800272</v>
      </c>
      <c r="R24">
        <v>674773569.71640849</v>
      </c>
      <c r="S24">
        <v>751133431.57949579</v>
      </c>
      <c r="T24">
        <v>939972701.96643996</v>
      </c>
      <c r="U24">
        <v>976547186.96335602</v>
      </c>
      <c r="V24">
        <v>1131224880.1843352</v>
      </c>
      <c r="W24">
        <v>1475583643.4062777</v>
      </c>
      <c r="X24">
        <v>1748480618.3673482</v>
      </c>
      <c r="Y24">
        <v>1928719884.4211416</v>
      </c>
      <c r="Z24">
        <v>1775842336.5091577</v>
      </c>
      <c r="AA24">
        <v>1754450097.8443251</v>
      </c>
      <c r="AB24">
        <v>1600278605.1512299</v>
      </c>
      <c r="AC24">
        <v>1459880132.8493359</v>
      </c>
      <c r="AD24">
        <v>1552493197.2808278</v>
      </c>
      <c r="AE24">
        <v>2036303360.3007455</v>
      </c>
      <c r="AF24">
        <v>2369834946.5665455</v>
      </c>
      <c r="AG24">
        <v>2616040480.5795212</v>
      </c>
      <c r="AH24">
        <v>2615587729.9726515</v>
      </c>
      <c r="AI24">
        <v>3101300779.0836363</v>
      </c>
      <c r="AJ24">
        <v>3135045586.2084475</v>
      </c>
      <c r="AK24">
        <v>3356692508.3456955</v>
      </c>
      <c r="AL24">
        <v>3199536459.5834332</v>
      </c>
      <c r="AM24">
        <v>1895290638.2703836</v>
      </c>
      <c r="AN24">
        <v>2379517975.7510338</v>
      </c>
      <c r="AO24">
        <v>2586550594.0322161</v>
      </c>
      <c r="AP24">
        <v>2447669100.4697833</v>
      </c>
      <c r="AQ24">
        <v>2804902369.2039771</v>
      </c>
      <c r="AR24">
        <v>3389566710.9026561</v>
      </c>
      <c r="AS24">
        <v>2968370087.4664931</v>
      </c>
      <c r="AT24">
        <v>3190371079.8141141</v>
      </c>
      <c r="AU24">
        <v>3622350065.5903015</v>
      </c>
      <c r="AV24">
        <v>4740768141.2650013</v>
      </c>
      <c r="AW24">
        <v>5451688534.5952406</v>
      </c>
      <c r="AX24">
        <v>6146353177.4336653</v>
      </c>
      <c r="AY24">
        <v>6547419821.6948614</v>
      </c>
      <c r="AZ24">
        <v>7625722829.1789246</v>
      </c>
      <c r="BA24">
        <v>9451435480.943222</v>
      </c>
      <c r="BB24">
        <v>9450696866.4827595</v>
      </c>
      <c r="BC24">
        <v>10109619736.144173</v>
      </c>
      <c r="BD24">
        <v>12080295984.768187</v>
      </c>
      <c r="BE24">
        <v>12561015145.392529</v>
      </c>
      <c r="BF24">
        <v>13444300489.863441</v>
      </c>
      <c r="BG24">
        <v>13943016080.264626</v>
      </c>
      <c r="BH24">
        <v>11832159315.977814</v>
      </c>
      <c r="BI24">
        <v>12833363043.971859</v>
      </c>
      <c r="BJ24">
        <v>14106955625.357096</v>
      </c>
      <c r="BK24">
        <v>15890066209.895901</v>
      </c>
      <c r="BL24">
        <v>16178161666.133354</v>
      </c>
      <c r="BM24">
        <v>17933606212.629368</v>
      </c>
      <c r="BN24">
        <v>19737616003.022026</v>
      </c>
      <c r="BO24" s="190">
        <v>18884619613.438755</v>
      </c>
    </row>
    <row r="25" spans="1:67">
      <c r="A25" t="s">
        <v>526</v>
      </c>
      <c r="B25" t="s">
        <v>527</v>
      </c>
      <c r="C25" t="s">
        <v>1018</v>
      </c>
      <c r="D25" t="s">
        <v>1019</v>
      </c>
      <c r="E25">
        <v>4274893913.4953609</v>
      </c>
      <c r="F25">
        <v>4817580183.6015539</v>
      </c>
      <c r="G25">
        <v>5081413339.7863493</v>
      </c>
      <c r="H25">
        <v>5319458351.1623526</v>
      </c>
      <c r="I25">
        <v>5386054619.3498726</v>
      </c>
      <c r="J25">
        <v>5906636557.0009193</v>
      </c>
      <c r="K25">
        <v>6439687598.323245</v>
      </c>
      <c r="L25">
        <v>7253575399.3214951</v>
      </c>
      <c r="M25">
        <v>7483685473.5127468</v>
      </c>
      <c r="N25">
        <v>8471006100.9539871</v>
      </c>
      <c r="O25">
        <v>8992721809.3933239</v>
      </c>
      <c r="P25">
        <v>8751842839.7965775</v>
      </c>
      <c r="Q25">
        <v>6288245866.666667</v>
      </c>
      <c r="R25">
        <v>8086725729.3407021</v>
      </c>
      <c r="S25">
        <v>12512460519.708761</v>
      </c>
      <c r="T25">
        <v>19448348073.456512</v>
      </c>
      <c r="U25">
        <v>10117113333.333334</v>
      </c>
      <c r="V25">
        <v>9651149301.8745956</v>
      </c>
      <c r="W25">
        <v>13281767142.857143</v>
      </c>
      <c r="X25">
        <v>15565480321.944809</v>
      </c>
      <c r="Y25">
        <v>18138049095.607235</v>
      </c>
      <c r="Z25">
        <v>20249694002.447979</v>
      </c>
      <c r="AA25">
        <v>18525399201.596806</v>
      </c>
      <c r="AB25">
        <v>17609048821.54882</v>
      </c>
      <c r="AC25">
        <v>18920840000</v>
      </c>
      <c r="AD25">
        <v>22278423076.923077</v>
      </c>
      <c r="AE25">
        <v>21774033333.333332</v>
      </c>
      <c r="AF25">
        <v>24298032258.064518</v>
      </c>
      <c r="AG25">
        <v>26579005760.263416</v>
      </c>
      <c r="AH25">
        <v>28781714763.890862</v>
      </c>
      <c r="AI25">
        <v>31598341233.462959</v>
      </c>
      <c r="AJ25">
        <v>30957483949.57983</v>
      </c>
      <c r="AK25">
        <v>31708874594.164455</v>
      </c>
      <c r="AL25">
        <v>33166519417.989422</v>
      </c>
      <c r="AM25">
        <v>33768660882.793015</v>
      </c>
      <c r="AN25">
        <v>37939748768.656715</v>
      </c>
      <c r="AO25">
        <v>46438484107.57946</v>
      </c>
      <c r="AP25">
        <v>48244309133.489456</v>
      </c>
      <c r="AQ25">
        <v>49984559471.365639</v>
      </c>
      <c r="AR25">
        <v>51270569883.527458</v>
      </c>
      <c r="AS25">
        <v>53369787318.624527</v>
      </c>
      <c r="AT25">
        <v>53991289844.329132</v>
      </c>
      <c r="AU25">
        <v>54724081490.510185</v>
      </c>
      <c r="AV25">
        <v>60158929188.255615</v>
      </c>
      <c r="AW25">
        <v>65108544250.042473</v>
      </c>
      <c r="AX25">
        <v>69442943089.430893</v>
      </c>
      <c r="AY25">
        <v>71819083683.740326</v>
      </c>
      <c r="AZ25">
        <v>79611888213.14798</v>
      </c>
      <c r="BA25">
        <v>91631278239.323715</v>
      </c>
      <c r="BB25">
        <v>102477779060.30183</v>
      </c>
      <c r="BC25">
        <v>115279077465.22643</v>
      </c>
      <c r="BD25">
        <v>128637983882.83327</v>
      </c>
      <c r="BE25">
        <v>133355819704.93626</v>
      </c>
      <c r="BF25">
        <v>149990529207.54416</v>
      </c>
      <c r="BG25">
        <v>172885432686.94452</v>
      </c>
      <c r="BH25">
        <v>195078574089.06674</v>
      </c>
      <c r="BI25">
        <v>265236389198.94849</v>
      </c>
      <c r="BJ25">
        <v>293754769935.14813</v>
      </c>
      <c r="BK25">
        <v>321379163135.64716</v>
      </c>
      <c r="BL25">
        <v>351238397263.80243</v>
      </c>
      <c r="BM25">
        <v>373902196399.31653</v>
      </c>
      <c r="BN25">
        <v>416264802185.16638</v>
      </c>
      <c r="BO25" s="190">
        <v>460201000095.10144</v>
      </c>
    </row>
    <row r="26" spans="1:67">
      <c r="A26" t="s">
        <v>528</v>
      </c>
      <c r="B26" t="s">
        <v>529</v>
      </c>
      <c r="C26" t="s">
        <v>1018</v>
      </c>
      <c r="D26" t="s">
        <v>1019</v>
      </c>
      <c r="Y26">
        <v>19839230769.23077</v>
      </c>
      <c r="Z26">
        <v>19870000000</v>
      </c>
      <c r="AA26">
        <v>19342000000</v>
      </c>
      <c r="AB26">
        <v>16563666666.666668</v>
      </c>
      <c r="AC26">
        <v>17594944444.444447</v>
      </c>
      <c r="AD26">
        <v>17155421052.631578</v>
      </c>
      <c r="AE26">
        <v>20249294117.64706</v>
      </c>
      <c r="AF26">
        <v>28101000000</v>
      </c>
      <c r="AG26">
        <v>22555941176.470589</v>
      </c>
      <c r="AH26">
        <v>21988444444.444447</v>
      </c>
      <c r="AI26">
        <v>20632090909.090908</v>
      </c>
      <c r="AJ26">
        <v>10943548387.096775</v>
      </c>
      <c r="AK26">
        <v>10350515463.917526</v>
      </c>
      <c r="AL26">
        <v>10832228507.231464</v>
      </c>
      <c r="AM26">
        <v>9697416974.1697426</v>
      </c>
      <c r="AN26">
        <v>18991531542.708279</v>
      </c>
      <c r="AO26">
        <v>12294987876.312128</v>
      </c>
      <c r="AP26">
        <v>11316126257.583881</v>
      </c>
      <c r="AQ26">
        <v>15031052200.54632</v>
      </c>
      <c r="AR26">
        <v>13627325461.174295</v>
      </c>
      <c r="AS26">
        <v>13245990274.45809</v>
      </c>
      <c r="AT26">
        <v>14183443861.69018</v>
      </c>
      <c r="AU26">
        <v>16403043849.829679</v>
      </c>
      <c r="AV26">
        <v>21144962058.288509</v>
      </c>
      <c r="AW26">
        <v>26157744752.78344</v>
      </c>
      <c r="AX26">
        <v>29868651533.118816</v>
      </c>
      <c r="AY26">
        <v>34380543845.397339</v>
      </c>
      <c r="AZ26">
        <v>44432811756.473053</v>
      </c>
      <c r="BA26">
        <v>54480697770.077271</v>
      </c>
      <c r="BB26">
        <v>52023813557.815796</v>
      </c>
      <c r="BC26">
        <v>50754203890.734085</v>
      </c>
      <c r="BD26">
        <v>57735709913.885132</v>
      </c>
      <c r="BE26">
        <v>54290156342.376671</v>
      </c>
      <c r="BF26">
        <v>55844245263.801186</v>
      </c>
      <c r="BG26">
        <v>57159557804.646111</v>
      </c>
      <c r="BH26">
        <v>50828088835.942818</v>
      </c>
      <c r="BI26">
        <v>53987487124.342072</v>
      </c>
      <c r="BJ26">
        <v>59343060705.827988</v>
      </c>
      <c r="BK26">
        <v>66399602077.169258</v>
      </c>
      <c r="BL26">
        <v>68911930627.897659</v>
      </c>
      <c r="BM26">
        <v>70404359049.232025</v>
      </c>
      <c r="BN26">
        <v>84061395658.220963</v>
      </c>
      <c r="BO26" s="190">
        <v>89040398406.374512</v>
      </c>
    </row>
    <row r="27" spans="1:67">
      <c r="A27" t="s">
        <v>530</v>
      </c>
      <c r="B27" t="s">
        <v>531</v>
      </c>
      <c r="C27" t="s">
        <v>1018</v>
      </c>
      <c r="D27" t="s">
        <v>1019</v>
      </c>
      <c r="Y27">
        <v>3072698328.46909</v>
      </c>
      <c r="Z27">
        <v>3467819158.1590939</v>
      </c>
      <c r="AA27">
        <v>3645744690.5471935</v>
      </c>
      <c r="AB27">
        <v>3735106392.9125171</v>
      </c>
      <c r="AC27">
        <v>3905585110.7109795</v>
      </c>
      <c r="AD27">
        <v>3651861702.1276598</v>
      </c>
      <c r="AE27">
        <v>3052393617.0212765</v>
      </c>
      <c r="AF27">
        <v>3392021010.638298</v>
      </c>
      <c r="AG27">
        <v>3702393617.0212765</v>
      </c>
      <c r="AH27">
        <v>3863563829.7872338</v>
      </c>
      <c r="AI27">
        <v>4229787234.0425529</v>
      </c>
      <c r="AJ27">
        <v>4616223404.2553196</v>
      </c>
      <c r="AK27">
        <v>4751063829.7872343</v>
      </c>
      <c r="AL27">
        <v>5200266107.2771664</v>
      </c>
      <c r="AM27">
        <v>5567553975.7031622</v>
      </c>
      <c r="AN27">
        <v>5849468272.8975887</v>
      </c>
      <c r="AO27">
        <v>6101861963.5917921</v>
      </c>
      <c r="AP27">
        <v>6349202984.6332569</v>
      </c>
      <c r="AQ27">
        <v>6183777212.4777803</v>
      </c>
      <c r="AR27">
        <v>6621010739.1960678</v>
      </c>
      <c r="AS27">
        <v>9062898936.1702118</v>
      </c>
      <c r="AT27">
        <v>8976196808.5106392</v>
      </c>
      <c r="AU27">
        <v>9593510638.2978725</v>
      </c>
      <c r="AV27">
        <v>11074813829.787233</v>
      </c>
      <c r="AW27">
        <v>13150159574.468084</v>
      </c>
      <c r="AX27">
        <v>15968723404.25532</v>
      </c>
      <c r="AY27">
        <v>18504760638.297871</v>
      </c>
      <c r="AZ27">
        <v>21730000000</v>
      </c>
      <c r="BA27">
        <v>25710904255.319149</v>
      </c>
      <c r="BB27">
        <v>22938218085.106384</v>
      </c>
      <c r="BC27">
        <v>25713271276.595745</v>
      </c>
      <c r="BD27">
        <v>28776595744.680851</v>
      </c>
      <c r="BE27">
        <v>30749308510.638298</v>
      </c>
      <c r="BF27">
        <v>32539468085.106384</v>
      </c>
      <c r="BG27">
        <v>33387712765.957447</v>
      </c>
      <c r="BH27">
        <v>31050638297.872341</v>
      </c>
      <c r="BI27">
        <v>32234973404.255318</v>
      </c>
      <c r="BJ27">
        <v>35473776595.744682</v>
      </c>
      <c r="BK27">
        <v>37802005319.148933</v>
      </c>
      <c r="BL27">
        <v>38653318085.106384</v>
      </c>
      <c r="BM27">
        <v>34621807712.765961</v>
      </c>
      <c r="BN27">
        <v>39303403989.361702</v>
      </c>
      <c r="BO27" s="190">
        <v>44390820478.723396</v>
      </c>
    </row>
    <row r="28" spans="1:67">
      <c r="A28" t="s">
        <v>532</v>
      </c>
      <c r="B28" t="s">
        <v>533</v>
      </c>
      <c r="C28" t="s">
        <v>1018</v>
      </c>
      <c r="D28" t="s">
        <v>1019</v>
      </c>
      <c r="E28">
        <v>169803921.56862745</v>
      </c>
      <c r="F28">
        <v>190098039.21568626</v>
      </c>
      <c r="G28">
        <v>212254901.96078432</v>
      </c>
      <c r="H28">
        <v>237745098.03921568</v>
      </c>
      <c r="I28">
        <v>266666666.66666666</v>
      </c>
      <c r="J28">
        <v>300392156.86274511</v>
      </c>
      <c r="K28">
        <v>340000000</v>
      </c>
      <c r="L28">
        <v>390196078.43137252</v>
      </c>
      <c r="M28">
        <v>444901960.78431374</v>
      </c>
      <c r="N28">
        <v>528137254.90196079</v>
      </c>
      <c r="O28">
        <v>538423153.69261479</v>
      </c>
      <c r="P28">
        <v>573400000</v>
      </c>
      <c r="Q28">
        <v>590900000</v>
      </c>
      <c r="R28">
        <v>670900000</v>
      </c>
      <c r="S28">
        <v>632400000</v>
      </c>
      <c r="T28">
        <v>596200000</v>
      </c>
      <c r="U28">
        <v>642100000</v>
      </c>
      <c r="V28">
        <v>713000000</v>
      </c>
      <c r="W28">
        <v>832400000</v>
      </c>
      <c r="X28">
        <v>1139800100</v>
      </c>
      <c r="Y28">
        <v>1335300000</v>
      </c>
      <c r="Z28">
        <v>1426500000</v>
      </c>
      <c r="AA28">
        <v>1578300000</v>
      </c>
      <c r="AB28">
        <v>1732800000</v>
      </c>
      <c r="AC28">
        <v>2041100000</v>
      </c>
      <c r="AD28">
        <v>2320699900</v>
      </c>
      <c r="AE28">
        <v>2472500000</v>
      </c>
      <c r="AF28">
        <v>2713999900</v>
      </c>
      <c r="AG28">
        <v>2817900000</v>
      </c>
      <c r="AH28">
        <v>3062000000</v>
      </c>
      <c r="AI28">
        <v>3166000000</v>
      </c>
      <c r="AJ28">
        <v>3111160000</v>
      </c>
      <c r="AK28">
        <v>3109000000</v>
      </c>
      <c r="AL28">
        <v>3092000000</v>
      </c>
      <c r="AM28">
        <v>3259000000</v>
      </c>
      <c r="AN28">
        <v>3429000000</v>
      </c>
      <c r="AO28">
        <v>3609000000</v>
      </c>
      <c r="AP28">
        <v>6332360000</v>
      </c>
      <c r="AQ28">
        <v>6833220000</v>
      </c>
      <c r="AR28">
        <v>7683870000</v>
      </c>
      <c r="AS28">
        <v>8076470000</v>
      </c>
      <c r="AT28">
        <v>8317830000</v>
      </c>
      <c r="AU28">
        <v>8881160000</v>
      </c>
      <c r="AV28">
        <v>8870090000</v>
      </c>
      <c r="AW28">
        <v>9055290000</v>
      </c>
      <c r="AX28">
        <v>9836200000</v>
      </c>
      <c r="AY28">
        <v>10167250000</v>
      </c>
      <c r="AZ28">
        <v>10618340000</v>
      </c>
      <c r="BA28">
        <v>10526000000</v>
      </c>
      <c r="BB28">
        <v>9981960000</v>
      </c>
      <c r="BC28">
        <v>10095760000</v>
      </c>
      <c r="BD28">
        <v>10070450000</v>
      </c>
      <c r="BE28">
        <v>10720500000</v>
      </c>
      <c r="BF28">
        <v>10562800000</v>
      </c>
      <c r="BG28">
        <v>11176100000</v>
      </c>
      <c r="BH28">
        <v>11672900000</v>
      </c>
      <c r="BI28">
        <v>11750800000</v>
      </c>
      <c r="BJ28">
        <v>12253500000</v>
      </c>
      <c r="BK28">
        <v>12653600000</v>
      </c>
      <c r="BL28">
        <v>13058700000</v>
      </c>
      <c r="BM28">
        <v>9754600000</v>
      </c>
      <c r="BN28">
        <v>11527600000</v>
      </c>
      <c r="BO28" s="190">
        <v>12897400000</v>
      </c>
    </row>
    <row r="29" spans="1:67">
      <c r="A29" t="s">
        <v>534</v>
      </c>
      <c r="B29" t="s">
        <v>535</v>
      </c>
      <c r="C29" t="s">
        <v>1018</v>
      </c>
      <c r="D29" t="s">
        <v>1019</v>
      </c>
      <c r="AM29">
        <v>1255802469.1358023</v>
      </c>
      <c r="AN29">
        <v>1866572953.7366548</v>
      </c>
      <c r="AO29">
        <v>2786045321.6374269</v>
      </c>
      <c r="AP29">
        <v>3671910025.9651456</v>
      </c>
      <c r="AQ29">
        <v>4116775275.4059548</v>
      </c>
      <c r="AR29">
        <v>4686255380.5259266</v>
      </c>
      <c r="AS29">
        <v>5567774049.095335</v>
      </c>
      <c r="AT29">
        <v>5800616572.1644373</v>
      </c>
      <c r="AU29">
        <v>6728219506.7394323</v>
      </c>
      <c r="AV29">
        <v>8498893357.9602509</v>
      </c>
      <c r="AW29">
        <v>10156541358.178688</v>
      </c>
      <c r="AX29">
        <v>11222796196.678875</v>
      </c>
      <c r="AY29">
        <v>12864842268.543501</v>
      </c>
      <c r="AZ29">
        <v>15778737117.298706</v>
      </c>
      <c r="BA29">
        <v>19112801196.858318</v>
      </c>
      <c r="BB29">
        <v>17613946109.018719</v>
      </c>
      <c r="BC29">
        <v>17176320823.189215</v>
      </c>
      <c r="BD29">
        <v>18644239027.714008</v>
      </c>
      <c r="BE29">
        <v>17226736284.823196</v>
      </c>
      <c r="BF29">
        <v>18179104548.880371</v>
      </c>
      <c r="BG29">
        <v>18558731212.866611</v>
      </c>
      <c r="BH29">
        <v>16404352155.613997</v>
      </c>
      <c r="BI29">
        <v>17116926092.390501</v>
      </c>
      <c r="BJ29">
        <v>18326376394.079632</v>
      </c>
      <c r="BK29">
        <v>20484048415.501945</v>
      </c>
      <c r="BL29">
        <v>20482603346.447266</v>
      </c>
      <c r="BM29">
        <v>20226030731.013092</v>
      </c>
      <c r="BN29">
        <v>23649566069.235477</v>
      </c>
      <c r="BO29" s="190">
        <v>24527507287.796188</v>
      </c>
    </row>
    <row r="30" spans="1:67">
      <c r="A30" t="s">
        <v>536</v>
      </c>
      <c r="B30" t="s">
        <v>537</v>
      </c>
      <c r="C30" t="s">
        <v>1018</v>
      </c>
      <c r="D30" t="s">
        <v>1019</v>
      </c>
      <c r="AI30">
        <v>21650000000</v>
      </c>
      <c r="AJ30">
        <v>18000000000</v>
      </c>
      <c r="AK30">
        <v>17037037037.037037</v>
      </c>
      <c r="AL30">
        <v>16280991735.537191</v>
      </c>
      <c r="AM30">
        <v>14932024169.18429</v>
      </c>
      <c r="AN30">
        <v>13972676840.917984</v>
      </c>
      <c r="AO30">
        <v>14756846153.846155</v>
      </c>
      <c r="AP30">
        <v>14128408565.706362</v>
      </c>
      <c r="AQ30">
        <v>15222012660.42317</v>
      </c>
      <c r="AR30">
        <v>12138486532.020298</v>
      </c>
      <c r="AS30">
        <v>12736856827.984661</v>
      </c>
      <c r="AT30">
        <v>12354820143.884892</v>
      </c>
      <c r="AU30">
        <v>14594928109.441133</v>
      </c>
      <c r="AV30">
        <v>17825437482.861263</v>
      </c>
      <c r="AW30">
        <v>23141593073.97382</v>
      </c>
      <c r="AX30">
        <v>30210091836.829449</v>
      </c>
      <c r="AY30">
        <v>36961822468.201523</v>
      </c>
      <c r="AZ30">
        <v>45275747157.412003</v>
      </c>
      <c r="BA30">
        <v>60752177438.889534</v>
      </c>
      <c r="BB30">
        <v>50873181571.648979</v>
      </c>
      <c r="BC30">
        <v>57231904542.875473</v>
      </c>
      <c r="BD30">
        <v>61762340943.051125</v>
      </c>
      <c r="BE30">
        <v>65685903570.452583</v>
      </c>
      <c r="BF30">
        <v>75527537703.18364</v>
      </c>
      <c r="BG30">
        <v>78812785767.748306</v>
      </c>
      <c r="BH30">
        <v>56454895054.65554</v>
      </c>
      <c r="BI30">
        <v>47723549319.084167</v>
      </c>
      <c r="BJ30">
        <v>54725311690.047821</v>
      </c>
      <c r="BK30">
        <v>60031163987.190964</v>
      </c>
      <c r="BL30">
        <v>64410112583.361977</v>
      </c>
      <c r="BM30">
        <v>61371755326.2351</v>
      </c>
      <c r="BN30">
        <v>69673747131.869965</v>
      </c>
      <c r="BO30" s="190">
        <v>72793457588.436661</v>
      </c>
    </row>
    <row r="31" spans="1:67">
      <c r="A31" t="s">
        <v>538</v>
      </c>
      <c r="B31" t="s">
        <v>539</v>
      </c>
      <c r="C31" t="s">
        <v>1018</v>
      </c>
      <c r="D31" t="s">
        <v>1019</v>
      </c>
      <c r="E31">
        <v>28072478.064056348</v>
      </c>
      <c r="F31">
        <v>29964999.956010487</v>
      </c>
      <c r="G31">
        <v>31857591.848034602</v>
      </c>
      <c r="H31">
        <v>33750113.739988737</v>
      </c>
      <c r="I31">
        <v>36194586.183727846</v>
      </c>
      <c r="J31">
        <v>40110040.098007128</v>
      </c>
      <c r="K31">
        <v>44450044.436709471</v>
      </c>
      <c r="L31">
        <v>47431266.65258234</v>
      </c>
      <c r="M31">
        <v>44999909.982179984</v>
      </c>
      <c r="N31">
        <v>47399905.181229584</v>
      </c>
      <c r="O31">
        <v>53339893.298877344</v>
      </c>
      <c r="P31">
        <v>59074682.95038186</v>
      </c>
      <c r="Q31">
        <v>65998075.725936249</v>
      </c>
      <c r="R31">
        <v>78214778.312037215</v>
      </c>
      <c r="S31">
        <v>103160463.46483822</v>
      </c>
      <c r="T31">
        <v>118194045.55938491</v>
      </c>
      <c r="U31">
        <v>97094221.485992908</v>
      </c>
      <c r="V31">
        <v>117650000</v>
      </c>
      <c r="W31">
        <v>136300000</v>
      </c>
      <c r="X31">
        <v>151800000</v>
      </c>
      <c r="Y31">
        <v>197938222.43000001</v>
      </c>
      <c r="Z31">
        <v>196089854.655</v>
      </c>
      <c r="AA31">
        <v>182206326.98500001</v>
      </c>
      <c r="AB31">
        <v>192103185.95499998</v>
      </c>
      <c r="AC31">
        <v>214381949.02000001</v>
      </c>
      <c r="AD31">
        <v>212643742.66499999</v>
      </c>
      <c r="AE31">
        <v>231638320.535</v>
      </c>
      <c r="AF31">
        <v>281082558.58500004</v>
      </c>
      <c r="AG31">
        <v>320093360.26999998</v>
      </c>
      <c r="AH31">
        <v>369133890.70499998</v>
      </c>
      <c r="AI31">
        <v>549500000</v>
      </c>
      <c r="AJ31">
        <v>599000000</v>
      </c>
      <c r="AK31">
        <v>693500000</v>
      </c>
      <c r="AL31">
        <v>751000000</v>
      </c>
      <c r="AM31">
        <v>771500000</v>
      </c>
      <c r="AN31">
        <v>818500000</v>
      </c>
      <c r="AO31">
        <v>851500000</v>
      </c>
      <c r="AP31">
        <v>868000000</v>
      </c>
      <c r="AQ31">
        <v>914000000</v>
      </c>
      <c r="AR31">
        <v>975000000</v>
      </c>
      <c r="AS31">
        <v>1116000000</v>
      </c>
      <c r="AT31">
        <v>1163000000</v>
      </c>
      <c r="AU31">
        <v>1233000000</v>
      </c>
      <c r="AV31">
        <v>1298000000</v>
      </c>
      <c r="AW31">
        <v>1389500000</v>
      </c>
      <c r="AX31">
        <v>1461500000</v>
      </c>
      <c r="AY31">
        <v>1581000000</v>
      </c>
      <c r="AZ31">
        <v>1696000000</v>
      </c>
      <c r="BA31">
        <v>1729000000</v>
      </c>
      <c r="BB31">
        <v>1680500000</v>
      </c>
      <c r="BC31">
        <v>1738500000</v>
      </c>
      <c r="BD31">
        <v>1819500000</v>
      </c>
      <c r="BE31">
        <v>1903000000</v>
      </c>
      <c r="BF31">
        <v>2029500000</v>
      </c>
      <c r="BG31">
        <v>2138000000</v>
      </c>
      <c r="BH31">
        <v>2210500000</v>
      </c>
      <c r="BI31">
        <v>2258500000</v>
      </c>
      <c r="BJ31">
        <v>2286000000</v>
      </c>
      <c r="BK31">
        <v>2315000000</v>
      </c>
      <c r="BL31">
        <v>2416500000</v>
      </c>
      <c r="BM31">
        <v>2080000000</v>
      </c>
      <c r="BN31">
        <v>2491500000</v>
      </c>
      <c r="BO31" s="190">
        <v>2824081836.1986699</v>
      </c>
    </row>
    <row r="32" spans="1:67">
      <c r="A32" t="s">
        <v>540</v>
      </c>
      <c r="B32" t="s">
        <v>541</v>
      </c>
      <c r="C32" t="s">
        <v>1018</v>
      </c>
      <c r="D32" t="s">
        <v>1019</v>
      </c>
      <c r="E32">
        <v>84466654.076911882</v>
      </c>
      <c r="F32">
        <v>89249986.697289482</v>
      </c>
      <c r="G32">
        <v>94149985.96694459</v>
      </c>
      <c r="H32">
        <v>96366652.303217143</v>
      </c>
      <c r="I32">
        <v>107566650.6338574</v>
      </c>
      <c r="J32">
        <v>114339048.96516557</v>
      </c>
      <c r="K32">
        <v>134173373.78565349</v>
      </c>
      <c r="L32">
        <v>155102984.62733382</v>
      </c>
      <c r="M32">
        <v>150000000</v>
      </c>
      <c r="N32">
        <v>164900000</v>
      </c>
      <c r="O32">
        <v>186300000</v>
      </c>
      <c r="P32">
        <v>211100000</v>
      </c>
      <c r="Q32">
        <v>235400000</v>
      </c>
      <c r="R32">
        <v>269500000</v>
      </c>
      <c r="S32">
        <v>312600000</v>
      </c>
      <c r="T32">
        <v>345000000</v>
      </c>
      <c r="U32">
        <v>386300000</v>
      </c>
      <c r="V32">
        <v>447000000</v>
      </c>
      <c r="W32">
        <v>475800000</v>
      </c>
      <c r="X32">
        <v>517200000.00000006</v>
      </c>
      <c r="Y32">
        <v>613299968</v>
      </c>
      <c r="Z32">
        <v>739100032</v>
      </c>
      <c r="AA32">
        <v>785500032</v>
      </c>
      <c r="AB32">
        <v>889400000</v>
      </c>
      <c r="AC32">
        <v>985699968</v>
      </c>
      <c r="AD32">
        <v>1039500031.9999999</v>
      </c>
      <c r="AE32">
        <v>1173500032</v>
      </c>
      <c r="AF32">
        <v>1296499968</v>
      </c>
      <c r="AG32">
        <v>1415100032</v>
      </c>
      <c r="AH32">
        <v>1501500032</v>
      </c>
      <c r="AI32">
        <v>1592400000</v>
      </c>
      <c r="AJ32">
        <v>1634900000</v>
      </c>
      <c r="AK32">
        <v>1679900000</v>
      </c>
      <c r="AL32">
        <v>1820359900</v>
      </c>
      <c r="AM32">
        <v>1867160100</v>
      </c>
      <c r="AN32">
        <v>2030750000</v>
      </c>
      <c r="AO32">
        <v>2695390000</v>
      </c>
      <c r="AP32">
        <v>2932827000</v>
      </c>
      <c r="AQ32">
        <v>3130748000</v>
      </c>
      <c r="AR32">
        <v>3324433000</v>
      </c>
      <c r="AS32">
        <v>3480219000</v>
      </c>
      <c r="AT32">
        <v>3680483000</v>
      </c>
      <c r="AU32">
        <v>3937228000</v>
      </c>
      <c r="AV32">
        <v>4186524999.9999995</v>
      </c>
      <c r="AW32">
        <v>4484703000</v>
      </c>
      <c r="AX32">
        <v>4868136000</v>
      </c>
      <c r="AY32">
        <v>6144000000</v>
      </c>
      <c r="AZ32">
        <v>6767000000</v>
      </c>
      <c r="BA32">
        <v>6980000000</v>
      </c>
      <c r="BB32">
        <v>6656000000</v>
      </c>
      <c r="BC32">
        <v>6634526000</v>
      </c>
      <c r="BD32">
        <v>6312691000</v>
      </c>
      <c r="BE32">
        <v>6378188000</v>
      </c>
      <c r="BF32">
        <v>6465756000</v>
      </c>
      <c r="BG32">
        <v>6413988000</v>
      </c>
      <c r="BH32">
        <v>6654541000</v>
      </c>
      <c r="BI32">
        <v>6899911000</v>
      </c>
      <c r="BJ32">
        <v>7142316000</v>
      </c>
      <c r="BK32">
        <v>7225977000</v>
      </c>
      <c r="BL32">
        <v>7423465000</v>
      </c>
      <c r="BM32">
        <v>6887147000</v>
      </c>
      <c r="BN32">
        <v>7127200000</v>
      </c>
      <c r="BO32" s="190">
        <v>7550500000</v>
      </c>
    </row>
    <row r="33" spans="1:67">
      <c r="A33" t="s">
        <v>542</v>
      </c>
      <c r="B33" t="s">
        <v>543</v>
      </c>
      <c r="C33" t="s">
        <v>1018</v>
      </c>
      <c r="D33" t="s">
        <v>1019</v>
      </c>
      <c r="E33">
        <v>377020202.02020204</v>
      </c>
      <c r="F33">
        <v>410101010.10101008</v>
      </c>
      <c r="G33">
        <v>448400673.40067339</v>
      </c>
      <c r="H33">
        <v>482828282.82828283</v>
      </c>
      <c r="I33">
        <v>544023569.02356899</v>
      </c>
      <c r="J33">
        <v>604377104.3771044</v>
      </c>
      <c r="K33">
        <v>669191919.19191921</v>
      </c>
      <c r="L33">
        <v>755808080.80808079</v>
      </c>
      <c r="M33">
        <v>857912457.91245794</v>
      </c>
      <c r="N33">
        <v>929629629.62962961</v>
      </c>
      <c r="O33">
        <v>1017003367.0033671</v>
      </c>
      <c r="P33">
        <v>1095622895.6228957</v>
      </c>
      <c r="Q33">
        <v>1257615644.9793155</v>
      </c>
      <c r="R33">
        <v>1262968515.7421288</v>
      </c>
      <c r="S33">
        <v>2100249875.0624688</v>
      </c>
      <c r="T33">
        <v>2404697651.1744127</v>
      </c>
      <c r="U33">
        <v>2731984007.9960022</v>
      </c>
      <c r="V33">
        <v>3227436281.8590703</v>
      </c>
      <c r="W33">
        <v>3758220889.5552225</v>
      </c>
      <c r="X33">
        <v>4421336382.9439707</v>
      </c>
      <c r="Y33">
        <v>4537487802.5025702</v>
      </c>
      <c r="Z33">
        <v>5891606684.8882961</v>
      </c>
      <c r="AA33">
        <v>5594121317.374073</v>
      </c>
      <c r="AB33">
        <v>5422656265.8378878</v>
      </c>
      <c r="AC33">
        <v>6169483188.8341722</v>
      </c>
      <c r="AD33">
        <v>5377276555.0688562</v>
      </c>
      <c r="AE33">
        <v>3959382833.0877967</v>
      </c>
      <c r="AF33">
        <v>4347956337.833374</v>
      </c>
      <c r="AG33">
        <v>4597612362.0977068</v>
      </c>
      <c r="AH33">
        <v>4715972853.3758478</v>
      </c>
      <c r="AI33">
        <v>4867582597.5232697</v>
      </c>
      <c r="AJ33">
        <v>5343261959.6763172</v>
      </c>
      <c r="AK33">
        <v>5643869230.9993076</v>
      </c>
      <c r="AL33">
        <v>5734699040.6596251</v>
      </c>
      <c r="AM33">
        <v>5981223290.3246708</v>
      </c>
      <c r="AN33">
        <v>6715162198.5240593</v>
      </c>
      <c r="AO33">
        <v>7396948397.5377436</v>
      </c>
      <c r="AP33">
        <v>7925736318.6367931</v>
      </c>
      <c r="AQ33">
        <v>8497494138.0728884</v>
      </c>
      <c r="AR33">
        <v>8285063959.4316225</v>
      </c>
      <c r="AS33">
        <v>8397855937.4684095</v>
      </c>
      <c r="AT33">
        <v>8141517339.1521463</v>
      </c>
      <c r="AU33">
        <v>7905485146.4435148</v>
      </c>
      <c r="AV33">
        <v>8082399991.2958288</v>
      </c>
      <c r="AW33">
        <v>8773451751.5120964</v>
      </c>
      <c r="AX33">
        <v>9549122313.3964081</v>
      </c>
      <c r="AY33">
        <v>11451845378.68969</v>
      </c>
      <c r="AZ33">
        <v>13120107738.885059</v>
      </c>
      <c r="BA33">
        <v>16674276979.474499</v>
      </c>
      <c r="BB33">
        <v>17339992193.732193</v>
      </c>
      <c r="BC33">
        <v>19649724655.58194</v>
      </c>
      <c r="BD33">
        <v>23963162969.383213</v>
      </c>
      <c r="BE33">
        <v>27084497481.910275</v>
      </c>
      <c r="BF33">
        <v>30659338885.672935</v>
      </c>
      <c r="BG33">
        <v>32996188017.366135</v>
      </c>
      <c r="BH33">
        <v>33000198248.914616</v>
      </c>
      <c r="BI33">
        <v>33941126193.921852</v>
      </c>
      <c r="BJ33">
        <v>37508642170.767006</v>
      </c>
      <c r="BK33">
        <v>40287647930.535454</v>
      </c>
      <c r="BL33">
        <v>40895322850.940666</v>
      </c>
      <c r="BM33">
        <v>36629843806.078148</v>
      </c>
      <c r="BN33">
        <v>40408208523.878433</v>
      </c>
      <c r="BO33" s="190">
        <v>43068885672.937767</v>
      </c>
    </row>
    <row r="34" spans="1:67">
      <c r="A34" t="s">
        <v>544</v>
      </c>
      <c r="B34" t="s">
        <v>545</v>
      </c>
      <c r="C34" t="s">
        <v>1018</v>
      </c>
      <c r="D34" t="s">
        <v>1019</v>
      </c>
      <c r="E34">
        <v>17030465539.390615</v>
      </c>
      <c r="F34">
        <v>17275940449.383743</v>
      </c>
      <c r="G34">
        <v>19231747851.533188</v>
      </c>
      <c r="H34">
        <v>23287712878.20023</v>
      </c>
      <c r="I34">
        <v>20963733694.974895</v>
      </c>
      <c r="J34">
        <v>22465522884.098793</v>
      </c>
      <c r="K34">
        <v>28283323733.111351</v>
      </c>
      <c r="L34">
        <v>31086389194.960979</v>
      </c>
      <c r="M34">
        <v>33930457425.261284</v>
      </c>
      <c r="N34">
        <v>37171640818.586319</v>
      </c>
      <c r="O34">
        <v>42327664793.69339</v>
      </c>
      <c r="P34">
        <v>48869830901.787758</v>
      </c>
      <c r="Q34">
        <v>58434858374.869598</v>
      </c>
      <c r="R34">
        <v>83592275862.998199</v>
      </c>
      <c r="S34">
        <v>109794519727.53831</v>
      </c>
      <c r="T34">
        <v>129203555238.82715</v>
      </c>
      <c r="U34">
        <v>153168949208.20691</v>
      </c>
      <c r="V34">
        <v>176344101401.94095</v>
      </c>
      <c r="W34">
        <v>200278646123.5813</v>
      </c>
      <c r="X34">
        <v>221338204480.22247</v>
      </c>
      <c r="Y34">
        <v>237393489892.63696</v>
      </c>
      <c r="Z34">
        <v>258015174748.64758</v>
      </c>
      <c r="AA34">
        <v>271314113768.41696</v>
      </c>
      <c r="AB34">
        <v>189656506321.43079</v>
      </c>
      <c r="AC34">
        <v>188339974086.58005</v>
      </c>
      <c r="AD34">
        <v>210879844638.87735</v>
      </c>
      <c r="AE34">
        <v>256480852471.12866</v>
      </c>
      <c r="AF34">
        <v>283056836893.83826</v>
      </c>
      <c r="AG34">
        <v>307881930752.26764</v>
      </c>
      <c r="AH34">
        <v>412990820287.4201</v>
      </c>
      <c r="AI34">
        <v>464989098144.85449</v>
      </c>
      <c r="AJ34">
        <v>407729053018.90723</v>
      </c>
      <c r="AK34">
        <v>390566561752.67114</v>
      </c>
      <c r="AL34">
        <v>438299504463.02032</v>
      </c>
      <c r="AM34">
        <v>546229749726.26312</v>
      </c>
      <c r="AN34">
        <v>769333330439.52026</v>
      </c>
      <c r="AO34">
        <v>850426432991.74207</v>
      </c>
      <c r="AP34">
        <v>883206452832.8114</v>
      </c>
      <c r="AQ34">
        <v>863711007338.68286</v>
      </c>
      <c r="AR34">
        <v>599642075039.04858</v>
      </c>
      <c r="AS34">
        <v>655448188246.10962</v>
      </c>
      <c r="AT34">
        <v>559983704075.65808</v>
      </c>
      <c r="AU34">
        <v>509795270707.26764</v>
      </c>
      <c r="AV34">
        <v>558233724160.74194</v>
      </c>
      <c r="AW34">
        <v>669289321953.68286</v>
      </c>
      <c r="AX34">
        <v>891633826582.60583</v>
      </c>
      <c r="AY34">
        <v>1107626711436.4417</v>
      </c>
      <c r="AZ34">
        <v>1397114247287.5771</v>
      </c>
      <c r="BA34">
        <v>1695855391816.4766</v>
      </c>
      <c r="BB34">
        <v>1666996294324.7571</v>
      </c>
      <c r="BC34">
        <v>2208838108593.1865</v>
      </c>
      <c r="BD34">
        <v>2616156606734.5132</v>
      </c>
      <c r="BE34">
        <v>2465228293862.6196</v>
      </c>
      <c r="BF34">
        <v>2472819362259.0034</v>
      </c>
      <c r="BG34">
        <v>2456043766063.4976</v>
      </c>
      <c r="BH34">
        <v>1802211999555.5911</v>
      </c>
      <c r="BI34">
        <v>1795693265824.2683</v>
      </c>
      <c r="BJ34">
        <v>2063514688761.6658</v>
      </c>
      <c r="BK34">
        <v>1916933708404.1624</v>
      </c>
      <c r="BL34">
        <v>1873288159000.6404</v>
      </c>
      <c r="BM34">
        <v>1476107292036.5889</v>
      </c>
      <c r="BN34">
        <v>1649622972159.3523</v>
      </c>
      <c r="BO34" s="190">
        <v>1920095560995.0596</v>
      </c>
    </row>
    <row r="35" spans="1:67">
      <c r="A35" t="s">
        <v>546</v>
      </c>
      <c r="B35" t="s">
        <v>547</v>
      </c>
      <c r="C35" t="s">
        <v>1018</v>
      </c>
      <c r="D35" t="s">
        <v>1019</v>
      </c>
      <c r="S35">
        <v>311804643.27514666</v>
      </c>
      <c r="T35">
        <v>402178605.01955354</v>
      </c>
      <c r="U35">
        <v>435911268.5896796</v>
      </c>
      <c r="V35">
        <v>495097667.92904121</v>
      </c>
      <c r="W35">
        <v>552883707.05513847</v>
      </c>
      <c r="X35">
        <v>670362452.14537871</v>
      </c>
      <c r="Y35">
        <v>1012280614.5279174</v>
      </c>
      <c r="Z35">
        <v>1114204743.2009149</v>
      </c>
      <c r="AA35">
        <v>1163923830.3584747</v>
      </c>
      <c r="AB35">
        <v>1236016506.7369363</v>
      </c>
      <c r="AC35">
        <v>1346890071.0982947</v>
      </c>
      <c r="AD35">
        <v>1409536120.91682</v>
      </c>
      <c r="AE35">
        <v>1547755183.2148364</v>
      </c>
      <c r="AF35">
        <v>1704370307.7611496</v>
      </c>
      <c r="AG35">
        <v>1812757917.7646301</v>
      </c>
      <c r="AH35">
        <v>2006165166.8075376</v>
      </c>
      <c r="AI35">
        <v>2012131457.2664447</v>
      </c>
      <c r="AJ35">
        <v>2020583702.0832298</v>
      </c>
      <c r="AK35">
        <v>1957000000</v>
      </c>
      <c r="AL35">
        <v>2063342117.0387313</v>
      </c>
      <c r="AM35">
        <v>2151344901.3076119</v>
      </c>
      <c r="AN35">
        <v>2216974096.3555913</v>
      </c>
      <c r="AO35">
        <v>2363645403.4703922</v>
      </c>
      <c r="AP35">
        <v>2498384129.6673794</v>
      </c>
      <c r="AQ35">
        <v>2817083478.3473377</v>
      </c>
      <c r="AR35">
        <v>2951822204.5443249</v>
      </c>
      <c r="AS35">
        <v>3059500000</v>
      </c>
      <c r="AT35">
        <v>3054500000</v>
      </c>
      <c r="AU35">
        <v>3106500000</v>
      </c>
      <c r="AV35">
        <v>3209500000</v>
      </c>
      <c r="AW35">
        <v>3444500000</v>
      </c>
      <c r="AX35">
        <v>3819500000</v>
      </c>
      <c r="AY35">
        <v>4217450799.9999995</v>
      </c>
      <c r="AZ35">
        <v>4674007450</v>
      </c>
      <c r="BA35">
        <v>4784925100</v>
      </c>
      <c r="BB35">
        <v>4465657300</v>
      </c>
      <c r="BC35">
        <v>4529928300</v>
      </c>
      <c r="BD35">
        <v>4657699450</v>
      </c>
      <c r="BE35">
        <v>4610096000</v>
      </c>
      <c r="BF35">
        <v>4677248300</v>
      </c>
      <c r="BG35">
        <v>4696344350</v>
      </c>
      <c r="BH35">
        <v>4724691200</v>
      </c>
      <c r="BI35">
        <v>4832811750</v>
      </c>
      <c r="BJ35">
        <v>4981588900</v>
      </c>
      <c r="BK35">
        <v>5097283200</v>
      </c>
      <c r="BL35">
        <v>5324250000</v>
      </c>
      <c r="BM35">
        <v>4671800000</v>
      </c>
      <c r="BN35">
        <v>4843800000</v>
      </c>
      <c r="BO35" s="190">
        <v>5637914514.6378994</v>
      </c>
    </row>
    <row r="36" spans="1:67">
      <c r="A36" t="s">
        <v>548</v>
      </c>
      <c r="B36" t="s">
        <v>549</v>
      </c>
      <c r="C36" t="s">
        <v>1018</v>
      </c>
      <c r="D36" t="s">
        <v>1019</v>
      </c>
      <c r="J36">
        <v>114039500.51448099</v>
      </c>
      <c r="K36">
        <v>132757527.95498446</v>
      </c>
      <c r="L36">
        <v>139029537.14970812</v>
      </c>
      <c r="M36">
        <v>160818235.75846174</v>
      </c>
      <c r="N36">
        <v>161210236.33313197</v>
      </c>
      <c r="O36">
        <v>179078929.19518325</v>
      </c>
      <c r="P36">
        <v>197525739.97680342</v>
      </c>
      <c r="Q36">
        <v>270822794.67245811</v>
      </c>
      <c r="R36">
        <v>433095587.46986443</v>
      </c>
      <c r="S36">
        <v>1073591771.2204183</v>
      </c>
      <c r="T36">
        <v>1168304306.1067557</v>
      </c>
      <c r="U36">
        <v>1423037359.4965036</v>
      </c>
      <c r="V36">
        <v>1732721161.4739449</v>
      </c>
      <c r="W36">
        <v>1941579358.8979788</v>
      </c>
      <c r="X36">
        <v>2803833729.7626848</v>
      </c>
      <c r="Y36">
        <v>4928805777.281498</v>
      </c>
      <c r="Z36">
        <v>4366231073.1148596</v>
      </c>
      <c r="AA36">
        <v>4264202522.6590748</v>
      </c>
      <c r="AB36">
        <v>3844632168.5926189</v>
      </c>
      <c r="AC36">
        <v>3782552643.4789314</v>
      </c>
      <c r="AD36">
        <v>3523532486.9552073</v>
      </c>
      <c r="AE36">
        <v>2358574763.8530807</v>
      </c>
      <c r="AF36">
        <v>2754485236.5086823</v>
      </c>
      <c r="AG36">
        <v>2690684124.8742189</v>
      </c>
      <c r="AH36">
        <v>2985531762.8861184</v>
      </c>
      <c r="AI36">
        <v>3520486979.549808</v>
      </c>
      <c r="AJ36">
        <v>3701774188.8802061</v>
      </c>
      <c r="AK36">
        <v>4183633796.476285</v>
      </c>
      <c r="AL36">
        <v>4105729444.1473274</v>
      </c>
      <c r="AM36">
        <v>4087219772.8994913</v>
      </c>
      <c r="AN36">
        <v>4734103536.4670601</v>
      </c>
      <c r="AO36">
        <v>5115454694.2789602</v>
      </c>
      <c r="AP36">
        <v>5197312555.4575996</v>
      </c>
      <c r="AQ36">
        <v>4051143193.1731982</v>
      </c>
      <c r="AR36">
        <v>4600117603.7932053</v>
      </c>
      <c r="AS36">
        <v>6001280943.7169123</v>
      </c>
      <c r="AT36">
        <v>5601020247.2760143</v>
      </c>
      <c r="AU36">
        <v>5843367180.0609407</v>
      </c>
      <c r="AV36">
        <v>6557395815.5953856</v>
      </c>
      <c r="AW36">
        <v>7872201250.9158192</v>
      </c>
      <c r="AX36">
        <v>9531417164.4694252</v>
      </c>
      <c r="AY36">
        <v>11470462364.689123</v>
      </c>
      <c r="AZ36">
        <v>12247680702.805912</v>
      </c>
      <c r="BA36">
        <v>14393437610.255171</v>
      </c>
      <c r="BB36">
        <v>10732592999.391754</v>
      </c>
      <c r="BC36">
        <v>13707275498.056877</v>
      </c>
      <c r="BD36">
        <v>18525128229.675442</v>
      </c>
      <c r="BE36">
        <v>19048443089.253067</v>
      </c>
      <c r="BF36">
        <v>18094326392.708618</v>
      </c>
      <c r="BG36">
        <v>17097801091.977133</v>
      </c>
      <c r="BH36">
        <v>12930292949.421553</v>
      </c>
      <c r="BI36">
        <v>11400467372.494339</v>
      </c>
      <c r="BJ36">
        <v>12128182463.596029</v>
      </c>
      <c r="BK36">
        <v>13567164444.970728</v>
      </c>
      <c r="BL36">
        <v>13469240162.549618</v>
      </c>
      <c r="BM36">
        <v>12005795914.730585</v>
      </c>
      <c r="BN36">
        <v>14006497000.247732</v>
      </c>
      <c r="BO36" s="190">
        <v>16681531645.734699</v>
      </c>
    </row>
    <row r="37" spans="1:67">
      <c r="A37" t="s">
        <v>550</v>
      </c>
      <c r="B37" t="s">
        <v>551</v>
      </c>
      <c r="C37" t="s">
        <v>1018</v>
      </c>
      <c r="D37" t="s">
        <v>1019</v>
      </c>
      <c r="Y37">
        <v>128669205.78159186</v>
      </c>
      <c r="Z37">
        <v>139174180.99552411</v>
      </c>
      <c r="AA37">
        <v>141439318.40482393</v>
      </c>
      <c r="AB37">
        <v>156704286.11685455</v>
      </c>
      <c r="AC37">
        <v>160423489.26581633</v>
      </c>
      <c r="AD37">
        <v>163288815.32637027</v>
      </c>
      <c r="AE37">
        <v>191218110.43541414</v>
      </c>
      <c r="AF37">
        <v>242742766.35420284</v>
      </c>
      <c r="AG37">
        <v>272298060.01976055</v>
      </c>
      <c r="AH37">
        <v>264798626.1625219</v>
      </c>
      <c r="AI37">
        <v>287765007.10715002</v>
      </c>
      <c r="AJ37">
        <v>240294282.49395806</v>
      </c>
      <c r="AK37">
        <v>240233528.07081315</v>
      </c>
      <c r="AL37">
        <v>225973695.30730096</v>
      </c>
      <c r="AM37">
        <v>258954703.92159942</v>
      </c>
      <c r="AN37">
        <v>290490986.80187297</v>
      </c>
      <c r="AO37">
        <v>303408342.76580018</v>
      </c>
      <c r="AP37">
        <v>352229078.32424909</v>
      </c>
      <c r="AQ37">
        <v>363458380.90334153</v>
      </c>
      <c r="AR37">
        <v>399311196.41630971</v>
      </c>
      <c r="AS37">
        <v>424448931.00724816</v>
      </c>
      <c r="AT37">
        <v>461479580.18354011</v>
      </c>
      <c r="AU37">
        <v>520846131.7275514</v>
      </c>
      <c r="AV37">
        <v>603999372.37858582</v>
      </c>
      <c r="AW37">
        <v>682577073.52882719</v>
      </c>
      <c r="AX37">
        <v>796938571.96064174</v>
      </c>
      <c r="AY37">
        <v>874989734.66393507</v>
      </c>
      <c r="AZ37">
        <v>1168307574.7950764</v>
      </c>
      <c r="BA37">
        <v>1227809261.0420761</v>
      </c>
      <c r="BB37">
        <v>1234015141.6030478</v>
      </c>
      <c r="BC37">
        <v>1547990907.4630489</v>
      </c>
      <c r="BD37">
        <v>1777102585.9322872</v>
      </c>
      <c r="BE37">
        <v>1781280170.4429569</v>
      </c>
      <c r="BF37">
        <v>1756214303.9260912</v>
      </c>
      <c r="BG37">
        <v>1907090361.5788701</v>
      </c>
      <c r="BH37">
        <v>2003596824.3109901</v>
      </c>
      <c r="BI37">
        <v>2158971717.5041785</v>
      </c>
      <c r="BJ37">
        <v>2450366107.8822937</v>
      </c>
      <c r="BK37">
        <v>2446867582.2713294</v>
      </c>
      <c r="BL37">
        <v>2535655609.4588923</v>
      </c>
      <c r="BM37">
        <v>2325185520.5933862</v>
      </c>
      <c r="BN37">
        <v>2539551327.4829144</v>
      </c>
    </row>
    <row r="38" spans="1:67">
      <c r="A38" t="s">
        <v>552</v>
      </c>
      <c r="B38" t="s">
        <v>553</v>
      </c>
      <c r="C38" t="s">
        <v>1018</v>
      </c>
      <c r="D38" t="s">
        <v>1019</v>
      </c>
      <c r="E38">
        <v>30411418.678829499</v>
      </c>
      <c r="F38">
        <v>32902592.836286068</v>
      </c>
      <c r="G38">
        <v>35644931.942152984</v>
      </c>
      <c r="H38">
        <v>38091832.989384674</v>
      </c>
      <c r="I38">
        <v>41616368.315993428</v>
      </c>
      <c r="J38">
        <v>45788670.693014599</v>
      </c>
      <c r="K38">
        <v>51465624.409076937</v>
      </c>
      <c r="L38">
        <v>58642385.237674385</v>
      </c>
      <c r="M38">
        <v>66248426.994140863</v>
      </c>
      <c r="N38">
        <v>77361532.993512318</v>
      </c>
      <c r="O38">
        <v>96243298.139383331</v>
      </c>
      <c r="P38">
        <v>127448656.12560534</v>
      </c>
      <c r="Q38">
        <v>164460827.50660485</v>
      </c>
      <c r="R38">
        <v>244124115.6531758</v>
      </c>
      <c r="S38">
        <v>306044205.92212152</v>
      </c>
      <c r="T38">
        <v>355168715.3751756</v>
      </c>
      <c r="U38">
        <v>372025093.43410224</v>
      </c>
      <c r="V38">
        <v>451624959.61005038</v>
      </c>
      <c r="W38">
        <v>590407375.16003299</v>
      </c>
      <c r="X38">
        <v>819870595.11153734</v>
      </c>
      <c r="Y38">
        <v>1060889705.1187104</v>
      </c>
      <c r="Z38">
        <v>1073812403.8066216</v>
      </c>
      <c r="AA38">
        <v>1014945860.8254869</v>
      </c>
      <c r="AB38">
        <v>1172230575.5799584</v>
      </c>
      <c r="AC38">
        <v>1240821849.2757642</v>
      </c>
      <c r="AD38">
        <v>1114783538.1740589</v>
      </c>
      <c r="AE38">
        <v>1392602040.1479399</v>
      </c>
      <c r="AF38">
        <v>1965227085.1315527</v>
      </c>
      <c r="AG38">
        <v>2644554881.8418589</v>
      </c>
      <c r="AH38">
        <v>3083822367.1068263</v>
      </c>
      <c r="AI38">
        <v>3790636664.0254593</v>
      </c>
      <c r="AJ38">
        <v>3942877353.5905428</v>
      </c>
      <c r="AK38">
        <v>4146464586.6167388</v>
      </c>
      <c r="AL38">
        <v>4160129174.7056947</v>
      </c>
      <c r="AM38">
        <v>4259258810.8932819</v>
      </c>
      <c r="AN38">
        <v>4730599690.7397423</v>
      </c>
      <c r="AO38">
        <v>4847757703.866293</v>
      </c>
      <c r="AP38">
        <v>5020265168.289011</v>
      </c>
      <c r="AQ38">
        <v>4790481509.1767864</v>
      </c>
      <c r="AR38">
        <v>5484263050.3956165</v>
      </c>
      <c r="AS38">
        <v>5788329609.1575527</v>
      </c>
      <c r="AT38">
        <v>5489608299.6644526</v>
      </c>
      <c r="AU38">
        <v>5438864269.3936119</v>
      </c>
      <c r="AV38">
        <v>7511582173.3772392</v>
      </c>
      <c r="AW38">
        <v>8957467706.5354042</v>
      </c>
      <c r="AX38">
        <v>9918907108.0970154</v>
      </c>
      <c r="AY38">
        <v>9919158482.4108524</v>
      </c>
      <c r="AZ38">
        <v>10567270655.502705</v>
      </c>
      <c r="BA38">
        <v>10730828592.458956</v>
      </c>
      <c r="BB38">
        <v>10118459713.702379</v>
      </c>
      <c r="BC38">
        <v>12637273429.133932</v>
      </c>
      <c r="BD38">
        <v>15110642875.596531</v>
      </c>
      <c r="BE38">
        <v>13907464500.148876</v>
      </c>
      <c r="BF38">
        <v>14271738366.791723</v>
      </c>
      <c r="BG38">
        <v>15470087926.248444</v>
      </c>
      <c r="BH38">
        <v>13530749289.786123</v>
      </c>
      <c r="BI38">
        <v>15082636722.855951</v>
      </c>
      <c r="BJ38">
        <v>16105156375.584837</v>
      </c>
      <c r="BK38">
        <v>17031943186.13526</v>
      </c>
      <c r="BL38">
        <v>16725908661.941927</v>
      </c>
      <c r="BM38">
        <v>14960291540.528328</v>
      </c>
      <c r="BN38">
        <v>18737066306.965874</v>
      </c>
      <c r="BO38" s="190">
        <v>20352322157.146694</v>
      </c>
    </row>
    <row r="39" spans="1:67">
      <c r="A39" t="s">
        <v>554</v>
      </c>
      <c r="B39" t="s">
        <v>555</v>
      </c>
      <c r="C39" t="s">
        <v>1018</v>
      </c>
      <c r="D39" t="s">
        <v>1019</v>
      </c>
      <c r="E39">
        <v>112155598.30994262</v>
      </c>
      <c r="F39">
        <v>123134583.65375835</v>
      </c>
      <c r="G39">
        <v>124482773.99231553</v>
      </c>
      <c r="H39">
        <v>129379123.92353582</v>
      </c>
      <c r="I39">
        <v>142025078.68993855</v>
      </c>
      <c r="J39">
        <v>150574795.28223953</v>
      </c>
      <c r="K39">
        <v>157930018.37544778</v>
      </c>
      <c r="L39">
        <v>163820513.70142522</v>
      </c>
      <c r="M39">
        <v>191767441.79284662</v>
      </c>
      <c r="N39">
        <v>188039209.87631708</v>
      </c>
      <c r="O39">
        <v>189106529.18864462</v>
      </c>
      <c r="P39">
        <v>201450800.05656132</v>
      </c>
      <c r="Q39">
        <v>230317882.94163346</v>
      </c>
      <c r="R39">
        <v>271183081.97830194</v>
      </c>
      <c r="S39">
        <v>281398705.99400312</v>
      </c>
      <c r="T39">
        <v>378660015.66305155</v>
      </c>
      <c r="U39">
        <v>451152460.80853748</v>
      </c>
      <c r="V39">
        <v>507298148.42150623</v>
      </c>
      <c r="W39">
        <v>610578631.35994279</v>
      </c>
      <c r="X39">
        <v>700764746.89211905</v>
      </c>
      <c r="Y39">
        <v>797048196.97040796</v>
      </c>
      <c r="Z39">
        <v>694803624.04875684</v>
      </c>
      <c r="AA39">
        <v>748312391.44207501</v>
      </c>
      <c r="AB39">
        <v>658679332.63876092</v>
      </c>
      <c r="AC39">
        <v>637820670.60904586</v>
      </c>
      <c r="AD39">
        <v>864849836.84136152</v>
      </c>
      <c r="AE39">
        <v>1122265014.8637862</v>
      </c>
      <c r="AF39">
        <v>1200991976.2036412</v>
      </c>
      <c r="AG39">
        <v>1264899288.2796745</v>
      </c>
      <c r="AH39">
        <v>1233930279.030019</v>
      </c>
      <c r="AI39">
        <v>1440711459.411</v>
      </c>
      <c r="AJ39">
        <v>1377374987.5205169</v>
      </c>
      <c r="AK39">
        <v>1411917554.4548202</v>
      </c>
      <c r="AL39">
        <v>1278781259.3011675</v>
      </c>
      <c r="AM39">
        <v>851174357.309582</v>
      </c>
      <c r="AN39">
        <v>1115389673.9125004</v>
      </c>
      <c r="AO39">
        <v>1007791126.5622584</v>
      </c>
      <c r="AP39">
        <v>937741512.44757426</v>
      </c>
      <c r="AQ39">
        <v>967338390.36001945</v>
      </c>
      <c r="AR39">
        <v>999477510.68663239</v>
      </c>
      <c r="AS39">
        <v>916777282.65116835</v>
      </c>
      <c r="AT39">
        <v>932648604.4205749</v>
      </c>
      <c r="AU39">
        <v>996068145.60802054</v>
      </c>
      <c r="AV39">
        <v>1142315522.1989026</v>
      </c>
      <c r="AW39">
        <v>1272360516.6202202</v>
      </c>
      <c r="AX39">
        <v>1337894379.6264896</v>
      </c>
      <c r="AY39">
        <v>1461859762.6279109</v>
      </c>
      <c r="AZ39">
        <v>1699811293.2575986</v>
      </c>
      <c r="BA39">
        <v>1993407886.5640216</v>
      </c>
      <c r="BB39">
        <v>2067381663.7537796</v>
      </c>
      <c r="BC39">
        <v>2142591539.4352646</v>
      </c>
      <c r="BD39">
        <v>2437982706.5749931</v>
      </c>
      <c r="BE39">
        <v>2510126509.9950099</v>
      </c>
      <c r="BF39">
        <v>1691544110.6915028</v>
      </c>
      <c r="BG39">
        <v>1894813389.8817472</v>
      </c>
      <c r="BH39">
        <v>1695825714.2427018</v>
      </c>
      <c r="BI39">
        <v>1825018144.4618673</v>
      </c>
      <c r="BJ39">
        <v>2072349974.15272</v>
      </c>
      <c r="BK39">
        <v>2220979144.5200796</v>
      </c>
      <c r="BL39">
        <v>2221301350.7553682</v>
      </c>
      <c r="BM39">
        <v>2326720902.3574061</v>
      </c>
      <c r="BN39">
        <v>2516498412.3136091</v>
      </c>
      <c r="BO39" s="190">
        <v>2382618615.3562036</v>
      </c>
    </row>
    <row r="40" spans="1:67">
      <c r="A40" t="s">
        <v>556</v>
      </c>
      <c r="B40" t="s">
        <v>557</v>
      </c>
      <c r="C40" t="s">
        <v>1018</v>
      </c>
      <c r="D40" t="s">
        <v>1019</v>
      </c>
      <c r="E40">
        <v>40462398501.885849</v>
      </c>
      <c r="F40">
        <v>40935133543.157623</v>
      </c>
      <c r="G40">
        <v>42227357845.300941</v>
      </c>
      <c r="H40">
        <v>45029724490.389153</v>
      </c>
      <c r="I40">
        <v>49377963148.978134</v>
      </c>
      <c r="J40">
        <v>54515115736.001831</v>
      </c>
      <c r="K40">
        <v>61086991001.547737</v>
      </c>
      <c r="L40">
        <v>65668511127.259041</v>
      </c>
      <c r="M40">
        <v>71830047239.013931</v>
      </c>
      <c r="N40">
        <v>79148003144.706146</v>
      </c>
      <c r="O40">
        <v>88192257632.309311</v>
      </c>
      <c r="P40">
        <v>99605414680.041962</v>
      </c>
      <c r="Q40">
        <v>113463848873.6236</v>
      </c>
      <c r="R40">
        <v>131765642644.97198</v>
      </c>
      <c r="S40">
        <v>160946304010.36496</v>
      </c>
      <c r="T40">
        <v>174426742591.49753</v>
      </c>
      <c r="U40">
        <v>207265662814.81503</v>
      </c>
      <c r="V40">
        <v>212325176304.65448</v>
      </c>
      <c r="W40">
        <v>219377394594.97525</v>
      </c>
      <c r="X40">
        <v>243886024251.83405</v>
      </c>
      <c r="Y40">
        <v>274770252171.76193</v>
      </c>
      <c r="Z40">
        <v>307245842970.16663</v>
      </c>
      <c r="AA40">
        <v>314638903648.75934</v>
      </c>
      <c r="AB40">
        <v>341862996303.0661</v>
      </c>
      <c r="AC40">
        <v>356727872422.40796</v>
      </c>
      <c r="AD40">
        <v>366184030237.79468</v>
      </c>
      <c r="AE40">
        <v>379014731199.83112</v>
      </c>
      <c r="AF40">
        <v>433139928035.93146</v>
      </c>
      <c r="AG40">
        <v>509379677196.07129</v>
      </c>
      <c r="AH40">
        <v>567225367034.46509</v>
      </c>
      <c r="AI40">
        <v>596089064840.24805</v>
      </c>
      <c r="AJ40">
        <v>612513895512.6095</v>
      </c>
      <c r="AK40">
        <v>594376087449.38831</v>
      </c>
      <c r="AL40">
        <v>579059001030.92175</v>
      </c>
      <c r="AM40">
        <v>579944346807.26428</v>
      </c>
      <c r="AN40">
        <v>605941036992.13318</v>
      </c>
      <c r="AO40">
        <v>630597987889.28186</v>
      </c>
      <c r="AP40">
        <v>654987932556.60547</v>
      </c>
      <c r="AQ40">
        <v>633997734246.94543</v>
      </c>
      <c r="AR40">
        <v>678409995711.89343</v>
      </c>
      <c r="AS40">
        <v>744773415931.58704</v>
      </c>
      <c r="AT40">
        <v>738962729044.52539</v>
      </c>
      <c r="AU40">
        <v>760649334098.00549</v>
      </c>
      <c r="AV40">
        <v>895540646634.78699</v>
      </c>
      <c r="AW40">
        <v>1026690238278.2476</v>
      </c>
      <c r="AX40">
        <v>1173108598778.6763</v>
      </c>
      <c r="AY40">
        <v>1319264809590.9731</v>
      </c>
      <c r="AZ40">
        <v>1468820407783.2603</v>
      </c>
      <c r="BA40">
        <v>1552989690721.6497</v>
      </c>
      <c r="BB40">
        <v>1374625142157.2915</v>
      </c>
      <c r="BC40">
        <v>1617343367486.2585</v>
      </c>
      <c r="BD40">
        <v>1793326630174.5186</v>
      </c>
      <c r="BE40">
        <v>1828366481521.5952</v>
      </c>
      <c r="BF40">
        <v>1846597421834.9834</v>
      </c>
      <c r="BG40">
        <v>1805749878439.9412</v>
      </c>
      <c r="BH40">
        <v>1556508816217.1401</v>
      </c>
      <c r="BI40">
        <v>1527994741907.425</v>
      </c>
      <c r="BJ40">
        <v>1649265644244.095</v>
      </c>
      <c r="BK40">
        <v>1725297938435.7603</v>
      </c>
      <c r="BL40">
        <v>1743725183672.5212</v>
      </c>
      <c r="BM40">
        <v>1647598402302.6787</v>
      </c>
      <c r="BN40">
        <v>2001486745423.9233</v>
      </c>
      <c r="BO40" s="190">
        <v>2139840023673.811</v>
      </c>
    </row>
    <row r="41" spans="1:67">
      <c r="A41" t="s">
        <v>558</v>
      </c>
      <c r="B41" t="s">
        <v>559</v>
      </c>
      <c r="C41" t="s">
        <v>1018</v>
      </c>
      <c r="D41" t="s">
        <v>1019</v>
      </c>
      <c r="AI41">
        <v>255337810802.76193</v>
      </c>
      <c r="AJ41">
        <v>242591400512.37115</v>
      </c>
      <c r="AK41">
        <v>260007368667.58395</v>
      </c>
      <c r="AL41">
        <v>274156327273.20596</v>
      </c>
      <c r="AM41">
        <v>310993244630.0835</v>
      </c>
      <c r="AN41">
        <v>393416788946.65973</v>
      </c>
      <c r="AO41">
        <v>416196157690.06537</v>
      </c>
      <c r="AP41">
        <v>410169715860.14783</v>
      </c>
      <c r="AQ41">
        <v>448894610521.33051</v>
      </c>
      <c r="AR41">
        <v>435065044494.68524</v>
      </c>
      <c r="AS41">
        <v>428593201404.54437</v>
      </c>
      <c r="AT41">
        <v>468615587873.48389</v>
      </c>
      <c r="AU41">
        <v>528073833481.43927</v>
      </c>
      <c r="AV41">
        <v>634392770405.70215</v>
      </c>
      <c r="AW41">
        <v>763090766153.59326</v>
      </c>
      <c r="AX41">
        <v>886071848815.60059</v>
      </c>
      <c r="AY41">
        <v>1001568223853.4852</v>
      </c>
      <c r="AZ41">
        <v>1265418819111.2629</v>
      </c>
      <c r="BA41">
        <v>1530535154238.875</v>
      </c>
      <c r="BB41">
        <v>1289701858873.6423</v>
      </c>
      <c r="BC41">
        <v>1316398490312.2764</v>
      </c>
      <c r="BD41">
        <v>1454558246006.2261</v>
      </c>
      <c r="BE41">
        <v>1358875109415.3406</v>
      </c>
      <c r="BF41">
        <v>1417323424010.0364</v>
      </c>
      <c r="BG41">
        <v>1463549880656.8037</v>
      </c>
      <c r="BH41">
        <v>1293370353419.5264</v>
      </c>
      <c r="BI41">
        <v>1316495750803.6484</v>
      </c>
      <c r="BJ41">
        <v>1461216063229.7908</v>
      </c>
      <c r="BK41">
        <v>1648513132166.1563</v>
      </c>
      <c r="BL41">
        <v>1674114230083.2529</v>
      </c>
      <c r="BM41">
        <v>1665358949113.7229</v>
      </c>
      <c r="BN41">
        <v>1905555039662.6404</v>
      </c>
      <c r="BO41" s="190">
        <v>1946330897134.1575</v>
      </c>
    </row>
    <row r="42" spans="1:67">
      <c r="A42" t="s">
        <v>560</v>
      </c>
      <c r="B42" t="s">
        <v>561</v>
      </c>
      <c r="C42" t="s">
        <v>1018</v>
      </c>
      <c r="D42" t="s">
        <v>1019</v>
      </c>
      <c r="E42">
        <v>9522746879.7677193</v>
      </c>
      <c r="F42">
        <v>10712712645.666325</v>
      </c>
      <c r="G42">
        <v>11879982958.856014</v>
      </c>
      <c r="H42">
        <v>13063644016.038824</v>
      </c>
      <c r="I42">
        <v>14480556815.686848</v>
      </c>
      <c r="J42">
        <v>15346741928.500486</v>
      </c>
      <c r="K42">
        <v>16480058982.703571</v>
      </c>
      <c r="L42">
        <v>17740013478.353016</v>
      </c>
      <c r="M42">
        <v>18942730098.470623</v>
      </c>
      <c r="N42">
        <v>20524886962.524284</v>
      </c>
      <c r="Y42">
        <v>122557234458.21518</v>
      </c>
      <c r="Z42">
        <v>112242424557.83095</v>
      </c>
      <c r="AA42">
        <v>115044782162.74055</v>
      </c>
      <c r="AB42">
        <v>114632083163.39429</v>
      </c>
      <c r="AC42">
        <v>109456088574.23131</v>
      </c>
      <c r="AD42">
        <v>110979185023.14697</v>
      </c>
      <c r="AE42">
        <v>159088447135.69171</v>
      </c>
      <c r="AF42">
        <v>199237483444.44833</v>
      </c>
      <c r="AG42">
        <v>215540625298.98175</v>
      </c>
      <c r="AH42">
        <v>208102666687.04248</v>
      </c>
      <c r="AI42">
        <v>265771545360.20078</v>
      </c>
      <c r="AJ42">
        <v>268903256527.52451</v>
      </c>
      <c r="AK42">
        <v>279917776400.29889</v>
      </c>
      <c r="AL42">
        <v>272234456388.10187</v>
      </c>
      <c r="AM42">
        <v>301376707849.16931</v>
      </c>
      <c r="AN42">
        <v>352845006670.36322</v>
      </c>
      <c r="AO42">
        <v>340101207919.02979</v>
      </c>
      <c r="AP42">
        <v>294785659876.83563</v>
      </c>
      <c r="AQ42">
        <v>303456228792.49286</v>
      </c>
      <c r="AR42">
        <v>297882566712.48975</v>
      </c>
      <c r="AS42">
        <v>279209007352.66907</v>
      </c>
      <c r="AT42">
        <v>286580125206.28223</v>
      </c>
      <c r="AU42">
        <v>309299934075.76959</v>
      </c>
      <c r="AV42">
        <v>362088305988.74707</v>
      </c>
      <c r="AW42">
        <v>403914244451.96619</v>
      </c>
      <c r="AX42">
        <v>418292704114.27454</v>
      </c>
      <c r="AY42">
        <v>441619409123.41632</v>
      </c>
      <c r="AZ42">
        <v>490754683815.1438</v>
      </c>
      <c r="BA42">
        <v>567273005013.43372</v>
      </c>
      <c r="BB42">
        <v>554191679308.88416</v>
      </c>
      <c r="BC42">
        <v>598851028906.58032</v>
      </c>
      <c r="BD42">
        <v>715888126682.39587</v>
      </c>
      <c r="BE42">
        <v>686420221557.98987</v>
      </c>
      <c r="BF42">
        <v>706234937370.96753</v>
      </c>
      <c r="BG42">
        <v>726537808338.00049</v>
      </c>
      <c r="BH42">
        <v>694118186379.62781</v>
      </c>
      <c r="BI42">
        <v>687895460902.71326</v>
      </c>
      <c r="BJ42">
        <v>695200833086.4989</v>
      </c>
      <c r="BK42">
        <v>725562534363.89478</v>
      </c>
      <c r="BL42">
        <v>721369112726.72388</v>
      </c>
      <c r="BM42">
        <v>739913619797.44519</v>
      </c>
      <c r="BN42">
        <v>800640155387.26013</v>
      </c>
      <c r="BO42" s="190">
        <v>807706035351.75024</v>
      </c>
    </row>
    <row r="43" spans="1:67">
      <c r="A43" t="s">
        <v>562</v>
      </c>
      <c r="B43" t="s">
        <v>563</v>
      </c>
      <c r="C43" t="s">
        <v>1018</v>
      </c>
      <c r="D43" t="s">
        <v>1019</v>
      </c>
      <c r="AQ43">
        <v>5945677376.6147728</v>
      </c>
      <c r="AR43">
        <v>6262740656.8516426</v>
      </c>
      <c r="AS43">
        <v>6439703434.7102432</v>
      </c>
      <c r="AT43">
        <v>6232906290.4851017</v>
      </c>
      <c r="AU43">
        <v>6663669064.7482014</v>
      </c>
      <c r="AV43">
        <v>7332244897.9591827</v>
      </c>
      <c r="AW43">
        <v>8553643354.0827532</v>
      </c>
      <c r="AX43">
        <v>8827272727.2727261</v>
      </c>
      <c r="AY43">
        <v>9676172953.0818768</v>
      </c>
      <c r="AZ43">
        <v>11514605842.336935</v>
      </c>
      <c r="BI43">
        <v>9511207129.3545761</v>
      </c>
      <c r="BJ43">
        <v>9530244530.2445297</v>
      </c>
      <c r="BK43">
        <v>10422948632.421614</v>
      </c>
      <c r="BL43">
        <v>10381669645.136585</v>
      </c>
      <c r="BM43">
        <v>9811538461.5384617</v>
      </c>
      <c r="BN43">
        <v>11735662219.777197</v>
      </c>
    </row>
    <row r="44" spans="1:67">
      <c r="A44" t="s">
        <v>564</v>
      </c>
      <c r="B44" t="s">
        <v>565</v>
      </c>
      <c r="C44" t="s">
        <v>1018</v>
      </c>
      <c r="D44" t="s">
        <v>1019</v>
      </c>
      <c r="E44">
        <v>4109999999.9999995</v>
      </c>
      <c r="F44">
        <v>4828612639.178937</v>
      </c>
      <c r="G44">
        <v>5633224652.5909061</v>
      </c>
      <c r="H44">
        <v>5592044870.5158043</v>
      </c>
      <c r="I44">
        <v>5963077661.5630493</v>
      </c>
      <c r="J44">
        <v>6109341260.4630136</v>
      </c>
      <c r="K44">
        <v>7162377224.6391697</v>
      </c>
      <c r="L44">
        <v>7057104134.4901772</v>
      </c>
      <c r="M44">
        <v>7191615669.9946775</v>
      </c>
      <c r="N44">
        <v>8360001925.6063375</v>
      </c>
      <c r="O44">
        <v>9144514527.222578</v>
      </c>
      <c r="P44">
        <v>10876408930.358274</v>
      </c>
      <c r="Q44">
        <v>11833776659.227205</v>
      </c>
      <c r="R44">
        <v>16826412445.339376</v>
      </c>
      <c r="S44">
        <v>16209686087.62693</v>
      </c>
      <c r="T44">
        <v>7621570579.550271</v>
      </c>
      <c r="U44">
        <v>10338624283.434381</v>
      </c>
      <c r="V44">
        <v>13965594906.164165</v>
      </c>
      <c r="W44">
        <v>15992038366.809713</v>
      </c>
      <c r="X44">
        <v>21806136150.352406</v>
      </c>
      <c r="Y44">
        <v>29036709871.794872</v>
      </c>
      <c r="Z44">
        <v>34509878043.589745</v>
      </c>
      <c r="AA44">
        <v>25326722339.499115</v>
      </c>
      <c r="AB44">
        <v>20356389841.558617</v>
      </c>
      <c r="AC44">
        <v>19623025627.173717</v>
      </c>
      <c r="AD44">
        <v>17702885393.51902</v>
      </c>
      <c r="AE44">
        <v>18891048818.775158</v>
      </c>
      <c r="AF44">
        <v>22255745799.732578</v>
      </c>
      <c r="AG44">
        <v>26040052657.08432</v>
      </c>
      <c r="AH44">
        <v>29885218681.983452</v>
      </c>
      <c r="AI44">
        <v>33113525803.806705</v>
      </c>
      <c r="AJ44">
        <v>37835245155.932732</v>
      </c>
      <c r="AK44">
        <v>45964855773.987556</v>
      </c>
      <c r="AL44">
        <v>49298281355.631699</v>
      </c>
      <c r="AM44">
        <v>57008877553.410027</v>
      </c>
      <c r="AN44">
        <v>73446446283.016388</v>
      </c>
      <c r="AO44">
        <v>78575020639.472778</v>
      </c>
      <c r="AP44">
        <v>85728899954.448975</v>
      </c>
      <c r="AQ44">
        <v>81995749804.41571</v>
      </c>
      <c r="AR44">
        <v>75596598517.358582</v>
      </c>
      <c r="AS44">
        <v>78249883995.625504</v>
      </c>
      <c r="AT44">
        <v>71517267767.736008</v>
      </c>
      <c r="AU44">
        <v>70295232513.051483</v>
      </c>
      <c r="AV44">
        <v>76507853875.664856</v>
      </c>
      <c r="AW44">
        <v>99079365628.333282</v>
      </c>
      <c r="AX44">
        <v>122314960843.9218</v>
      </c>
      <c r="AY44">
        <v>153840051814.05875</v>
      </c>
      <c r="AZ44">
        <v>172565861848.89862</v>
      </c>
      <c r="BA44">
        <v>179663390874.65265</v>
      </c>
      <c r="BB44">
        <v>171412643623.96301</v>
      </c>
      <c r="BC44">
        <v>217105434199.50043</v>
      </c>
      <c r="BD44">
        <v>251224856981.29395</v>
      </c>
      <c r="BE44">
        <v>267175870677.6586</v>
      </c>
      <c r="BF44">
        <v>277239473853.80658</v>
      </c>
      <c r="BG44">
        <v>259405194672.93539</v>
      </c>
      <c r="BH44">
        <v>242496655711.51532</v>
      </c>
      <c r="BI44">
        <v>249298706449.18231</v>
      </c>
      <c r="BJ44">
        <v>276364936832.33075</v>
      </c>
      <c r="BK44">
        <v>295402646018.15057</v>
      </c>
      <c r="BL44">
        <v>278493308134.09631</v>
      </c>
      <c r="BM44">
        <v>254096103516.32416</v>
      </c>
      <c r="BN44">
        <v>316713577508.67279</v>
      </c>
      <c r="BO44" s="190">
        <v>301025249437.94666</v>
      </c>
    </row>
    <row r="45" spans="1:67">
      <c r="A45" t="s">
        <v>566</v>
      </c>
      <c r="B45" t="s">
        <v>567</v>
      </c>
      <c r="C45" t="s">
        <v>1018</v>
      </c>
      <c r="D45" t="s">
        <v>1019</v>
      </c>
      <c r="E45">
        <v>59716251765.175552</v>
      </c>
      <c r="F45">
        <v>50056688014.574402</v>
      </c>
      <c r="G45">
        <v>47209188355.545219</v>
      </c>
      <c r="H45">
        <v>50706616610.073219</v>
      </c>
      <c r="I45">
        <v>59708127657.731812</v>
      </c>
      <c r="J45">
        <v>70436011537.184143</v>
      </c>
      <c r="K45">
        <v>76720008644.913315</v>
      </c>
      <c r="L45">
        <v>72881367877.748428</v>
      </c>
      <c r="M45">
        <v>70846278963.092758</v>
      </c>
      <c r="N45">
        <v>79705618130.485992</v>
      </c>
      <c r="O45">
        <v>92602638697.415619</v>
      </c>
      <c r="P45">
        <v>99800597892.565002</v>
      </c>
      <c r="Q45">
        <v>113689285303.37708</v>
      </c>
      <c r="R45">
        <v>138543203562.72418</v>
      </c>
      <c r="S45">
        <v>144188964286.50159</v>
      </c>
      <c r="T45">
        <v>163429496442.80521</v>
      </c>
      <c r="U45">
        <v>153939238114.51764</v>
      </c>
      <c r="V45">
        <v>174935897086.30905</v>
      </c>
      <c r="W45">
        <v>149540752829.26828</v>
      </c>
      <c r="X45">
        <v>178280594413.04349</v>
      </c>
      <c r="Y45">
        <v>191149211575</v>
      </c>
      <c r="Z45">
        <v>195866382432.53967</v>
      </c>
      <c r="AA45">
        <v>205089699858.77859</v>
      </c>
      <c r="AB45">
        <v>230686747153.25671</v>
      </c>
      <c r="AC45">
        <v>259946510957.14288</v>
      </c>
      <c r="AD45">
        <v>309488028132.65308</v>
      </c>
      <c r="AE45">
        <v>300758100107.24634</v>
      </c>
      <c r="AF45">
        <v>272972974764.57401</v>
      </c>
      <c r="AG45">
        <v>312353631207.81891</v>
      </c>
      <c r="AH45">
        <v>347768051311.74084</v>
      </c>
      <c r="AI45">
        <v>360857912565.96558</v>
      </c>
      <c r="AJ45">
        <v>383373318083.62366</v>
      </c>
      <c r="AK45">
        <v>426915712715.85559</v>
      </c>
      <c r="AL45">
        <v>444731282435.51544</v>
      </c>
      <c r="AM45">
        <v>564321876346.38721</v>
      </c>
      <c r="AN45">
        <v>734484863889.35974</v>
      </c>
      <c r="AO45">
        <v>863749314718.53784</v>
      </c>
      <c r="AP45">
        <v>961602019650.61511</v>
      </c>
      <c r="AQ45">
        <v>1029060706187.8765</v>
      </c>
      <c r="AR45">
        <v>1094010482677.3937</v>
      </c>
      <c r="AS45">
        <v>1211331627478.9976</v>
      </c>
      <c r="AT45">
        <v>1339400843164.8811</v>
      </c>
      <c r="AU45">
        <v>1470557565965.5132</v>
      </c>
      <c r="AV45">
        <v>1660280610709.71</v>
      </c>
      <c r="AW45">
        <v>1955346808095.4397</v>
      </c>
      <c r="AX45">
        <v>2285961242869.5493</v>
      </c>
      <c r="AY45">
        <v>2752118542130.4038</v>
      </c>
      <c r="AZ45">
        <v>3550327569655.4697</v>
      </c>
      <c r="BA45">
        <v>4594336785737.6719</v>
      </c>
      <c r="BB45">
        <v>5101691085625.9502</v>
      </c>
      <c r="BC45">
        <v>6087191720866.6865</v>
      </c>
      <c r="BD45">
        <v>7551545321799.875</v>
      </c>
      <c r="BE45">
        <v>8532185615746.6201</v>
      </c>
      <c r="BF45">
        <v>9570470577244.8555</v>
      </c>
      <c r="BG45">
        <v>10475624783235.588</v>
      </c>
      <c r="BH45">
        <v>11061573199439.67</v>
      </c>
      <c r="BI45">
        <v>11233314018690.053</v>
      </c>
      <c r="BJ45">
        <v>12310491176727.342</v>
      </c>
      <c r="BK45">
        <v>13894907485398.887</v>
      </c>
      <c r="BL45">
        <v>14279968485747.98</v>
      </c>
      <c r="BM45">
        <v>14687743556969.611</v>
      </c>
      <c r="BN45">
        <v>17820459342451.18</v>
      </c>
      <c r="BO45" s="190">
        <v>17963170521079.832</v>
      </c>
    </row>
    <row r="46" spans="1:67">
      <c r="A46" t="s">
        <v>568</v>
      </c>
      <c r="B46" t="s">
        <v>569</v>
      </c>
      <c r="C46" t="s">
        <v>1018</v>
      </c>
      <c r="D46" t="s">
        <v>1019</v>
      </c>
      <c r="E46">
        <v>546203558.45696485</v>
      </c>
      <c r="F46">
        <v>618245635.13480139</v>
      </c>
      <c r="G46">
        <v>645284474.55922925</v>
      </c>
      <c r="H46">
        <v>761047198.97367692</v>
      </c>
      <c r="I46">
        <v>921063326.29279745</v>
      </c>
      <c r="J46">
        <v>919771228.03651834</v>
      </c>
      <c r="K46">
        <v>1024102881.9025662</v>
      </c>
      <c r="L46">
        <v>1082922725.7906902</v>
      </c>
      <c r="M46">
        <v>1281281277.9814804</v>
      </c>
      <c r="N46">
        <v>1361360291.5872977</v>
      </c>
      <c r="O46">
        <v>1455482795.2655528</v>
      </c>
      <c r="P46">
        <v>1584128511.2790167</v>
      </c>
      <c r="Q46">
        <v>1849400398.2522786</v>
      </c>
      <c r="R46">
        <v>2508421425.5766926</v>
      </c>
      <c r="S46">
        <v>3070152313.8385439</v>
      </c>
      <c r="T46">
        <v>3893839184.0684724</v>
      </c>
      <c r="U46">
        <v>4662053819.6290836</v>
      </c>
      <c r="V46">
        <v>6265068200.4305506</v>
      </c>
      <c r="W46">
        <v>7900526290.128768</v>
      </c>
      <c r="X46">
        <v>9142933955.5174942</v>
      </c>
      <c r="Y46">
        <v>10175617589.123192</v>
      </c>
      <c r="Z46">
        <v>8432589956.3489552</v>
      </c>
      <c r="AA46">
        <v>7567110855.8539095</v>
      </c>
      <c r="AB46">
        <v>6838184772.0786886</v>
      </c>
      <c r="AC46">
        <v>6841639250.2188597</v>
      </c>
      <c r="AD46">
        <v>6977650648.4740114</v>
      </c>
      <c r="AE46">
        <v>9158302111.361311</v>
      </c>
      <c r="AF46">
        <v>10087654451.341026</v>
      </c>
      <c r="AG46">
        <v>10255169812.018614</v>
      </c>
      <c r="AH46">
        <v>9757410629.7445583</v>
      </c>
      <c r="AI46">
        <v>10795850584.587406</v>
      </c>
      <c r="AJ46">
        <v>10492628587.859154</v>
      </c>
      <c r="AK46">
        <v>11152971284.447853</v>
      </c>
      <c r="AL46">
        <v>11045760268.615582</v>
      </c>
      <c r="AM46">
        <v>8313557515.3031168</v>
      </c>
      <c r="AN46">
        <v>11000146268.688433</v>
      </c>
      <c r="AO46">
        <v>18071152820.983219</v>
      </c>
      <c r="AP46">
        <v>18047558026.604939</v>
      </c>
      <c r="AQ46">
        <v>19619654770.06794</v>
      </c>
      <c r="AR46">
        <v>18870992455.730404</v>
      </c>
      <c r="AS46">
        <v>16577533891.568796</v>
      </c>
      <c r="AT46">
        <v>16810537038.413946</v>
      </c>
      <c r="AU46">
        <v>18054383333.522133</v>
      </c>
      <c r="AV46">
        <v>21251754334.799885</v>
      </c>
      <c r="AW46">
        <v>23510575668.558796</v>
      </c>
      <c r="AX46">
        <v>24036918719.337437</v>
      </c>
      <c r="AY46">
        <v>25281413268.252487</v>
      </c>
      <c r="AZ46">
        <v>28760090924.266552</v>
      </c>
      <c r="BA46">
        <v>34078240260.18721</v>
      </c>
      <c r="BB46">
        <v>33886813225.179016</v>
      </c>
      <c r="BC46">
        <v>34936307964.321251</v>
      </c>
      <c r="BD46">
        <v>36693710822.221573</v>
      </c>
      <c r="BE46">
        <v>36302302844.019623</v>
      </c>
      <c r="BF46">
        <v>42760235496.389809</v>
      </c>
      <c r="BG46">
        <v>48843005625.030693</v>
      </c>
      <c r="BH46">
        <v>45815005170.612717</v>
      </c>
      <c r="BI46">
        <v>48407761031.675758</v>
      </c>
      <c r="BJ46">
        <v>52512344033.962479</v>
      </c>
      <c r="BK46">
        <v>58522477744.7313</v>
      </c>
      <c r="BL46">
        <v>59898479821.194572</v>
      </c>
      <c r="BM46">
        <v>62982768371.517365</v>
      </c>
      <c r="BN46">
        <v>71811075954.676025</v>
      </c>
      <c r="BO46" s="190">
        <v>70018715016.696671</v>
      </c>
    </row>
    <row r="47" spans="1:67">
      <c r="A47" t="s">
        <v>570</v>
      </c>
      <c r="B47" t="s">
        <v>571</v>
      </c>
      <c r="C47" t="s">
        <v>1018</v>
      </c>
      <c r="D47" t="s">
        <v>1019</v>
      </c>
      <c r="E47">
        <v>614206067.49938893</v>
      </c>
      <c r="F47">
        <v>652777609.32880259</v>
      </c>
      <c r="G47">
        <v>694247865.267079</v>
      </c>
      <c r="H47">
        <v>718320845.93536234</v>
      </c>
      <c r="I47">
        <v>776650176.65391779</v>
      </c>
      <c r="J47">
        <v>814083264.8214277</v>
      </c>
      <c r="K47">
        <v>851112536.08510518</v>
      </c>
      <c r="L47">
        <v>936175260.8252151</v>
      </c>
      <c r="M47">
        <v>1046191218.8265252</v>
      </c>
      <c r="N47">
        <v>1100551487.1399179</v>
      </c>
      <c r="O47">
        <v>1151216992.7691362</v>
      </c>
      <c r="P47">
        <v>1236941395.5280006</v>
      </c>
      <c r="Q47">
        <v>1498251886.9125218</v>
      </c>
      <c r="R47">
        <v>1901393360.5687566</v>
      </c>
      <c r="S47">
        <v>2157415535.7941222</v>
      </c>
      <c r="T47">
        <v>2857037366.5100164</v>
      </c>
      <c r="U47">
        <v>2898089998.6171985</v>
      </c>
      <c r="V47">
        <v>3394664030.0438385</v>
      </c>
      <c r="W47">
        <v>4662852578.2981796</v>
      </c>
      <c r="X47">
        <v>5919002975.3013277</v>
      </c>
      <c r="Y47">
        <v>6674569033.5821791</v>
      </c>
      <c r="Z47">
        <v>6610938627.6043673</v>
      </c>
      <c r="AA47">
        <v>6611255969.8918886</v>
      </c>
      <c r="AB47">
        <v>6870200009.4566307</v>
      </c>
      <c r="AC47">
        <v>7311938029.9145546</v>
      </c>
      <c r="AD47">
        <v>8544810503.4740286</v>
      </c>
      <c r="AE47">
        <v>11857056214.330095</v>
      </c>
      <c r="AF47">
        <v>13049659963.704678</v>
      </c>
      <c r="AG47">
        <v>12236057369.911959</v>
      </c>
      <c r="AH47">
        <v>11012566178.182518</v>
      </c>
      <c r="AI47">
        <v>12314482629.908155</v>
      </c>
      <c r="AJ47">
        <v>11840192304.413246</v>
      </c>
      <c r="AK47">
        <v>12071775346.418661</v>
      </c>
      <c r="AL47">
        <v>16181814683.955118</v>
      </c>
      <c r="AM47">
        <v>8902446257.7044525</v>
      </c>
      <c r="AN47">
        <v>10864772473.052423</v>
      </c>
      <c r="AO47">
        <v>11093538840.538464</v>
      </c>
      <c r="AP47">
        <v>10789458426.108828</v>
      </c>
      <c r="AQ47">
        <v>11298144998.696455</v>
      </c>
      <c r="AR47">
        <v>11565826458.894493</v>
      </c>
      <c r="AS47">
        <v>10566579294.516369</v>
      </c>
      <c r="AT47">
        <v>10953485345.221582</v>
      </c>
      <c r="AU47">
        <v>12417251341.603222</v>
      </c>
      <c r="AV47">
        <v>15970315030.240648</v>
      </c>
      <c r="AW47">
        <v>18826214125.232536</v>
      </c>
      <c r="AX47">
        <v>19509852219.329796</v>
      </c>
      <c r="AY47">
        <v>20910512978.171627</v>
      </c>
      <c r="AZ47">
        <v>23928250410.058796</v>
      </c>
      <c r="BA47">
        <v>27715142005.570396</v>
      </c>
      <c r="BB47">
        <v>27932970297.064392</v>
      </c>
      <c r="BC47">
        <v>27507501809.241444</v>
      </c>
      <c r="BD47">
        <v>30630910513.061562</v>
      </c>
      <c r="BE47">
        <v>30155062302.844303</v>
      </c>
      <c r="BF47">
        <v>33728621190.211395</v>
      </c>
      <c r="BG47">
        <v>36386544716.079384</v>
      </c>
      <c r="BH47">
        <v>32210233021.573498</v>
      </c>
      <c r="BI47">
        <v>33814337040.780407</v>
      </c>
      <c r="BJ47">
        <v>36098547058.787704</v>
      </c>
      <c r="BK47">
        <v>39973842058.565033</v>
      </c>
      <c r="BL47">
        <v>39670976440.315842</v>
      </c>
      <c r="BM47">
        <v>40773241211.694084</v>
      </c>
      <c r="BN47">
        <v>45338285386.104424</v>
      </c>
      <c r="BO47" s="190">
        <v>44341646509.219322</v>
      </c>
    </row>
    <row r="48" spans="1:67">
      <c r="A48" t="s">
        <v>572</v>
      </c>
      <c r="B48" t="s">
        <v>573</v>
      </c>
      <c r="C48" t="s">
        <v>1018</v>
      </c>
      <c r="D48" t="s">
        <v>1019</v>
      </c>
      <c r="E48">
        <v>3359404117.647059</v>
      </c>
      <c r="F48">
        <v>3086746857.1428571</v>
      </c>
      <c r="G48">
        <v>3779841428.5714288</v>
      </c>
      <c r="H48">
        <v>6213185742.5742579</v>
      </c>
      <c r="I48">
        <v>2881545272.727273</v>
      </c>
      <c r="J48">
        <v>4043901818.1818185</v>
      </c>
      <c r="K48">
        <v>4532660181.818182</v>
      </c>
      <c r="L48">
        <v>3384063371.7579155</v>
      </c>
      <c r="M48">
        <v>3909780538.9221559</v>
      </c>
      <c r="N48">
        <v>5032434970.0598803</v>
      </c>
      <c r="O48">
        <v>4877684910.1796417</v>
      </c>
      <c r="P48">
        <v>5594770359.2814379</v>
      </c>
      <c r="Q48">
        <v>6173712814.3712568</v>
      </c>
      <c r="R48">
        <v>7870239461.0778446</v>
      </c>
      <c r="S48">
        <v>9596960179.6407204</v>
      </c>
      <c r="T48">
        <v>10237343173.652695</v>
      </c>
      <c r="U48">
        <v>9648583224.9921227</v>
      </c>
      <c r="V48">
        <v>12344424763.57268</v>
      </c>
      <c r="W48">
        <v>15372608002.392328</v>
      </c>
      <c r="X48">
        <v>15068422236.366274</v>
      </c>
      <c r="Y48">
        <v>14394927494.8647</v>
      </c>
      <c r="Z48">
        <v>12537821038.220222</v>
      </c>
      <c r="AA48">
        <v>13651667371.167646</v>
      </c>
      <c r="AB48">
        <v>11006712650.448143</v>
      </c>
      <c r="AC48">
        <v>7857729193.2034254</v>
      </c>
      <c r="AD48">
        <v>7195042616.0071001</v>
      </c>
      <c r="AE48">
        <v>8095367168.2176886</v>
      </c>
      <c r="AF48">
        <v>7661625472.5770502</v>
      </c>
      <c r="AG48">
        <v>8861299976.7415752</v>
      </c>
      <c r="AH48">
        <v>9021862775.1811161</v>
      </c>
      <c r="AI48">
        <v>9349764580.4117336</v>
      </c>
      <c r="AJ48">
        <v>9625436872.510746</v>
      </c>
      <c r="AK48">
        <v>8227343907.2667894</v>
      </c>
      <c r="AL48">
        <v>10706259936.742533</v>
      </c>
      <c r="AM48">
        <v>5820382248.2820158</v>
      </c>
      <c r="AN48">
        <v>5643439376.1049137</v>
      </c>
      <c r="AO48">
        <v>5771454939.6240406</v>
      </c>
      <c r="AP48">
        <v>6090840548.1878386</v>
      </c>
      <c r="AQ48">
        <v>6217806273.3108187</v>
      </c>
      <c r="AR48">
        <v>4711259427.272727</v>
      </c>
      <c r="AS48">
        <v>19088046305.7971</v>
      </c>
      <c r="AT48">
        <v>7438189100.333333</v>
      </c>
      <c r="AU48">
        <v>8728038525.1403351</v>
      </c>
      <c r="AV48">
        <v>8937567059.8775425</v>
      </c>
      <c r="AW48">
        <v>10297483481.223013</v>
      </c>
      <c r="AX48">
        <v>11964484457.523331</v>
      </c>
      <c r="AY48">
        <v>14451901696.387831</v>
      </c>
      <c r="AZ48">
        <v>16737071816.379993</v>
      </c>
      <c r="BA48">
        <v>19788515579.049801</v>
      </c>
      <c r="BB48">
        <v>18648372544.798374</v>
      </c>
      <c r="BC48">
        <v>21565721036.359119</v>
      </c>
      <c r="BD48">
        <v>25839749198.823307</v>
      </c>
      <c r="BE48">
        <v>29306235295.337059</v>
      </c>
      <c r="BF48">
        <v>32679745036.265877</v>
      </c>
      <c r="BG48">
        <v>35909040943.88501</v>
      </c>
      <c r="BH48">
        <v>37917706485.589607</v>
      </c>
      <c r="BI48">
        <v>37134801548.83596</v>
      </c>
      <c r="BJ48">
        <v>38019264804.512543</v>
      </c>
      <c r="BK48">
        <v>47568210020.933807</v>
      </c>
      <c r="BL48">
        <v>51775829868.766861</v>
      </c>
      <c r="BM48">
        <v>48716961864.537788</v>
      </c>
      <c r="BN48">
        <v>55350968593.059738</v>
      </c>
      <c r="BO48" s="190">
        <v>58065953573.324669</v>
      </c>
    </row>
    <row r="49" spans="1:67">
      <c r="A49" t="s">
        <v>574</v>
      </c>
      <c r="B49" t="s">
        <v>575</v>
      </c>
      <c r="C49" t="s">
        <v>1018</v>
      </c>
      <c r="D49" t="s">
        <v>1019</v>
      </c>
      <c r="E49">
        <v>131731862.56899737</v>
      </c>
      <c r="F49">
        <v>151675739.16062728</v>
      </c>
      <c r="G49">
        <v>166521239.86328056</v>
      </c>
      <c r="H49">
        <v>172233430.87150151</v>
      </c>
      <c r="I49">
        <v>185693724.84533143</v>
      </c>
      <c r="J49">
        <v>198318063.86083451</v>
      </c>
      <c r="K49">
        <v>220613582.36982656</v>
      </c>
      <c r="L49">
        <v>237397428.33642918</v>
      </c>
      <c r="M49">
        <v>251247458.01218912</v>
      </c>
      <c r="N49">
        <v>265040036.05911562</v>
      </c>
      <c r="O49">
        <v>274960699.85855001</v>
      </c>
      <c r="P49">
        <v>322128019.32356131</v>
      </c>
      <c r="Q49">
        <v>410669262.89792931</v>
      </c>
      <c r="R49">
        <v>541973362.48099756</v>
      </c>
      <c r="S49">
        <v>585364635.35474765</v>
      </c>
      <c r="T49">
        <v>767102679.0186218</v>
      </c>
      <c r="U49">
        <v>754549600.54818189</v>
      </c>
      <c r="V49">
        <v>765224030.63655174</v>
      </c>
      <c r="W49">
        <v>878771771.29105008</v>
      </c>
      <c r="X49">
        <v>1198749665.9506621</v>
      </c>
      <c r="Y49">
        <v>1705796849.5465524</v>
      </c>
      <c r="Z49">
        <v>1993512325.9228613</v>
      </c>
      <c r="AA49">
        <v>2160640566.539598</v>
      </c>
      <c r="AB49">
        <v>2097274289.6151164</v>
      </c>
      <c r="AC49">
        <v>2193581366.4072165</v>
      </c>
      <c r="AD49">
        <v>2160872541.4188676</v>
      </c>
      <c r="AE49">
        <v>1849268214.6818438</v>
      </c>
      <c r="AF49">
        <v>2297753649.2797918</v>
      </c>
      <c r="AG49">
        <v>2212536313.3349228</v>
      </c>
      <c r="AH49">
        <v>2389593021.9486561</v>
      </c>
      <c r="AI49">
        <v>2798746050.582356</v>
      </c>
      <c r="AJ49">
        <v>2724853507.6499581</v>
      </c>
      <c r="AK49">
        <v>2933222705.7974019</v>
      </c>
      <c r="AL49">
        <v>2684323618.4036517</v>
      </c>
      <c r="AM49">
        <v>1769365438.8852608</v>
      </c>
      <c r="AN49">
        <v>2116003868.1737292</v>
      </c>
      <c r="AO49">
        <v>2540697537.7042375</v>
      </c>
      <c r="AP49">
        <v>2322719101.2845545</v>
      </c>
      <c r="AQ49">
        <v>1949481380.6492543</v>
      </c>
      <c r="AR49">
        <v>2354772959.0618577</v>
      </c>
      <c r="AS49">
        <v>3227927697.4366474</v>
      </c>
      <c r="AT49">
        <v>2796704603.0444269</v>
      </c>
      <c r="AU49">
        <v>3034250926.180088</v>
      </c>
      <c r="AV49">
        <v>3503723086.7027969</v>
      </c>
      <c r="AW49">
        <v>4656974937.5522718</v>
      </c>
      <c r="AX49">
        <v>6650001684.9044991</v>
      </c>
      <c r="AY49">
        <v>8072305030.6848383</v>
      </c>
      <c r="AZ49">
        <v>8782703427.9608459</v>
      </c>
      <c r="BA49">
        <v>11649857662.138828</v>
      </c>
      <c r="BB49">
        <v>9723299908.1947289</v>
      </c>
      <c r="BC49">
        <v>13148396205.671043</v>
      </c>
      <c r="BD49">
        <v>15655383585.988747</v>
      </c>
      <c r="BE49">
        <v>17692911280.562691</v>
      </c>
      <c r="BF49">
        <v>17958720704.459644</v>
      </c>
      <c r="BG49">
        <v>17912907682.066257</v>
      </c>
      <c r="BH49">
        <v>11890259176.682888</v>
      </c>
      <c r="BI49">
        <v>10219341017.138281</v>
      </c>
      <c r="BJ49">
        <v>11094823676.59145</v>
      </c>
      <c r="BK49">
        <v>13670038019.859396</v>
      </c>
      <c r="BL49">
        <v>12750338736.166126</v>
      </c>
      <c r="BM49">
        <v>10483151093.687271</v>
      </c>
      <c r="BN49">
        <v>13366230821.329269</v>
      </c>
      <c r="BO49" s="190">
        <v>14615532210.052349</v>
      </c>
    </row>
    <row r="50" spans="1:67">
      <c r="A50" t="s">
        <v>576</v>
      </c>
      <c r="B50" t="s">
        <v>577</v>
      </c>
      <c r="C50" t="s">
        <v>1018</v>
      </c>
      <c r="D50" t="s">
        <v>1019</v>
      </c>
      <c r="E50">
        <v>4031152977.2465944</v>
      </c>
      <c r="F50">
        <v>4540447761.8717089</v>
      </c>
      <c r="G50">
        <v>4955537980.0585079</v>
      </c>
      <c r="H50">
        <v>4836166666.666667</v>
      </c>
      <c r="I50">
        <v>5973366666.666667</v>
      </c>
      <c r="J50">
        <v>5760761904.7619047</v>
      </c>
      <c r="K50">
        <v>5428518518.5185184</v>
      </c>
      <c r="L50">
        <v>5825170438.4870434</v>
      </c>
      <c r="M50">
        <v>5960212869.1296797</v>
      </c>
      <c r="N50">
        <v>6450175213.7492275</v>
      </c>
      <c r="O50">
        <v>7198360460.1988707</v>
      </c>
      <c r="P50">
        <v>7820380970.5367403</v>
      </c>
      <c r="Q50">
        <v>8671358732.6848583</v>
      </c>
      <c r="R50">
        <v>10315760000.33939</v>
      </c>
      <c r="S50">
        <v>12370029583.641897</v>
      </c>
      <c r="T50">
        <v>13098633901.867271</v>
      </c>
      <c r="U50">
        <v>15341403660.469809</v>
      </c>
      <c r="V50">
        <v>19470960619.129715</v>
      </c>
      <c r="W50">
        <v>23263511958.050903</v>
      </c>
      <c r="X50">
        <v>27940411250.27322</v>
      </c>
      <c r="Y50">
        <v>33400735644.048115</v>
      </c>
      <c r="Z50">
        <v>36388366869.03093</v>
      </c>
      <c r="AA50">
        <v>38968039721.748032</v>
      </c>
      <c r="AB50">
        <v>38729822781.599724</v>
      </c>
      <c r="AC50">
        <v>38253120737.967117</v>
      </c>
      <c r="AD50">
        <v>34894419525.281685</v>
      </c>
      <c r="AE50">
        <v>34942489683.971237</v>
      </c>
      <c r="AF50">
        <v>36373307085.088745</v>
      </c>
      <c r="AG50">
        <v>39212550050.422279</v>
      </c>
      <c r="AH50">
        <v>39540080200.393814</v>
      </c>
      <c r="AI50">
        <v>47844090709.990845</v>
      </c>
      <c r="AJ50">
        <v>49637993948.840195</v>
      </c>
      <c r="AK50">
        <v>58394443348.933167</v>
      </c>
      <c r="AL50">
        <v>66474101329.354294</v>
      </c>
      <c r="AM50">
        <v>81705497616.570282</v>
      </c>
      <c r="AN50">
        <v>92495970511.395065</v>
      </c>
      <c r="AO50">
        <v>97153389010.946609</v>
      </c>
      <c r="AP50">
        <v>106656492324.76929</v>
      </c>
      <c r="AQ50">
        <v>98486358604.178391</v>
      </c>
      <c r="AR50">
        <v>86278947620.590637</v>
      </c>
      <c r="AS50">
        <v>99875074935.083038</v>
      </c>
      <c r="AT50">
        <v>98200641189.156754</v>
      </c>
      <c r="AU50">
        <v>97945812789.853256</v>
      </c>
      <c r="AV50">
        <v>94644969146.135178</v>
      </c>
      <c r="AW50">
        <v>117092416651.3954</v>
      </c>
      <c r="AX50">
        <v>145600527535.7706</v>
      </c>
      <c r="AY50">
        <v>161792959247.8504</v>
      </c>
      <c r="AZ50">
        <v>206229536757.67429</v>
      </c>
      <c r="BA50">
        <v>242504150472.93127</v>
      </c>
      <c r="BB50">
        <v>232468666665.15262</v>
      </c>
      <c r="BC50">
        <v>286498534094.96326</v>
      </c>
      <c r="BD50">
        <v>334966134865.30542</v>
      </c>
      <c r="BE50">
        <v>370691143086.76093</v>
      </c>
      <c r="BF50">
        <v>382093697077.68494</v>
      </c>
      <c r="BG50">
        <v>381240864422.40662</v>
      </c>
      <c r="BH50">
        <v>293492370228.84717</v>
      </c>
      <c r="BI50">
        <v>282720100286.22815</v>
      </c>
      <c r="BJ50">
        <v>311866875135.57623</v>
      </c>
      <c r="BK50">
        <v>334198218100.71594</v>
      </c>
      <c r="BL50">
        <v>323031701210.76727</v>
      </c>
      <c r="BM50">
        <v>270150956772.56732</v>
      </c>
      <c r="BN50">
        <v>318511813576.97217</v>
      </c>
      <c r="BO50" s="190">
        <v>343939445259.48724</v>
      </c>
    </row>
    <row r="51" spans="1:67">
      <c r="A51" t="s">
        <v>578</v>
      </c>
      <c r="B51" t="s">
        <v>579</v>
      </c>
      <c r="C51" t="s">
        <v>1018</v>
      </c>
      <c r="D51" t="s">
        <v>1019</v>
      </c>
      <c r="Y51">
        <v>212218261.54140893</v>
      </c>
      <c r="Z51">
        <v>196349931.60257471</v>
      </c>
      <c r="AA51">
        <v>184009013.50193912</v>
      </c>
      <c r="AB51">
        <v>191621954.90903893</v>
      </c>
      <c r="AC51">
        <v>184697225.61905673</v>
      </c>
      <c r="AD51">
        <v>196726096.46777335</v>
      </c>
      <c r="AE51">
        <v>279197721.82498914</v>
      </c>
      <c r="AF51">
        <v>337525853.01580954</v>
      </c>
      <c r="AG51">
        <v>356500032.83085006</v>
      </c>
      <c r="AH51">
        <v>341476768.07969958</v>
      </c>
      <c r="AI51">
        <v>429622178.04298443</v>
      </c>
      <c r="AJ51">
        <v>424108769.12446463</v>
      </c>
      <c r="AK51">
        <v>457388651.90244406</v>
      </c>
      <c r="AL51">
        <v>452881475.07695633</v>
      </c>
      <c r="AM51">
        <v>319189184.2925685</v>
      </c>
      <c r="AN51">
        <v>398461796.74169254</v>
      </c>
      <c r="AO51">
        <v>396053806.39955705</v>
      </c>
      <c r="AP51">
        <v>364445600.13315159</v>
      </c>
      <c r="AQ51">
        <v>370106745.98028666</v>
      </c>
      <c r="AR51">
        <v>382454989.94531095</v>
      </c>
      <c r="AS51">
        <v>351136579.79792869</v>
      </c>
      <c r="AT51">
        <v>378512024.11533797</v>
      </c>
      <c r="AU51">
        <v>425964681.14894468</v>
      </c>
      <c r="AV51">
        <v>546885223.1791327</v>
      </c>
      <c r="AW51">
        <v>633706110.44522548</v>
      </c>
      <c r="AX51">
        <v>653845169.18970764</v>
      </c>
      <c r="AY51">
        <v>698431794.45854926</v>
      </c>
      <c r="AZ51">
        <v>795673153.18343496</v>
      </c>
      <c r="BA51">
        <v>915659107.76163745</v>
      </c>
      <c r="BB51">
        <v>905341173.97367406</v>
      </c>
      <c r="BC51">
        <v>907978731.70211816</v>
      </c>
      <c r="BD51">
        <v>1023086272.696221</v>
      </c>
      <c r="BE51">
        <v>1015843491.2463779</v>
      </c>
      <c r="BF51">
        <v>1116224107.1712325</v>
      </c>
      <c r="BG51">
        <v>1149587659.745049</v>
      </c>
      <c r="BH51">
        <v>966029599.80132174</v>
      </c>
      <c r="BI51">
        <v>1012835492.5158547</v>
      </c>
      <c r="BJ51">
        <v>1077439756.1222379</v>
      </c>
      <c r="BK51">
        <v>1188797449.9603579</v>
      </c>
      <c r="BL51">
        <v>1195019531.0367079</v>
      </c>
      <c r="BM51">
        <v>1225039195.9374392</v>
      </c>
      <c r="BN51">
        <v>1296089479.4582407</v>
      </c>
      <c r="BO51" s="190">
        <v>1242519407.2782135</v>
      </c>
    </row>
    <row r="52" spans="1:67">
      <c r="A52" t="s">
        <v>580</v>
      </c>
      <c r="B52" t="s">
        <v>581</v>
      </c>
      <c r="C52" t="s">
        <v>1018</v>
      </c>
      <c r="D52" t="s">
        <v>1019</v>
      </c>
      <c r="Y52">
        <v>142246816.52877709</v>
      </c>
      <c r="Z52">
        <v>139468210.07378215</v>
      </c>
      <c r="AA52">
        <v>140630678.18153432</v>
      </c>
      <c r="AB52">
        <v>138476174.97806954</v>
      </c>
      <c r="AC52">
        <v>132019039.11087205</v>
      </c>
      <c r="AD52">
        <v>137728205.31525761</v>
      </c>
      <c r="AE52">
        <v>190651168.35232836</v>
      </c>
      <c r="AF52">
        <v>235253063.62768674</v>
      </c>
      <c r="AG52">
        <v>264308140.28514937</v>
      </c>
      <c r="AH52">
        <v>267448570.27134773</v>
      </c>
      <c r="AI52">
        <v>306890961.18880135</v>
      </c>
      <c r="AJ52">
        <v>319827058.59287477</v>
      </c>
      <c r="AK52">
        <v>357160985.32741332</v>
      </c>
      <c r="AL52">
        <v>490417389.68256927</v>
      </c>
      <c r="AM52">
        <v>406580652.33053684</v>
      </c>
      <c r="AN52">
        <v>487148993.53310871</v>
      </c>
      <c r="AO52">
        <v>501979271.86989433</v>
      </c>
      <c r="AP52">
        <v>490608657.92497611</v>
      </c>
      <c r="AQ52">
        <v>521910560.52486807</v>
      </c>
      <c r="AR52">
        <v>592416703.05887806</v>
      </c>
      <c r="AS52">
        <v>539227277.62641084</v>
      </c>
      <c r="AT52">
        <v>563090488.85402167</v>
      </c>
      <c r="AU52">
        <v>620507385.70220566</v>
      </c>
      <c r="AV52">
        <v>813260468.87383366</v>
      </c>
      <c r="AW52">
        <v>924940012.85542047</v>
      </c>
      <c r="AX52">
        <v>972241682.104792</v>
      </c>
      <c r="AY52">
        <v>1107571459.0230646</v>
      </c>
      <c r="AZ52">
        <v>1649621735.4134324</v>
      </c>
      <c r="BA52">
        <v>1959620652.5074551</v>
      </c>
      <c r="BB52">
        <v>1852334581.4753435</v>
      </c>
      <c r="BC52">
        <v>1824751459.6930368</v>
      </c>
      <c r="BD52">
        <v>2046817974.9083784</v>
      </c>
      <c r="BE52">
        <v>1913081206.3205247</v>
      </c>
      <c r="BF52">
        <v>2028910915.1644647</v>
      </c>
      <c r="BG52">
        <v>2041930125.4297915</v>
      </c>
      <c r="BH52">
        <v>1749857628.4071629</v>
      </c>
      <c r="BI52">
        <v>1849789992.7432771</v>
      </c>
      <c r="BJ52">
        <v>1996741544.6154883</v>
      </c>
      <c r="BK52">
        <v>2205099509.1592102</v>
      </c>
      <c r="BL52">
        <v>2266752197.4261708</v>
      </c>
      <c r="BM52">
        <v>1878277311.2252951</v>
      </c>
      <c r="BN52">
        <v>2091741774.1077161</v>
      </c>
      <c r="BO52" s="190">
        <v>2314816792.0629125</v>
      </c>
    </row>
    <row r="53" spans="1:67">
      <c r="A53" t="s">
        <v>582</v>
      </c>
      <c r="B53" t="s">
        <v>583</v>
      </c>
      <c r="C53" t="s">
        <v>1018</v>
      </c>
      <c r="D53" t="s">
        <v>1019</v>
      </c>
      <c r="E53">
        <v>507513829.99485475</v>
      </c>
      <c r="F53">
        <v>490325181.61427474</v>
      </c>
      <c r="G53">
        <v>479180824.34850603</v>
      </c>
      <c r="H53">
        <v>511902136.80997276</v>
      </c>
      <c r="I53">
        <v>542578367.24259782</v>
      </c>
      <c r="J53">
        <v>592981161.76067638</v>
      </c>
      <c r="K53">
        <v>647305629.63908017</v>
      </c>
      <c r="L53">
        <v>699456618.2740463</v>
      </c>
      <c r="M53">
        <v>773841493.68258739</v>
      </c>
      <c r="N53">
        <v>853630203.04880452</v>
      </c>
      <c r="O53">
        <v>984830157.6543895</v>
      </c>
      <c r="P53">
        <v>1077147482.5107365</v>
      </c>
      <c r="Q53">
        <v>1238251695.740505</v>
      </c>
      <c r="R53">
        <v>1528925769.809433</v>
      </c>
      <c r="S53">
        <v>1666544754.3085177</v>
      </c>
      <c r="T53">
        <v>1960863465.806402</v>
      </c>
      <c r="U53">
        <v>2412555426.1858292</v>
      </c>
      <c r="V53">
        <v>3072427013.1939821</v>
      </c>
      <c r="W53">
        <v>3523208810.2127433</v>
      </c>
      <c r="X53">
        <v>4035519323.6914258</v>
      </c>
      <c r="Y53">
        <v>4831447001.6836452</v>
      </c>
      <c r="Z53">
        <v>2623803055.6985679</v>
      </c>
      <c r="AA53">
        <v>2606623577.8574958</v>
      </c>
      <c r="AB53">
        <v>3146772656.3741002</v>
      </c>
      <c r="AC53">
        <v>3660477828.8579845</v>
      </c>
      <c r="AD53">
        <v>3919203960.3960395</v>
      </c>
      <c r="AE53">
        <v>4418983870.967742</v>
      </c>
      <c r="AF53">
        <v>4532952047.1562843</v>
      </c>
      <c r="AG53">
        <v>4614629898.4034834</v>
      </c>
      <c r="AH53">
        <v>5251025767.4762669</v>
      </c>
      <c r="AI53">
        <v>5711687786.7598858</v>
      </c>
      <c r="AJ53">
        <v>7196276092.4609976</v>
      </c>
      <c r="AK53">
        <v>8564041894.9293804</v>
      </c>
      <c r="AL53">
        <v>9582868509.8999805</v>
      </c>
      <c r="AM53">
        <v>10486787030.348024</v>
      </c>
      <c r="AN53">
        <v>11578594259.867506</v>
      </c>
      <c r="AO53">
        <v>11678424507.245678</v>
      </c>
      <c r="AP53">
        <v>12614602382.201204</v>
      </c>
      <c r="AQ53">
        <v>13684255946.576462</v>
      </c>
      <c r="AR53">
        <v>14254866281.153738</v>
      </c>
      <c r="AS53">
        <v>15013629658.65213</v>
      </c>
      <c r="AT53">
        <v>15976174336.972055</v>
      </c>
      <c r="AU53">
        <v>16578820687.28809</v>
      </c>
      <c r="AV53">
        <v>17271760506.948277</v>
      </c>
      <c r="AW53">
        <v>18610594846.208298</v>
      </c>
      <c r="AX53">
        <v>20040642476.98167</v>
      </c>
      <c r="AY53">
        <v>22715540324.303177</v>
      </c>
      <c r="AZ53">
        <v>26884700345.034168</v>
      </c>
      <c r="BA53">
        <v>30801744881.000069</v>
      </c>
      <c r="BB53">
        <v>30745714326.94862</v>
      </c>
      <c r="BC53">
        <v>37658614803.277481</v>
      </c>
      <c r="BD53">
        <v>42762613705.783485</v>
      </c>
      <c r="BE53">
        <v>47231655433.466644</v>
      </c>
      <c r="BF53">
        <v>50949668885.987549</v>
      </c>
      <c r="BG53">
        <v>52016408923.928871</v>
      </c>
      <c r="BH53">
        <v>56441920823.763199</v>
      </c>
      <c r="BI53">
        <v>58847019584.914368</v>
      </c>
      <c r="BJ53">
        <v>60516044623.48761</v>
      </c>
      <c r="BK53">
        <v>62420164964.698738</v>
      </c>
      <c r="BL53">
        <v>64417670555.782127</v>
      </c>
      <c r="BM53">
        <v>62395610764.070541</v>
      </c>
      <c r="BN53">
        <v>64616482167.747513</v>
      </c>
      <c r="BO53" s="190">
        <v>68380838316.277687</v>
      </c>
    </row>
    <row r="54" spans="1:67">
      <c r="A54" t="s">
        <v>584</v>
      </c>
      <c r="B54" t="s">
        <v>585</v>
      </c>
      <c r="C54" t="s">
        <v>1018</v>
      </c>
      <c r="D54" t="s">
        <v>1019</v>
      </c>
      <c r="E54">
        <v>1880325752.2769554</v>
      </c>
      <c r="F54">
        <v>2038322827.2831333</v>
      </c>
      <c r="G54">
        <v>2153917654.8721371</v>
      </c>
      <c r="H54">
        <v>2290336890.9231329</v>
      </c>
      <c r="I54">
        <v>2470289708.5394812</v>
      </c>
      <c r="J54">
        <v>2661014415.8630834</v>
      </c>
      <c r="K54">
        <v>2888723567.1039295</v>
      </c>
      <c r="L54">
        <v>3102559321.5937171</v>
      </c>
      <c r="M54">
        <v>3083639279.1631451</v>
      </c>
      <c r="N54">
        <v>3359755873.6523628</v>
      </c>
      <c r="O54">
        <v>3695311705.1814895</v>
      </c>
      <c r="P54">
        <v>4017469942.9706383</v>
      </c>
      <c r="Q54">
        <v>4639346339.9348049</v>
      </c>
      <c r="R54">
        <v>5076128906.8503313</v>
      </c>
      <c r="S54">
        <v>6595536763.8741245</v>
      </c>
      <c r="T54">
        <v>7706927757.5883617</v>
      </c>
      <c r="U54">
        <v>7932366003.3472271</v>
      </c>
      <c r="V54">
        <v>9210519153.4788609</v>
      </c>
      <c r="W54">
        <v>9433730362.323307</v>
      </c>
      <c r="X54">
        <v>10835454135.430513</v>
      </c>
      <c r="Y54">
        <v>13495237652.20249</v>
      </c>
      <c r="Z54">
        <v>14890283926.40851</v>
      </c>
      <c r="AA54">
        <v>16517790345.786825</v>
      </c>
      <c r="AB54">
        <v>16735543669.624264</v>
      </c>
      <c r="AC54">
        <v>15982824810.112768</v>
      </c>
      <c r="AD54">
        <v>15814763265.96315</v>
      </c>
      <c r="AE54">
        <v>14441261965.780909</v>
      </c>
      <c r="AF54">
        <v>15521767449.363405</v>
      </c>
      <c r="AG54">
        <v>16459954911.607769</v>
      </c>
      <c r="AH54">
        <v>16872865240.850355</v>
      </c>
      <c r="AI54">
        <v>18149076125.768444</v>
      </c>
      <c r="AJ54">
        <v>18032792661.637135</v>
      </c>
      <c r="AK54">
        <v>17750354024.322315</v>
      </c>
      <c r="AL54">
        <v>19224165269.235394</v>
      </c>
      <c r="AM54">
        <v>20205168289.82703</v>
      </c>
      <c r="AN54">
        <v>22270861759.544807</v>
      </c>
      <c r="AO54">
        <v>24291634283.2029</v>
      </c>
      <c r="AP54">
        <v>28416253263.307064</v>
      </c>
      <c r="AQ54">
        <v>30354024137.654743</v>
      </c>
      <c r="AR54">
        <v>32186912968.843258</v>
      </c>
      <c r="AS54">
        <v>34533836399.502869</v>
      </c>
      <c r="AT54">
        <v>35575792426.039047</v>
      </c>
      <c r="AU54">
        <v>37324429141.845955</v>
      </c>
      <c r="AV54">
        <v>39887632895.123985</v>
      </c>
      <c r="AW54">
        <v>43625669537.959648</v>
      </c>
      <c r="AX54">
        <v>49307227387.136299</v>
      </c>
      <c r="AY54">
        <v>56074290119.342987</v>
      </c>
      <c r="AZ54">
        <v>62328938789.320938</v>
      </c>
      <c r="BA54">
        <v>70781391356.035629</v>
      </c>
      <c r="BB54">
        <v>59840574173.76149</v>
      </c>
      <c r="BC54">
        <v>64939019150.204788</v>
      </c>
      <c r="BD54">
        <v>70074558334.330963</v>
      </c>
      <c r="BE54">
        <v>73844945660.746338</v>
      </c>
      <c r="BF54">
        <v>75227025825.655014</v>
      </c>
      <c r="BG54">
        <v>76921753855.80632</v>
      </c>
      <c r="BH54">
        <v>75480329446.946289</v>
      </c>
      <c r="BI54">
        <v>70977854236.846985</v>
      </c>
      <c r="BJ54">
        <v>73482494257.102875</v>
      </c>
      <c r="BK54">
        <v>76247249561.298065</v>
      </c>
      <c r="BL54">
        <v>77282796215.9198</v>
      </c>
      <c r="BM54">
        <v>65994922945.392448</v>
      </c>
      <c r="BN54">
        <v>75672802626.704361</v>
      </c>
      <c r="BO54" s="190">
        <v>92935645972.957382</v>
      </c>
    </row>
    <row r="55" spans="1:67">
      <c r="A55" t="s">
        <v>586</v>
      </c>
      <c r="B55" t="s">
        <v>587</v>
      </c>
      <c r="C55" t="s">
        <v>1018</v>
      </c>
      <c r="D55" t="s">
        <v>1019</v>
      </c>
      <c r="O55">
        <v>5693005200</v>
      </c>
      <c r="P55">
        <v>6914658400</v>
      </c>
      <c r="Q55">
        <v>8135150891.9202518</v>
      </c>
      <c r="R55">
        <v>9987709650.1809406</v>
      </c>
      <c r="S55">
        <v>11405957317.073172</v>
      </c>
      <c r="T55">
        <v>13027415243.902439</v>
      </c>
      <c r="U55">
        <v>13789579902.557858</v>
      </c>
      <c r="V55">
        <v>14206158674.698795</v>
      </c>
      <c r="W55">
        <v>17844705324.675323</v>
      </c>
      <c r="X55">
        <v>19584443287.671234</v>
      </c>
      <c r="Y55">
        <v>19912889861.111111</v>
      </c>
      <c r="Z55">
        <v>20150254096.385544</v>
      </c>
      <c r="AA55">
        <v>20953510235.294117</v>
      </c>
      <c r="AB55">
        <v>22204940512.223515</v>
      </c>
      <c r="AC55">
        <v>24039383608.42345</v>
      </c>
      <c r="AD55">
        <v>22920490774.101974</v>
      </c>
      <c r="AE55">
        <v>24226574634.029278</v>
      </c>
      <c r="AF55">
        <v>25213935012.081902</v>
      </c>
      <c r="AG55">
        <v>27458999472.295513</v>
      </c>
      <c r="AH55">
        <v>27023468665.897732</v>
      </c>
      <c r="AI55">
        <v>28645436569.148937</v>
      </c>
      <c r="AJ55">
        <v>24316556025.658524</v>
      </c>
      <c r="AK55">
        <v>22085858243.243244</v>
      </c>
      <c r="AL55">
        <v>22367254864.864864</v>
      </c>
      <c r="AM55">
        <v>28448326756.756756</v>
      </c>
      <c r="AN55">
        <v>30429803651.2192</v>
      </c>
      <c r="AO55">
        <v>25017368700</v>
      </c>
      <c r="AP55">
        <v>25365908100</v>
      </c>
      <c r="AQ55">
        <v>25736331200</v>
      </c>
      <c r="AR55">
        <v>28364615200</v>
      </c>
      <c r="AS55">
        <v>30565400000</v>
      </c>
      <c r="AT55">
        <v>31682400000</v>
      </c>
      <c r="AU55">
        <v>33590500000</v>
      </c>
      <c r="AV55">
        <v>35901200000</v>
      </c>
      <c r="AW55">
        <v>38203000000</v>
      </c>
      <c r="AX55">
        <v>42643836100</v>
      </c>
      <c r="AY55">
        <v>48835925925.925926</v>
      </c>
      <c r="AZ55">
        <v>54262870370.370369</v>
      </c>
      <c r="BA55">
        <v>56302129629.629623</v>
      </c>
      <c r="BB55">
        <v>57481481481.481476</v>
      </c>
      <c r="BC55">
        <v>59562962962.962959</v>
      </c>
      <c r="BD55">
        <v>68990000000</v>
      </c>
      <c r="BE55">
        <v>73141000000</v>
      </c>
      <c r="BF55">
        <v>77148000000</v>
      </c>
      <c r="BG55">
        <v>80656000000</v>
      </c>
      <c r="BH55">
        <v>87133000000</v>
      </c>
      <c r="BI55">
        <v>91370000000</v>
      </c>
      <c r="BJ55">
        <v>96851000000</v>
      </c>
      <c r="BK55">
        <v>100050000000</v>
      </c>
      <c r="BL55">
        <v>103428000000</v>
      </c>
      <c r="BM55">
        <v>107352000000</v>
      </c>
    </row>
    <row r="56" spans="1:67">
      <c r="A56" t="s">
        <v>588</v>
      </c>
      <c r="B56" t="s">
        <v>589</v>
      </c>
      <c r="C56" t="s">
        <v>1018</v>
      </c>
      <c r="D56" t="s">
        <v>1019</v>
      </c>
      <c r="BD56">
        <v>2933128491.6201115</v>
      </c>
      <c r="BE56">
        <v>3024525139.6648045</v>
      </c>
      <c r="BF56">
        <v>3039944134.0782123</v>
      </c>
      <c r="BG56">
        <v>3048435754.1899443</v>
      </c>
      <c r="BH56">
        <v>3042737430.1675978</v>
      </c>
      <c r="BI56">
        <v>3014748603.3519554</v>
      </c>
      <c r="BJ56">
        <v>3009497206.7039104</v>
      </c>
      <c r="BK56">
        <v>3020388826.8156424</v>
      </c>
      <c r="BL56">
        <v>2995185474.8603354</v>
      </c>
      <c r="BM56">
        <v>2496174748.6033521</v>
      </c>
      <c r="BN56">
        <v>2699612458.1005588</v>
      </c>
    </row>
    <row r="57" spans="1:67">
      <c r="A57" t="s">
        <v>590</v>
      </c>
      <c r="B57" t="s">
        <v>591</v>
      </c>
      <c r="C57" t="s">
        <v>1018</v>
      </c>
      <c r="D57" t="s">
        <v>1019</v>
      </c>
      <c r="AY57">
        <v>4200288282.1015687</v>
      </c>
      <c r="AZ57">
        <v>4466278030.5916739</v>
      </c>
      <c r="BA57">
        <v>4585948969.3322334</v>
      </c>
      <c r="BB57">
        <v>4281714618.0323763</v>
      </c>
      <c r="BC57">
        <v>4156841163.777627</v>
      </c>
      <c r="BD57">
        <v>4186073160.1825328</v>
      </c>
      <c r="BE57">
        <v>4291004485.5680346</v>
      </c>
      <c r="BF57">
        <v>4405796081.1598406</v>
      </c>
      <c r="BG57">
        <v>4562853582.324625</v>
      </c>
      <c r="BH57">
        <v>4708167255.2872686</v>
      </c>
      <c r="BI57">
        <v>4909322200.0021238</v>
      </c>
      <c r="BJ57">
        <v>5166281293.1871529</v>
      </c>
      <c r="BK57">
        <v>5530178498.9078274</v>
      </c>
      <c r="BL57">
        <v>5941896599.5733261</v>
      </c>
      <c r="BM57">
        <v>5647224973.038785</v>
      </c>
      <c r="BN57">
        <v>6028373541.4743385</v>
      </c>
    </row>
    <row r="58" spans="1:67">
      <c r="A58" t="s">
        <v>592</v>
      </c>
      <c r="B58" t="s">
        <v>593</v>
      </c>
      <c r="C58" t="s">
        <v>1018</v>
      </c>
      <c r="D58" t="s">
        <v>1019</v>
      </c>
      <c r="T58">
        <v>489914760.68280709</v>
      </c>
      <c r="U58">
        <v>576090073.71503592</v>
      </c>
      <c r="V58">
        <v>734887973.97580564</v>
      </c>
      <c r="W58">
        <v>964026512.1978389</v>
      </c>
      <c r="X58">
        <v>1288715209.5808384</v>
      </c>
      <c r="Y58">
        <v>2154311276.9485903</v>
      </c>
      <c r="Z58">
        <v>2087496373.7796376</v>
      </c>
      <c r="AA58">
        <v>2159242416.7694201</v>
      </c>
      <c r="AB58">
        <v>2160364071.1902113</v>
      </c>
      <c r="AC58">
        <v>2278248953.1405787</v>
      </c>
      <c r="AD58">
        <v>2430411900.1919384</v>
      </c>
      <c r="AE58">
        <v>3090734463.2768359</v>
      </c>
      <c r="AF58">
        <v>3704813885.5054812</v>
      </c>
      <c r="AG58">
        <v>4278792597.2396483</v>
      </c>
      <c r="AH58">
        <v>4563482603.5502958</v>
      </c>
      <c r="AI58">
        <v>5591130217.6696539</v>
      </c>
      <c r="AJ58">
        <v>5770197348.484848</v>
      </c>
      <c r="AK58">
        <v>6912150456.3233376</v>
      </c>
      <c r="AL58">
        <v>6590291048.2921085</v>
      </c>
      <c r="AM58">
        <v>7425703928.5714293</v>
      </c>
      <c r="AN58">
        <v>9933133247.089262</v>
      </c>
      <c r="AO58">
        <v>10011918444.165621</v>
      </c>
      <c r="AP58">
        <v>9547818700.1140251</v>
      </c>
      <c r="AQ58">
        <v>10248617647.058823</v>
      </c>
      <c r="AR58">
        <v>10497908306.364616</v>
      </c>
      <c r="AS58">
        <v>9985844486.3336487</v>
      </c>
      <c r="AT58">
        <v>10397897085.610199</v>
      </c>
      <c r="AU58">
        <v>11420227884.615385</v>
      </c>
      <c r="AV58">
        <v>14547325028.312571</v>
      </c>
      <c r="AW58">
        <v>17320552500</v>
      </c>
      <c r="AX58">
        <v>18433411267.255314</v>
      </c>
      <c r="AY58">
        <v>20072786350.520638</v>
      </c>
      <c r="AZ58">
        <v>23968764029.564739</v>
      </c>
      <c r="BA58">
        <v>27844698989.307163</v>
      </c>
      <c r="BB58">
        <v>25945391775.493195</v>
      </c>
      <c r="BC58">
        <v>25799940416.01733</v>
      </c>
      <c r="BD58">
        <v>27641551809.095577</v>
      </c>
      <c r="BE58">
        <v>25047433099.589069</v>
      </c>
      <c r="BF58">
        <v>23959708956.292809</v>
      </c>
      <c r="BG58">
        <v>23225912183.498764</v>
      </c>
      <c r="BH58">
        <v>19909269064.847256</v>
      </c>
      <c r="BI58">
        <v>21046452117.376511</v>
      </c>
      <c r="BJ58">
        <v>22946583375.550835</v>
      </c>
      <c r="BK58">
        <v>25597301190.677956</v>
      </c>
      <c r="BL58">
        <v>25945194240.454395</v>
      </c>
      <c r="BM58">
        <v>25008266159.24789</v>
      </c>
      <c r="BN58">
        <v>28408064462.185589</v>
      </c>
      <c r="BO58" s="190">
        <v>28439052740.85614</v>
      </c>
    </row>
    <row r="59" spans="1:67">
      <c r="A59" t="s">
        <v>594</v>
      </c>
      <c r="B59" t="s">
        <v>595</v>
      </c>
      <c r="C59" t="s">
        <v>1018</v>
      </c>
      <c r="D59" t="s">
        <v>1019</v>
      </c>
      <c r="AI59">
        <v>40728950704.617615</v>
      </c>
      <c r="AJ59">
        <v>29859921158.869625</v>
      </c>
      <c r="AK59">
        <v>34805013229.571983</v>
      </c>
      <c r="AL59">
        <v>40866982340.195679</v>
      </c>
      <c r="AM59">
        <v>47850065328.975418</v>
      </c>
      <c r="AN59">
        <v>60145663258.898224</v>
      </c>
      <c r="AO59">
        <v>67388492013.544502</v>
      </c>
      <c r="AP59">
        <v>62180519005.943977</v>
      </c>
      <c r="AQ59">
        <v>66807498696.350227</v>
      </c>
      <c r="AR59">
        <v>65173036730.62043</v>
      </c>
      <c r="AS59">
        <v>61823494487.036331</v>
      </c>
      <c r="AT59">
        <v>67808695573.680969</v>
      </c>
      <c r="AU59">
        <v>82196206089.758469</v>
      </c>
      <c r="AV59">
        <v>100090467581.26839</v>
      </c>
      <c r="AW59">
        <v>119814667457.85464</v>
      </c>
      <c r="AX59">
        <v>137143375920.46982</v>
      </c>
      <c r="AY59">
        <v>156264210926.17682</v>
      </c>
      <c r="AZ59">
        <v>190184113270.14966</v>
      </c>
      <c r="BA59">
        <v>236816948159.71835</v>
      </c>
      <c r="BB59">
        <v>207434296805.32971</v>
      </c>
      <c r="BC59">
        <v>209069940963.17725</v>
      </c>
      <c r="BD59">
        <v>229562733398.94751</v>
      </c>
      <c r="BE59">
        <v>208857719320.64871</v>
      </c>
      <c r="BF59">
        <v>211685616592.93109</v>
      </c>
      <c r="BG59">
        <v>209358834156.32904</v>
      </c>
      <c r="BH59">
        <v>188033050459.8811</v>
      </c>
      <c r="BI59">
        <v>196272068576.33829</v>
      </c>
      <c r="BJ59">
        <v>218628940951.67508</v>
      </c>
      <c r="BK59">
        <v>249000540729.17868</v>
      </c>
      <c r="BL59">
        <v>252548179964.89661</v>
      </c>
      <c r="BM59">
        <v>245974558654.04294</v>
      </c>
      <c r="BN59">
        <v>281791218507.09961</v>
      </c>
      <c r="BO59" s="190">
        <v>290923534700.51807</v>
      </c>
    </row>
    <row r="60" spans="1:67">
      <c r="A60" t="s">
        <v>596</v>
      </c>
      <c r="B60" t="s">
        <v>597</v>
      </c>
      <c r="C60" t="s">
        <v>1018</v>
      </c>
      <c r="D60" t="s">
        <v>1019</v>
      </c>
      <c r="O60">
        <v>215838448137.65833</v>
      </c>
      <c r="P60">
        <v>249985055484.3027</v>
      </c>
      <c r="Q60">
        <v>299801542047.47589</v>
      </c>
      <c r="R60">
        <v>398374021953.89679</v>
      </c>
      <c r="S60">
        <v>445303484241.55396</v>
      </c>
      <c r="T60">
        <v>490636517211.22504</v>
      </c>
      <c r="U60">
        <v>519754453161.41058</v>
      </c>
      <c r="V60">
        <v>600498238019.03479</v>
      </c>
      <c r="W60">
        <v>740469983446.93286</v>
      </c>
      <c r="X60">
        <v>881345176608.68628</v>
      </c>
      <c r="Y60">
        <v>950290856466.5376</v>
      </c>
      <c r="Z60">
        <v>800472055387.2782</v>
      </c>
      <c r="AA60">
        <v>776576439106.95581</v>
      </c>
      <c r="AB60">
        <v>770684323247.79773</v>
      </c>
      <c r="AC60">
        <v>725111123634.1145</v>
      </c>
      <c r="AD60">
        <v>732534887058.19824</v>
      </c>
      <c r="AE60">
        <v>1046259374943.7089</v>
      </c>
      <c r="AF60">
        <v>1298176105549.5103</v>
      </c>
      <c r="AG60">
        <v>1401233225303.4858</v>
      </c>
      <c r="AH60">
        <v>1398967436804.3274</v>
      </c>
      <c r="AI60">
        <v>1771671206875.6809</v>
      </c>
      <c r="AJ60">
        <v>1868945197407.189</v>
      </c>
      <c r="AK60">
        <v>2131571696931.7471</v>
      </c>
      <c r="AL60">
        <v>2071323790370.2827</v>
      </c>
      <c r="AM60">
        <v>2205074123177.0518</v>
      </c>
      <c r="AN60">
        <v>2585792275146.7178</v>
      </c>
      <c r="AO60">
        <v>2497244606186.6392</v>
      </c>
      <c r="AP60">
        <v>2211989623279.9458</v>
      </c>
      <c r="AQ60">
        <v>2238990774702.6787</v>
      </c>
      <c r="AR60">
        <v>2194945278872.5918</v>
      </c>
      <c r="AS60">
        <v>1947981991011.7688</v>
      </c>
      <c r="AT60">
        <v>1945790973803.1519</v>
      </c>
      <c r="AU60">
        <v>2078484517474.5134</v>
      </c>
      <c r="AV60">
        <v>2501640388482.3477</v>
      </c>
      <c r="AW60">
        <v>2814353869359.0806</v>
      </c>
      <c r="AX60">
        <v>2846864211175.0962</v>
      </c>
      <c r="AY60">
        <v>2994703642023.5254</v>
      </c>
      <c r="AZ60">
        <v>3425578382921.5796</v>
      </c>
      <c r="BA60">
        <v>3745264093617.1865</v>
      </c>
      <c r="BB60">
        <v>3411261212652.3413</v>
      </c>
      <c r="BC60">
        <v>3399667820000.0874</v>
      </c>
      <c r="BD60">
        <v>3749314991050.6172</v>
      </c>
      <c r="BE60">
        <v>3527143188785.1572</v>
      </c>
      <c r="BF60">
        <v>3733804649549.0601</v>
      </c>
      <c r="BG60">
        <v>3889093051023.4536</v>
      </c>
      <c r="BH60">
        <v>3357585719351.5605</v>
      </c>
      <c r="BI60">
        <v>3469853463945.6299</v>
      </c>
      <c r="BJ60">
        <v>3690849152517.6865</v>
      </c>
      <c r="BK60">
        <v>3974443355019.5342</v>
      </c>
      <c r="BL60">
        <v>3888226035921.4927</v>
      </c>
      <c r="BM60">
        <v>3889668895299.5552</v>
      </c>
      <c r="BN60">
        <v>4259934911821.6372</v>
      </c>
      <c r="BO60" s="190">
        <v>4072191736089.5098</v>
      </c>
    </row>
    <row r="61" spans="1:67">
      <c r="A61" t="s">
        <v>598</v>
      </c>
      <c r="B61" t="s">
        <v>599</v>
      </c>
      <c r="C61" t="s">
        <v>1018</v>
      </c>
      <c r="D61" t="s">
        <v>1019</v>
      </c>
      <c r="AD61">
        <v>340989527.96991348</v>
      </c>
      <c r="AF61">
        <v>373371738.28641522</v>
      </c>
      <c r="AG61">
        <v>395794538.63077521</v>
      </c>
      <c r="AH61">
        <v>409220087.10281843</v>
      </c>
      <c r="AI61">
        <v>452328087.28287596</v>
      </c>
      <c r="AJ61">
        <v>462421998.52577919</v>
      </c>
      <c r="AK61">
        <v>478058304.87111819</v>
      </c>
      <c r="AL61">
        <v>466048469.22986031</v>
      </c>
      <c r="AM61">
        <v>491689220.74487537</v>
      </c>
      <c r="AN61">
        <v>497723960.58991337</v>
      </c>
      <c r="AO61">
        <v>494004647.73437017</v>
      </c>
      <c r="AP61">
        <v>502675542.0012266</v>
      </c>
      <c r="AQ61">
        <v>514267869.30075794</v>
      </c>
      <c r="AR61">
        <v>536080148.09729856</v>
      </c>
      <c r="AS61">
        <v>551230861.85650539</v>
      </c>
      <c r="AT61">
        <v>572417440.82016194</v>
      </c>
      <c r="AU61">
        <v>591122039.60139763</v>
      </c>
      <c r="AV61">
        <v>622044665.51504886</v>
      </c>
      <c r="AW61">
        <v>666072101.77750516</v>
      </c>
      <c r="AX61">
        <v>708633194.72656584</v>
      </c>
      <c r="AY61">
        <v>768873684.03283799</v>
      </c>
      <c r="AZ61">
        <v>847918929.10798383</v>
      </c>
      <c r="BA61">
        <v>999105339.26772857</v>
      </c>
      <c r="BB61">
        <v>1049110684.724934</v>
      </c>
      <c r="BC61">
        <v>1128611700.3618031</v>
      </c>
      <c r="BD61">
        <v>1239144501.7752545</v>
      </c>
      <c r="BE61">
        <v>1353632941.5206981</v>
      </c>
      <c r="BF61">
        <v>2042817162.8563871</v>
      </c>
      <c r="BG61">
        <v>2214679081.2565761</v>
      </c>
      <c r="BH61">
        <v>2424391785.4389744</v>
      </c>
      <c r="BI61">
        <v>2604955228.7011662</v>
      </c>
      <c r="BJ61">
        <v>2762581334.2261186</v>
      </c>
      <c r="BK61">
        <v>2913466732.1250725</v>
      </c>
      <c r="BL61">
        <v>3088853638.5683179</v>
      </c>
      <c r="BM61">
        <v>3181071153.6622009</v>
      </c>
      <c r="BN61">
        <v>3372287461.808115</v>
      </c>
      <c r="BO61" s="190">
        <v>3515109075.4609752</v>
      </c>
    </row>
    <row r="62" spans="1:67">
      <c r="A62" t="s">
        <v>600</v>
      </c>
      <c r="B62" t="s">
        <v>601</v>
      </c>
      <c r="C62" t="s">
        <v>1018</v>
      </c>
      <c r="D62" t="s">
        <v>1019</v>
      </c>
      <c r="V62">
        <v>45872947.407407403</v>
      </c>
      <c r="W62">
        <v>57130215.555555552</v>
      </c>
      <c r="X62">
        <v>55017758.888888888</v>
      </c>
      <c r="Y62">
        <v>72804653.333333328</v>
      </c>
      <c r="Z62">
        <v>82107391.111111104</v>
      </c>
      <c r="AA62">
        <v>89527576.666666657</v>
      </c>
      <c r="AB62">
        <v>98665191.481481463</v>
      </c>
      <c r="AC62">
        <v>109157070.74074073</v>
      </c>
      <c r="AD62">
        <v>119491932.96296296</v>
      </c>
      <c r="AE62">
        <v>135161958.51851851</v>
      </c>
      <c r="AF62">
        <v>151868754.44444445</v>
      </c>
      <c r="AG62">
        <v>171106184.07407406</v>
      </c>
      <c r="AH62">
        <v>185137242.96296296</v>
      </c>
      <c r="AI62">
        <v>201429629.62962961</v>
      </c>
      <c r="AJ62">
        <v>219762962.96296296</v>
      </c>
      <c r="AK62">
        <v>234059259.25925925</v>
      </c>
      <c r="AL62">
        <v>245525925.92592591</v>
      </c>
      <c r="AM62">
        <v>264374074.07407406</v>
      </c>
      <c r="AN62">
        <v>274522222.22222221</v>
      </c>
      <c r="AO62">
        <v>292285185.18518519</v>
      </c>
      <c r="AP62">
        <v>302988888.8888889</v>
      </c>
      <c r="AQ62">
        <v>322411111.1111111</v>
      </c>
      <c r="AR62">
        <v>331759259.25925922</v>
      </c>
      <c r="AS62">
        <v>333470370.37037033</v>
      </c>
      <c r="AT62">
        <v>340203703.7037037</v>
      </c>
      <c r="AU62">
        <v>333196296.2962963</v>
      </c>
      <c r="AV62">
        <v>343311111.1111111</v>
      </c>
      <c r="AW62">
        <v>367200000</v>
      </c>
      <c r="AX62">
        <v>364255555.55555552</v>
      </c>
      <c r="AY62">
        <v>390251851.85185188</v>
      </c>
      <c r="AZ62">
        <v>421374074.07407403</v>
      </c>
      <c r="BA62">
        <v>458188888.88888884</v>
      </c>
      <c r="BB62">
        <v>489074074.07407403</v>
      </c>
      <c r="BC62">
        <v>493825925.92592591</v>
      </c>
      <c r="BD62">
        <v>501025925.92592591</v>
      </c>
      <c r="BE62">
        <v>485996296.29629624</v>
      </c>
      <c r="BF62">
        <v>498296296.29629624</v>
      </c>
      <c r="BG62">
        <v>520207407.40740734</v>
      </c>
      <c r="BH62">
        <v>540737037.03703701</v>
      </c>
      <c r="BI62">
        <v>576229629.62962961</v>
      </c>
      <c r="BJ62">
        <v>521551851.85185182</v>
      </c>
      <c r="BK62">
        <v>554770370.37037039</v>
      </c>
      <c r="BL62">
        <v>611537037.03703701</v>
      </c>
      <c r="BM62">
        <v>504214814.81481481</v>
      </c>
      <c r="BN62">
        <v>555266666.66666663</v>
      </c>
      <c r="BO62" s="190">
        <v>612048148.14814806</v>
      </c>
    </row>
    <row r="63" spans="1:67">
      <c r="A63" t="s">
        <v>602</v>
      </c>
      <c r="B63" t="s">
        <v>603</v>
      </c>
      <c r="C63" t="s">
        <v>1018</v>
      </c>
      <c r="D63" t="s">
        <v>1019</v>
      </c>
      <c r="K63">
        <v>11931739465.179155</v>
      </c>
      <c r="L63">
        <v>13059065018.618654</v>
      </c>
      <c r="M63">
        <v>13505573854.961836</v>
      </c>
      <c r="N63">
        <v>15414902253.307085</v>
      </c>
      <c r="O63">
        <v>17075457585.201271</v>
      </c>
      <c r="P63">
        <v>19085633672.63279</v>
      </c>
      <c r="Q63">
        <v>23232407814.690804</v>
      </c>
      <c r="R63">
        <v>30730626668.440472</v>
      </c>
      <c r="S63">
        <v>34160444803.714653</v>
      </c>
      <c r="T63">
        <v>40474406216.282066</v>
      </c>
      <c r="U63">
        <v>44575708130.996269</v>
      </c>
      <c r="V63">
        <v>49784407635.902161</v>
      </c>
      <c r="W63">
        <v>60362658215.266258</v>
      </c>
      <c r="X63">
        <v>70366799281.569489</v>
      </c>
      <c r="Y63">
        <v>71127002864.849869</v>
      </c>
      <c r="Z63">
        <v>61878103527.153999</v>
      </c>
      <c r="AA63">
        <v>60412542585.681396</v>
      </c>
      <c r="AB63">
        <v>60644837444.4217</v>
      </c>
      <c r="AC63">
        <v>59105284414.64032</v>
      </c>
      <c r="AD63">
        <v>62658617565.475906</v>
      </c>
      <c r="AE63">
        <v>88078850821.624374</v>
      </c>
      <c r="AF63">
        <v>109414157336.77042</v>
      </c>
      <c r="AG63">
        <v>115552417468.55281</v>
      </c>
      <c r="AH63">
        <v>112409606609.96487</v>
      </c>
      <c r="AI63">
        <v>138248216614.8013</v>
      </c>
      <c r="AJ63">
        <v>139225595726.80203</v>
      </c>
      <c r="AK63">
        <v>152914810032.91299</v>
      </c>
      <c r="AL63">
        <v>143194762031.87689</v>
      </c>
      <c r="AM63">
        <v>156163573390.25354</v>
      </c>
      <c r="AN63">
        <v>185007982281.29767</v>
      </c>
      <c r="AO63">
        <v>187633263192.74835</v>
      </c>
      <c r="AP63">
        <v>173538719988.5531</v>
      </c>
      <c r="AQ63">
        <v>176991230634.23013</v>
      </c>
      <c r="AR63">
        <v>177964167947.20364</v>
      </c>
      <c r="AS63">
        <v>164157842126.82083</v>
      </c>
      <c r="AT63">
        <v>164791096044.09805</v>
      </c>
      <c r="AU63">
        <v>178634843165.63278</v>
      </c>
      <c r="AV63">
        <v>218096916361.97311</v>
      </c>
      <c r="AW63">
        <v>251374821136.17117</v>
      </c>
      <c r="AX63">
        <v>264466895451.15735</v>
      </c>
      <c r="AY63">
        <v>282885978374.28516</v>
      </c>
      <c r="AZ63">
        <v>319423375611.04663</v>
      </c>
      <c r="BA63">
        <v>353358901702.04565</v>
      </c>
      <c r="BB63">
        <v>321243301145.33698</v>
      </c>
      <c r="BC63">
        <v>321995279401.50159</v>
      </c>
      <c r="BD63">
        <v>344003137611.27118</v>
      </c>
      <c r="BE63">
        <v>327148943812.1366</v>
      </c>
      <c r="BF63">
        <v>343584391647.92706</v>
      </c>
      <c r="BG63">
        <v>352993631617.70801</v>
      </c>
      <c r="BH63">
        <v>302673070846.85724</v>
      </c>
      <c r="BI63">
        <v>313115929314.33862</v>
      </c>
      <c r="BJ63">
        <v>332121063806.39063</v>
      </c>
      <c r="BK63">
        <v>356841216410.06769</v>
      </c>
      <c r="BL63">
        <v>346498737961.63519</v>
      </c>
      <c r="BM63">
        <v>355222449505.21106</v>
      </c>
      <c r="BN63">
        <v>398303272764.45959</v>
      </c>
      <c r="BO63" s="190">
        <v>395403906582.00067</v>
      </c>
    </row>
    <row r="64" spans="1:67">
      <c r="A64" t="s">
        <v>604</v>
      </c>
      <c r="B64" t="s">
        <v>605</v>
      </c>
      <c r="C64" t="s">
        <v>1018</v>
      </c>
      <c r="D64" t="s">
        <v>1019</v>
      </c>
      <c r="E64">
        <v>672399700</v>
      </c>
      <c r="F64">
        <v>654100200</v>
      </c>
      <c r="G64">
        <v>824100000</v>
      </c>
      <c r="H64">
        <v>940799900</v>
      </c>
      <c r="I64">
        <v>1025599899.9999999</v>
      </c>
      <c r="J64">
        <v>888100000</v>
      </c>
      <c r="K64">
        <v>983900000</v>
      </c>
      <c r="L64">
        <v>1034800000</v>
      </c>
      <c r="M64">
        <v>1079100000</v>
      </c>
      <c r="N64">
        <v>1230500000</v>
      </c>
      <c r="O64">
        <v>1485500000</v>
      </c>
      <c r="P64">
        <v>1666500000.1388745</v>
      </c>
      <c r="Q64">
        <v>1987400000</v>
      </c>
      <c r="R64">
        <v>2344800000.1953993</v>
      </c>
      <c r="S64">
        <v>2925700001.4628501</v>
      </c>
      <c r="T64">
        <v>3599200003.5991998</v>
      </c>
      <c r="U64">
        <v>3951500003.9514999</v>
      </c>
      <c r="V64">
        <v>4587100004.5871</v>
      </c>
      <c r="W64">
        <v>4734400004.7343998</v>
      </c>
      <c r="X64">
        <v>5498800005.4988003</v>
      </c>
      <c r="Y64">
        <v>6761300006.7613001</v>
      </c>
      <c r="Z64">
        <v>7561300007.5612993</v>
      </c>
      <c r="AA64">
        <v>8267400008.2673998</v>
      </c>
      <c r="AB64">
        <v>9220600009.2206001</v>
      </c>
      <c r="AC64">
        <v>11594000004.830837</v>
      </c>
      <c r="AD64">
        <v>5044579439.0021286</v>
      </c>
      <c r="AE64">
        <v>6122127855.1050768</v>
      </c>
      <c r="AF64">
        <v>5827050248.065011</v>
      </c>
      <c r="AG64">
        <v>5374300274.5732088</v>
      </c>
      <c r="AH64">
        <v>6686593059.9369087</v>
      </c>
      <c r="AI64">
        <v>7073675544.7902126</v>
      </c>
      <c r="AJ64">
        <v>9824483368.0088024</v>
      </c>
      <c r="AK64">
        <v>11605382504</v>
      </c>
      <c r="AL64">
        <v>13081042400</v>
      </c>
      <c r="AM64">
        <v>14644734247.740057</v>
      </c>
      <c r="AN64">
        <v>16637370839.160841</v>
      </c>
      <c r="AO64">
        <v>18241622255.714066</v>
      </c>
      <c r="AP64">
        <v>20017449966.085743</v>
      </c>
      <c r="AQ64">
        <v>21672215776.014381</v>
      </c>
      <c r="AR64">
        <v>22136579527.499439</v>
      </c>
      <c r="AS64">
        <v>24305781111.905708</v>
      </c>
      <c r="AT64">
        <v>25601824419.038544</v>
      </c>
      <c r="AU64">
        <v>27137441266.335514</v>
      </c>
      <c r="AV64">
        <v>21403168127.882973</v>
      </c>
      <c r="AW64">
        <v>22322387609.848099</v>
      </c>
      <c r="AX64">
        <v>35777560474.810608</v>
      </c>
      <c r="AY64">
        <v>37879829854.796463</v>
      </c>
      <c r="AZ64">
        <v>43965459071.065399</v>
      </c>
      <c r="BA64">
        <v>48122601589.771675</v>
      </c>
      <c r="BB64">
        <v>48261079523.821289</v>
      </c>
      <c r="BC64">
        <v>53860187452.385307</v>
      </c>
      <c r="BD64">
        <v>58029773802.381836</v>
      </c>
      <c r="BE64">
        <v>60681535894.481049</v>
      </c>
      <c r="BF64">
        <v>62682158700.288513</v>
      </c>
      <c r="BG64">
        <v>67179956264.938332</v>
      </c>
      <c r="BH64">
        <v>71164826719.50264</v>
      </c>
      <c r="BI64">
        <v>75704647977.259064</v>
      </c>
      <c r="BJ64">
        <v>79998045975.513702</v>
      </c>
      <c r="BK64">
        <v>85555390385.981171</v>
      </c>
      <c r="BL64">
        <v>88941371980.265137</v>
      </c>
      <c r="BM64">
        <v>78844655833.21936</v>
      </c>
      <c r="BN64">
        <v>94243426487.083298</v>
      </c>
      <c r="BO64" s="190">
        <v>113641857434.00235</v>
      </c>
    </row>
    <row r="65" spans="1:67">
      <c r="A65" t="s">
        <v>606</v>
      </c>
      <c r="B65" t="s">
        <v>607</v>
      </c>
      <c r="C65" t="s">
        <v>1018</v>
      </c>
      <c r="D65" t="s">
        <v>1019</v>
      </c>
      <c r="E65">
        <v>2723615449.1290288</v>
      </c>
      <c r="F65">
        <v>2434747053.9985852</v>
      </c>
      <c r="G65">
        <v>2001444542.3227978</v>
      </c>
      <c r="H65">
        <v>2702982015.4825335</v>
      </c>
      <c r="I65">
        <v>2909316432.9673624</v>
      </c>
      <c r="J65">
        <v>3136284304.3536558</v>
      </c>
      <c r="K65">
        <v>3039859185.0275044</v>
      </c>
      <c r="L65">
        <v>3370870373.6087222</v>
      </c>
      <c r="M65">
        <v>3852147023.7011228</v>
      </c>
      <c r="N65">
        <v>4257253260.6933961</v>
      </c>
      <c r="O65">
        <v>4863526892.695653</v>
      </c>
      <c r="P65">
        <v>5077182745.7478952</v>
      </c>
      <c r="Q65">
        <v>6766744027.5519714</v>
      </c>
      <c r="R65">
        <v>8707858006.1938744</v>
      </c>
      <c r="S65">
        <v>13209871629.064133</v>
      </c>
      <c r="T65">
        <v>15557901444.872448</v>
      </c>
      <c r="U65">
        <v>17728240936.573521</v>
      </c>
      <c r="V65">
        <v>20972112004.189342</v>
      </c>
      <c r="W65">
        <v>26364491320.094933</v>
      </c>
      <c r="X65">
        <v>33243709744.089931</v>
      </c>
      <c r="Y65">
        <v>42345829090.241135</v>
      </c>
      <c r="Z65">
        <v>44348587045.921959</v>
      </c>
      <c r="AA65">
        <v>45207170761.645844</v>
      </c>
      <c r="AB65">
        <v>48801369810.55825</v>
      </c>
      <c r="AC65">
        <v>53698548297.564308</v>
      </c>
      <c r="AD65">
        <v>57937868670.193726</v>
      </c>
      <c r="AE65">
        <v>63692012412.321541</v>
      </c>
      <c r="AF65">
        <v>66745822963.078743</v>
      </c>
      <c r="AG65">
        <v>59089400190.483673</v>
      </c>
      <c r="AH65">
        <v>55634719135.359657</v>
      </c>
      <c r="AI65">
        <v>62048505222.341431</v>
      </c>
      <c r="AJ65">
        <v>45715676428.276596</v>
      </c>
      <c r="AK65">
        <v>48003133346.995735</v>
      </c>
      <c r="AL65">
        <v>49945585165.789856</v>
      </c>
      <c r="AM65">
        <v>42543177031.172295</v>
      </c>
      <c r="AN65">
        <v>41764291963.85321</v>
      </c>
      <c r="AO65">
        <v>46941553939.55928</v>
      </c>
      <c r="AP65">
        <v>48177612042.15065</v>
      </c>
      <c r="AQ65">
        <v>48187781711.030823</v>
      </c>
      <c r="AR65">
        <v>48640671734.971115</v>
      </c>
      <c r="AS65">
        <v>54790398813.000496</v>
      </c>
      <c r="AT65">
        <v>54744698044.233109</v>
      </c>
      <c r="AU65">
        <v>56760355865.00824</v>
      </c>
      <c r="AV65">
        <v>67863850333.95256</v>
      </c>
      <c r="AW65">
        <v>85332581188.610703</v>
      </c>
      <c r="AX65">
        <v>103198211973.24242</v>
      </c>
      <c r="AY65">
        <v>117027280692.35611</v>
      </c>
      <c r="AZ65">
        <v>134977082623.7798</v>
      </c>
      <c r="BA65">
        <v>171000699876.74734</v>
      </c>
      <c r="BB65">
        <v>137211004291.27434</v>
      </c>
      <c r="BC65">
        <v>161207306304.79449</v>
      </c>
      <c r="BD65">
        <v>200013097903.1702</v>
      </c>
      <c r="BE65">
        <v>209059081828.26114</v>
      </c>
      <c r="BF65">
        <v>209755003250.664</v>
      </c>
      <c r="BG65">
        <v>213809980720.78723</v>
      </c>
      <c r="BH65">
        <v>165979224316.66702</v>
      </c>
      <c r="BI65">
        <v>160034212613.4375</v>
      </c>
      <c r="BJ65">
        <v>170096989042.83139</v>
      </c>
      <c r="BK65">
        <v>174910891124.49118</v>
      </c>
      <c r="BL65">
        <v>171760290068.15723</v>
      </c>
      <c r="BM65">
        <v>145743722826.25845</v>
      </c>
      <c r="BN65">
        <v>163472233245.77017</v>
      </c>
      <c r="BO65" s="190">
        <v>191912889420.91083</v>
      </c>
    </row>
    <row r="66" spans="1:67">
      <c r="A66" t="s">
        <v>608</v>
      </c>
      <c r="B66" t="s">
        <v>609</v>
      </c>
      <c r="C66" t="s">
        <v>1018</v>
      </c>
      <c r="D66" t="s">
        <v>1019</v>
      </c>
      <c r="E66">
        <v>81326348985.756805</v>
      </c>
      <c r="F66">
        <v>71596255522.195084</v>
      </c>
      <c r="G66">
        <v>65380076109.971268</v>
      </c>
      <c r="H66">
        <v>70825945772.773987</v>
      </c>
      <c r="I66">
        <v>81742063326.972</v>
      </c>
      <c r="J66">
        <v>95156520863.463409</v>
      </c>
      <c r="K66">
        <v>104051083523.86418</v>
      </c>
      <c r="L66">
        <v>100981200429.95294</v>
      </c>
      <c r="M66">
        <v>102253082476.34691</v>
      </c>
      <c r="N66">
        <v>114766750932.51601</v>
      </c>
      <c r="O66">
        <v>127454919352.34146</v>
      </c>
      <c r="P66">
        <v>137030062986.25539</v>
      </c>
      <c r="Q66">
        <v>155408666772.33868</v>
      </c>
      <c r="R66">
        <v>195534127614.96082</v>
      </c>
      <c r="S66">
        <v>221206099178.33411</v>
      </c>
      <c r="T66">
        <v>248600838593.22168</v>
      </c>
      <c r="U66">
        <v>252627347577.80331</v>
      </c>
      <c r="V66">
        <v>291576300239.86938</v>
      </c>
      <c r="W66">
        <v>282751871491.9151</v>
      </c>
      <c r="X66">
        <v>327551775854.46112</v>
      </c>
      <c r="Y66">
        <v>378033865488.36517</v>
      </c>
      <c r="Z66">
        <v>403550370494.57538</v>
      </c>
      <c r="AA66">
        <v>423685722452.22131</v>
      </c>
      <c r="AB66">
        <v>443837445351.94727</v>
      </c>
      <c r="AC66">
        <v>480900837963.17432</v>
      </c>
      <c r="AD66">
        <v>526325244782.65179</v>
      </c>
      <c r="AE66">
        <v>525026601298.33258</v>
      </c>
      <c r="AF66">
        <v>518938502263.91797</v>
      </c>
      <c r="AG66">
        <v>575483688565.97485</v>
      </c>
      <c r="AH66">
        <v>622373424237.77014</v>
      </c>
      <c r="AI66">
        <v>667200070409.86951</v>
      </c>
      <c r="AJ66">
        <v>723660415505.29333</v>
      </c>
      <c r="AK66">
        <v>811064516905.32971</v>
      </c>
      <c r="AL66">
        <v>890298100067.91687</v>
      </c>
      <c r="AM66">
        <v>1071324397430.2501</v>
      </c>
      <c r="AN66">
        <v>1321735880770.3591</v>
      </c>
      <c r="AO66">
        <v>1518091688363.7432</v>
      </c>
      <c r="AP66">
        <v>1571653095184.7222</v>
      </c>
      <c r="AQ66">
        <v>1431442362415.687</v>
      </c>
      <c r="AR66">
        <v>1575310857166.5935</v>
      </c>
      <c r="AS66">
        <v>1734224222956.6614</v>
      </c>
      <c r="AT66">
        <v>1847017054394.2183</v>
      </c>
      <c r="AU66">
        <v>2043852782637.2732</v>
      </c>
      <c r="AV66">
        <v>2311295448247.1157</v>
      </c>
      <c r="AW66">
        <v>2681922543395.7021</v>
      </c>
      <c r="AX66">
        <v>3106483464947.144</v>
      </c>
      <c r="AY66">
        <v>3740321729010.9258</v>
      </c>
      <c r="AZ66">
        <v>4727369211702.7168</v>
      </c>
      <c r="BA66">
        <v>5978428072955.4678</v>
      </c>
      <c r="BB66">
        <v>6483977394715.2549</v>
      </c>
      <c r="BC66">
        <v>7888957749541.3643</v>
      </c>
      <c r="BD66">
        <v>9645008222753.3711</v>
      </c>
      <c r="BE66">
        <v>10758481557851.758</v>
      </c>
      <c r="BF66">
        <v>11870565646660.67</v>
      </c>
      <c r="BG66">
        <v>12798136833357.73</v>
      </c>
      <c r="BH66">
        <v>13326936591373.316</v>
      </c>
      <c r="BI66">
        <v>13611836958159.328</v>
      </c>
      <c r="BJ66">
        <v>14876744560573.486</v>
      </c>
      <c r="BK66">
        <v>16639892731999.33</v>
      </c>
      <c r="BL66">
        <v>17207134431205.912</v>
      </c>
      <c r="BM66">
        <v>17487420266794.318</v>
      </c>
      <c r="BN66">
        <v>20837352063117.543</v>
      </c>
      <c r="BO66" s="190">
        <v>21189324409148.254</v>
      </c>
    </row>
    <row r="67" spans="1:67">
      <c r="A67" t="s">
        <v>610</v>
      </c>
      <c r="B67" t="s">
        <v>611</v>
      </c>
      <c r="C67" t="s">
        <v>1018</v>
      </c>
      <c r="D67" t="s">
        <v>1019</v>
      </c>
      <c r="E67">
        <v>150325406857.62302</v>
      </c>
      <c r="F67">
        <v>159940391122.29379</v>
      </c>
      <c r="G67">
        <v>164426987482.14954</v>
      </c>
      <c r="H67">
        <v>174329767924.91711</v>
      </c>
      <c r="I67">
        <v>199945297628.86514</v>
      </c>
      <c r="J67">
        <v>216446892673.54272</v>
      </c>
      <c r="K67">
        <v>213717585174.21857</v>
      </c>
      <c r="L67">
        <v>224481783366.10486</v>
      </c>
      <c r="M67">
        <v>242649043703.58173</v>
      </c>
      <c r="N67">
        <v>270732689849.84488</v>
      </c>
      <c r="O67">
        <v>286772120540.82068</v>
      </c>
      <c r="P67">
        <v>310202914047.88214</v>
      </c>
      <c r="Q67">
        <v>339147957048.17407</v>
      </c>
      <c r="R67">
        <v>433956554432.36926</v>
      </c>
      <c r="S67">
        <v>606060392680.64453</v>
      </c>
      <c r="T67">
        <v>651462397679.96313</v>
      </c>
      <c r="U67">
        <v>711513664102.46838</v>
      </c>
      <c r="V67">
        <v>794834487670.3606</v>
      </c>
      <c r="W67">
        <v>914896533738.62671</v>
      </c>
      <c r="X67">
        <v>1072741942109.1738</v>
      </c>
      <c r="Y67">
        <v>1334955732224.6514</v>
      </c>
      <c r="Z67">
        <v>1491022453297.7209</v>
      </c>
      <c r="AA67">
        <v>1418937141151.7852</v>
      </c>
      <c r="AB67">
        <v>1429300176950.8062</v>
      </c>
      <c r="AC67">
        <v>1457264926621.2488</v>
      </c>
      <c r="AD67">
        <v>1455540349922.6284</v>
      </c>
      <c r="AE67">
        <v>1471507593965.8914</v>
      </c>
      <c r="AF67">
        <v>1495076737734.3601</v>
      </c>
      <c r="AG67">
        <v>1555302003152.9089</v>
      </c>
      <c r="AH67">
        <v>1584652248354.8501</v>
      </c>
      <c r="AI67">
        <v>1860056796275.8533</v>
      </c>
      <c r="AJ67">
        <v>1968877107462.7764</v>
      </c>
      <c r="AK67">
        <v>2163166983544.9744</v>
      </c>
      <c r="AL67">
        <v>2376229055511.0903</v>
      </c>
      <c r="AM67">
        <v>2497962203210.6172</v>
      </c>
      <c r="AN67">
        <v>2560945788026.8125</v>
      </c>
      <c r="AO67">
        <v>2792350894378.1685</v>
      </c>
      <c r="AP67">
        <v>2984903627916.1968</v>
      </c>
      <c r="AQ67">
        <v>2942800566756.126</v>
      </c>
      <c r="AR67">
        <v>3112677522884.3604</v>
      </c>
      <c r="AS67">
        <v>3386374511009.5576</v>
      </c>
      <c r="AT67">
        <v>3357006119628.5825</v>
      </c>
      <c r="AU67">
        <v>3264336980104.4414</v>
      </c>
      <c r="AV67">
        <v>3633102752693.6084</v>
      </c>
      <c r="AW67">
        <v>4229767093661.8828</v>
      </c>
      <c r="AX67">
        <v>4931859588770.0234</v>
      </c>
      <c r="AY67">
        <v>5639663592981.583</v>
      </c>
      <c r="AZ67">
        <v>6671943375191.4063</v>
      </c>
      <c r="BA67">
        <v>7524219026102.2275</v>
      </c>
      <c r="BB67">
        <v>7262366408335.9922</v>
      </c>
      <c r="BC67">
        <v>8804986202942.5527</v>
      </c>
      <c r="BD67">
        <v>9724222961681.7656</v>
      </c>
      <c r="BE67">
        <v>10162396987594.344</v>
      </c>
      <c r="BF67">
        <v>10305214092089.584</v>
      </c>
      <c r="BG67">
        <v>10661877094591.436</v>
      </c>
      <c r="BH67">
        <v>10147533368060.572</v>
      </c>
      <c r="BI67">
        <v>10480129806000.359</v>
      </c>
      <c r="BJ67">
        <v>11335422969863.648</v>
      </c>
      <c r="BK67">
        <v>11465084494129.484</v>
      </c>
      <c r="BL67">
        <v>11696252034573.332</v>
      </c>
      <c r="BM67">
        <v>10909268111328.211</v>
      </c>
      <c r="BN67">
        <v>12674194364881.748</v>
      </c>
      <c r="BO67" s="190">
        <v>14029514129086.951</v>
      </c>
    </row>
    <row r="68" spans="1:67">
      <c r="A68" t="s">
        <v>612</v>
      </c>
      <c r="B68" t="s">
        <v>613</v>
      </c>
      <c r="C68" t="s">
        <v>1018</v>
      </c>
      <c r="D68" t="s">
        <v>1019</v>
      </c>
      <c r="E68">
        <v>154635572036.73981</v>
      </c>
      <c r="F68">
        <v>155171539971.90411</v>
      </c>
      <c r="G68">
        <v>158388453382.13184</v>
      </c>
      <c r="H68">
        <v>176730177978.79745</v>
      </c>
      <c r="I68">
        <v>202714831720.6987</v>
      </c>
      <c r="J68">
        <v>225621661980.28162</v>
      </c>
      <c r="K68">
        <v>252106640604.13046</v>
      </c>
      <c r="L68">
        <v>273182977872.02304</v>
      </c>
      <c r="M68">
        <v>301204253595.28101</v>
      </c>
      <c r="N68">
        <v>346861784582.22339</v>
      </c>
      <c r="O68">
        <v>408898138223.84802</v>
      </c>
      <c r="P68">
        <v>453726954329.13446</v>
      </c>
      <c r="Q68">
        <v>563010907247.16394</v>
      </c>
      <c r="R68">
        <v>741889900791.10156</v>
      </c>
      <c r="S68">
        <v>854713010143.84949</v>
      </c>
      <c r="T68">
        <v>935819191485.1499</v>
      </c>
      <c r="U68">
        <v>1028846516914.6907</v>
      </c>
      <c r="V68">
        <v>1225988932220.2598</v>
      </c>
      <c r="W68">
        <v>1546792686267.2332</v>
      </c>
      <c r="X68">
        <v>1679992908986.7839</v>
      </c>
      <c r="Y68">
        <v>1815967653285.0083</v>
      </c>
      <c r="Z68">
        <v>2001890806303.9458</v>
      </c>
      <c r="AA68">
        <v>1962329472988.3716</v>
      </c>
      <c r="AB68">
        <v>2087904294838.239</v>
      </c>
      <c r="AC68">
        <v>2235982147816.9365</v>
      </c>
      <c r="AD68">
        <v>2359536624595.2817</v>
      </c>
      <c r="AE68">
        <v>3082609431901.8604</v>
      </c>
      <c r="AF68">
        <v>3619762729461.2231</v>
      </c>
      <c r="AG68">
        <v>4354920545659.5161</v>
      </c>
      <c r="AH68">
        <v>4536212294968.7949</v>
      </c>
      <c r="AI68">
        <v>4738184774160.9648</v>
      </c>
      <c r="AJ68">
        <v>5349238155317.4902</v>
      </c>
      <c r="AK68">
        <v>5844850958070.3369</v>
      </c>
      <c r="AL68">
        <v>6536237529932.0762</v>
      </c>
      <c r="AM68">
        <v>7403854162598.8545</v>
      </c>
      <c r="AN68">
        <v>8407270073236.7324</v>
      </c>
      <c r="AO68">
        <v>8101132439890.5859</v>
      </c>
      <c r="AP68">
        <v>7744674417552.835</v>
      </c>
      <c r="AQ68">
        <v>6929788830686.5264</v>
      </c>
      <c r="AR68">
        <v>7740389071255.5088</v>
      </c>
      <c r="AS68">
        <v>8374967389221.6904</v>
      </c>
      <c r="AT68">
        <v>7788979324780.6055</v>
      </c>
      <c r="AU68">
        <v>7911872939399.3125</v>
      </c>
      <c r="AV68">
        <v>8699256032059.1387</v>
      </c>
      <c r="AW68">
        <v>9756921956173.9688</v>
      </c>
      <c r="AX68">
        <v>10409529158921.52</v>
      </c>
      <c r="AY68">
        <v>11031655622225.064</v>
      </c>
      <c r="AZ68">
        <v>12325978560532.814</v>
      </c>
      <c r="BA68">
        <v>14210859901527.197</v>
      </c>
      <c r="BB68">
        <v>14623038565206.752</v>
      </c>
      <c r="BC68">
        <v>17066365173220.023</v>
      </c>
      <c r="BD68">
        <v>19790735702384.027</v>
      </c>
      <c r="BE68">
        <v>21172217151488.223</v>
      </c>
      <c r="BF68">
        <v>21410751038294.281</v>
      </c>
      <c r="BG68">
        <v>22086203629928.34</v>
      </c>
      <c r="BH68">
        <v>21997190975438.602</v>
      </c>
      <c r="BI68">
        <v>22772302203840.762</v>
      </c>
      <c r="BJ68">
        <v>24324925891393.039</v>
      </c>
      <c r="BK68">
        <v>26485229927652.41</v>
      </c>
      <c r="BL68">
        <v>27023995393948.973</v>
      </c>
      <c r="BM68">
        <v>27144860679483.895</v>
      </c>
      <c r="BN68">
        <v>31095572987690.754</v>
      </c>
      <c r="BO68" s="190">
        <v>30655246030297.684</v>
      </c>
    </row>
    <row r="69" spans="1:67">
      <c r="A69" t="s">
        <v>614</v>
      </c>
      <c r="B69" t="s">
        <v>615</v>
      </c>
      <c r="C69" t="s">
        <v>1018</v>
      </c>
      <c r="D69" t="s">
        <v>1019</v>
      </c>
      <c r="AG69">
        <v>862085298434.64563</v>
      </c>
      <c r="AH69">
        <v>834089891182.09558</v>
      </c>
      <c r="AI69">
        <v>893030485494.27563</v>
      </c>
      <c r="AJ69">
        <v>868754964105.50879</v>
      </c>
      <c r="AK69">
        <v>799090648379.3728</v>
      </c>
      <c r="AL69">
        <v>785130736517.81824</v>
      </c>
      <c r="AM69">
        <v>674026502861.23364</v>
      </c>
      <c r="AN69">
        <v>721539047178.5481</v>
      </c>
      <c r="AO69">
        <v>729341868564.71045</v>
      </c>
      <c r="AP69">
        <v>761415145986.35645</v>
      </c>
      <c r="AQ69">
        <v>705490554240.29675</v>
      </c>
      <c r="AR69">
        <v>591797958891.08923</v>
      </c>
      <c r="AS69">
        <v>662865829213.56372</v>
      </c>
      <c r="AT69">
        <v>655068103160.56702</v>
      </c>
      <c r="AU69">
        <v>750707698399.93237</v>
      </c>
      <c r="AV69">
        <v>947224168366.43506</v>
      </c>
      <c r="AW69">
        <v>1256021604553.7529</v>
      </c>
      <c r="AX69">
        <v>1589623215078.9211</v>
      </c>
      <c r="AY69">
        <v>1950105723610.6965</v>
      </c>
      <c r="AZ69">
        <v>2509469361144.8921</v>
      </c>
      <c r="BA69">
        <v>3110393199188.0757</v>
      </c>
      <c r="BB69">
        <v>2437810986692.6411</v>
      </c>
      <c r="BC69">
        <v>2953116796718.1943</v>
      </c>
      <c r="BD69">
        <v>3670089875344.1113</v>
      </c>
      <c r="BE69">
        <v>3914684841121.4463</v>
      </c>
      <c r="BF69">
        <v>4150272500477.5654</v>
      </c>
      <c r="BG69">
        <v>3845774153167.2056</v>
      </c>
      <c r="BH69">
        <v>2921688285552.2598</v>
      </c>
      <c r="BI69">
        <v>2777867803805.5928</v>
      </c>
      <c r="BJ69">
        <v>3118424956384.8242</v>
      </c>
      <c r="BK69">
        <v>3182909933137.877</v>
      </c>
      <c r="BL69">
        <v>3248044237780.6865</v>
      </c>
      <c r="BM69">
        <v>2990896567052.3081</v>
      </c>
      <c r="BN69">
        <v>3581677715819.8511</v>
      </c>
      <c r="BO69" s="190">
        <v>4124699980830.4565</v>
      </c>
    </row>
    <row r="70" spans="1:67">
      <c r="A70" t="s">
        <v>616</v>
      </c>
      <c r="B70" t="s">
        <v>617</v>
      </c>
      <c r="C70" t="s">
        <v>1018</v>
      </c>
      <c r="D70" t="s">
        <v>1019</v>
      </c>
      <c r="K70">
        <v>739191741175.26624</v>
      </c>
      <c r="L70">
        <v>796059940230.1925</v>
      </c>
      <c r="M70">
        <v>832721275093.07874</v>
      </c>
      <c r="N70">
        <v>921043624554.66235</v>
      </c>
      <c r="O70">
        <v>1019416869668.7385</v>
      </c>
      <c r="P70">
        <v>1149365465569.7593</v>
      </c>
      <c r="Q70">
        <v>1377130817922.6057</v>
      </c>
      <c r="R70">
        <v>1749169483519.0149</v>
      </c>
      <c r="S70">
        <v>1976490376080.6309</v>
      </c>
      <c r="T70">
        <v>2308913172421.8364</v>
      </c>
      <c r="U70">
        <v>2400124921855.167</v>
      </c>
      <c r="V70">
        <v>2720075903675.6284</v>
      </c>
      <c r="W70">
        <v>3319817103756.0942</v>
      </c>
      <c r="X70">
        <v>4061208581428.3423</v>
      </c>
      <c r="Y70">
        <v>4599944656870.6855</v>
      </c>
      <c r="Z70">
        <v>4093971565028.1836</v>
      </c>
      <c r="AA70">
        <v>3945237401488.6582</v>
      </c>
      <c r="AB70">
        <v>3827325614602.1514</v>
      </c>
      <c r="AC70">
        <v>3678603570653.7524</v>
      </c>
      <c r="AD70">
        <v>3806796130068.0317</v>
      </c>
      <c r="AE70">
        <v>5196005238392.334</v>
      </c>
      <c r="AF70">
        <v>6420601838951.3242</v>
      </c>
      <c r="AG70">
        <v>7147035857245.4678</v>
      </c>
      <c r="AH70">
        <v>7242068229580.1357</v>
      </c>
      <c r="AI70">
        <v>8860001405151.1699</v>
      </c>
      <c r="AJ70">
        <v>9139950356709.0273</v>
      </c>
      <c r="AK70">
        <v>9801538419939.5859</v>
      </c>
      <c r="AL70">
        <v>9003041853259.334</v>
      </c>
      <c r="AM70">
        <v>9412894014587.8848</v>
      </c>
      <c r="AN70">
        <v>10871362174018.732</v>
      </c>
      <c r="AO70">
        <v>11096209984371.221</v>
      </c>
      <c r="AP70">
        <v>10522983199953.439</v>
      </c>
      <c r="AQ70">
        <v>10795976125256.889</v>
      </c>
      <c r="AR70">
        <v>10678007624358.84</v>
      </c>
      <c r="AS70">
        <v>10066421859249.17</v>
      </c>
      <c r="AT70">
        <v>10167228168694.467</v>
      </c>
      <c r="AU70">
        <v>11134372565307.166</v>
      </c>
      <c r="AV70">
        <v>13536888371227.609</v>
      </c>
      <c r="AW70">
        <v>15777100065927.426</v>
      </c>
      <c r="AX70">
        <v>16782544224445.127</v>
      </c>
      <c r="AY70">
        <v>18169184200684.148</v>
      </c>
      <c r="AZ70">
        <v>21230055608752.945</v>
      </c>
      <c r="BA70">
        <v>23365417649314.676</v>
      </c>
      <c r="BB70">
        <v>20549545129765.73</v>
      </c>
      <c r="BC70">
        <v>21022097952360.348</v>
      </c>
      <c r="BD70">
        <v>23307862167328.793</v>
      </c>
      <c r="BE70">
        <v>22452882595862.34</v>
      </c>
      <c r="BF70">
        <v>23456119535713.438</v>
      </c>
      <c r="BG70">
        <v>23783762693462.797</v>
      </c>
      <c r="BH70">
        <v>20487299241754.543</v>
      </c>
      <c r="BI70">
        <v>20419509740630.137</v>
      </c>
      <c r="BJ70">
        <v>21655200512836.195</v>
      </c>
      <c r="BK70">
        <v>23193777815580.391</v>
      </c>
      <c r="BL70">
        <v>22910270792580.594</v>
      </c>
      <c r="BM70">
        <v>22150021659550.117</v>
      </c>
      <c r="BN70">
        <v>25153884144575.574</v>
      </c>
      <c r="BO70" s="190">
        <v>25192037594848.613</v>
      </c>
    </row>
    <row r="71" spans="1:67">
      <c r="A71" t="s">
        <v>618</v>
      </c>
      <c r="B71" t="s">
        <v>619</v>
      </c>
      <c r="C71" t="s">
        <v>1018</v>
      </c>
      <c r="D71" t="s">
        <v>1019</v>
      </c>
      <c r="E71">
        <v>2069465326.4233539</v>
      </c>
      <c r="F71">
        <v>1753850416.755507</v>
      </c>
      <c r="G71">
        <v>1518208221.2396941</v>
      </c>
      <c r="H71">
        <v>1824344492.083442</v>
      </c>
      <c r="I71">
        <v>2244146867.9061499</v>
      </c>
      <c r="J71">
        <v>2387048255.4517336</v>
      </c>
      <c r="K71">
        <v>2429309513.8085394</v>
      </c>
      <c r="L71">
        <v>2553596091.822576</v>
      </c>
      <c r="M71">
        <v>2582180794.1855011</v>
      </c>
      <c r="N71">
        <v>3112166848.3004012</v>
      </c>
      <c r="O71">
        <v>2862504169.9989309</v>
      </c>
      <c r="P71">
        <v>2754220263.0252838</v>
      </c>
      <c r="Q71">
        <v>3185987234.8408933</v>
      </c>
      <c r="R71">
        <v>3891755551.9413786</v>
      </c>
      <c r="S71">
        <v>6599259420.9960489</v>
      </c>
      <c r="T71">
        <v>7731677256.8098249</v>
      </c>
      <c r="U71">
        <v>9091924304.8347664</v>
      </c>
      <c r="V71">
        <v>11026346589.501144</v>
      </c>
      <c r="W71">
        <v>11922502170.640518</v>
      </c>
      <c r="X71">
        <v>14175166007.577393</v>
      </c>
      <c r="Y71">
        <v>17881514682.878384</v>
      </c>
      <c r="Z71">
        <v>21810767209.369484</v>
      </c>
      <c r="AA71">
        <v>19929853574.609524</v>
      </c>
      <c r="AB71">
        <v>17152483214.353632</v>
      </c>
      <c r="AC71">
        <v>16912515183.278257</v>
      </c>
      <c r="AD71">
        <v>17149094589.982655</v>
      </c>
      <c r="AE71">
        <v>15314143988.062119</v>
      </c>
      <c r="AF71">
        <v>13945431882.227064</v>
      </c>
      <c r="AG71">
        <v>13051886552.337729</v>
      </c>
      <c r="AH71">
        <v>13890828707.6493</v>
      </c>
      <c r="AI71">
        <v>15239278100.350185</v>
      </c>
      <c r="AJ71">
        <v>16988535267.633818</v>
      </c>
      <c r="AK71">
        <v>18094238119.059528</v>
      </c>
      <c r="AL71">
        <v>18938717358.67934</v>
      </c>
      <c r="AM71">
        <v>22708673336.668331</v>
      </c>
      <c r="AN71">
        <v>24432884442.221107</v>
      </c>
      <c r="AO71">
        <v>25226393196.598297</v>
      </c>
      <c r="AP71">
        <v>28162053026.513256</v>
      </c>
      <c r="AQ71">
        <v>27981896948.474236</v>
      </c>
      <c r="AR71">
        <v>19645272636.318157</v>
      </c>
      <c r="AS71">
        <v>18327764882.441219</v>
      </c>
      <c r="AT71">
        <v>24468324000</v>
      </c>
      <c r="AU71">
        <v>28548945000</v>
      </c>
      <c r="AV71">
        <v>32432858000</v>
      </c>
      <c r="AW71">
        <v>36591661000</v>
      </c>
      <c r="AX71">
        <v>41507085000</v>
      </c>
      <c r="AY71">
        <v>46802044000</v>
      </c>
      <c r="AZ71">
        <v>51007777000</v>
      </c>
      <c r="BA71">
        <v>61762635000</v>
      </c>
      <c r="BB71">
        <v>62519686000</v>
      </c>
      <c r="BC71">
        <v>69555367000</v>
      </c>
      <c r="BD71">
        <v>79276664000</v>
      </c>
      <c r="BE71">
        <v>87924544000</v>
      </c>
      <c r="BF71">
        <v>95129659000</v>
      </c>
      <c r="BG71">
        <v>101726331000</v>
      </c>
      <c r="BH71">
        <v>99290381000</v>
      </c>
      <c r="BI71">
        <v>99937696000</v>
      </c>
      <c r="BJ71">
        <v>104295862000</v>
      </c>
      <c r="BK71">
        <v>107562008000</v>
      </c>
      <c r="BL71">
        <v>108108009000</v>
      </c>
      <c r="BM71">
        <v>99291124000</v>
      </c>
      <c r="BN71">
        <v>106165866000</v>
      </c>
      <c r="BO71" s="190">
        <v>115049476000</v>
      </c>
    </row>
    <row r="72" spans="1:67">
      <c r="A72" t="s">
        <v>620</v>
      </c>
      <c r="B72" t="s">
        <v>621</v>
      </c>
      <c r="C72" t="s">
        <v>1018</v>
      </c>
      <c r="D72" t="s">
        <v>1019</v>
      </c>
      <c r="J72">
        <v>4948667540.4106598</v>
      </c>
      <c r="K72">
        <v>5278005611.914526</v>
      </c>
      <c r="L72">
        <v>5605484298.9827509</v>
      </c>
      <c r="M72">
        <v>5932242990.6542053</v>
      </c>
      <c r="N72">
        <v>6524455205.8111382</v>
      </c>
      <c r="O72">
        <v>8042200452.1477013</v>
      </c>
      <c r="P72">
        <v>8609283346.0851822</v>
      </c>
      <c r="Q72">
        <v>9299638055.8428135</v>
      </c>
      <c r="R72">
        <v>10098534613.441132</v>
      </c>
      <c r="S72">
        <v>9228963224.6000423</v>
      </c>
      <c r="T72">
        <v>11632178868.917141</v>
      </c>
      <c r="U72">
        <v>13315988083.416088</v>
      </c>
      <c r="V72">
        <v>14400806875.986668</v>
      </c>
      <c r="W72">
        <v>14811704063.068527</v>
      </c>
      <c r="X72">
        <v>18020571428.57143</v>
      </c>
      <c r="Y72">
        <v>21669908176.388889</v>
      </c>
      <c r="Z72">
        <v>22136081081.081081</v>
      </c>
      <c r="AA72">
        <v>27655172413.793102</v>
      </c>
      <c r="AB72">
        <v>30966239813.736904</v>
      </c>
      <c r="AC72">
        <v>33971188991.614704</v>
      </c>
      <c r="AD72">
        <v>39053502251.073189</v>
      </c>
      <c r="AE72">
        <v>41253507951.356407</v>
      </c>
      <c r="AF72">
        <v>40455616653.574234</v>
      </c>
      <c r="AG72">
        <v>34980124929.017609</v>
      </c>
      <c r="AH72">
        <v>39756299049.979347</v>
      </c>
      <c r="AI72">
        <v>42978914311.35038</v>
      </c>
      <c r="AJ72">
        <v>37387836490.528419</v>
      </c>
      <c r="AK72">
        <v>41855986519.423462</v>
      </c>
      <c r="AL72">
        <v>46578631452.581032</v>
      </c>
      <c r="AM72">
        <v>51897983392.645317</v>
      </c>
      <c r="AN72">
        <v>60159245060.45414</v>
      </c>
      <c r="AO72">
        <v>67629716981.13208</v>
      </c>
      <c r="AP72">
        <v>78436578171.091446</v>
      </c>
      <c r="AQ72">
        <v>84828807556.080292</v>
      </c>
      <c r="AR72">
        <v>90710704806.841644</v>
      </c>
      <c r="AS72">
        <v>99838543960.076324</v>
      </c>
      <c r="AT72">
        <v>96684636118.598389</v>
      </c>
      <c r="AU72">
        <v>85146067415.730331</v>
      </c>
      <c r="AV72">
        <v>80288461538.461533</v>
      </c>
      <c r="AW72">
        <v>78782467532.467529</v>
      </c>
      <c r="AX72">
        <v>89600665557.404327</v>
      </c>
      <c r="AY72">
        <v>107426086956.52174</v>
      </c>
      <c r="AZ72">
        <v>130437828371.27846</v>
      </c>
      <c r="BA72">
        <v>162818181818.18182</v>
      </c>
      <c r="BB72">
        <v>189147005444.64612</v>
      </c>
      <c r="BC72">
        <v>218983666061.70599</v>
      </c>
      <c r="BD72">
        <v>235989672977.62479</v>
      </c>
      <c r="BE72">
        <v>279116666666.66669</v>
      </c>
      <c r="BF72">
        <v>288434108527.13177</v>
      </c>
      <c r="BG72">
        <v>305595408895.26544</v>
      </c>
      <c r="BH72">
        <v>329366576819.40698</v>
      </c>
      <c r="BI72">
        <v>332441717791.41101</v>
      </c>
      <c r="BJ72">
        <v>248362771739.13043</v>
      </c>
      <c r="BK72">
        <v>262588632526.73044</v>
      </c>
      <c r="BL72">
        <v>318678815489.74945</v>
      </c>
      <c r="BM72">
        <v>383817841547.09918</v>
      </c>
      <c r="BN72">
        <v>424671765455.70428</v>
      </c>
      <c r="BO72" s="190">
        <v>476747720364.74164</v>
      </c>
    </row>
    <row r="73" spans="1:67">
      <c r="A73" t="s">
        <v>622</v>
      </c>
      <c r="B73" t="s">
        <v>623</v>
      </c>
      <c r="C73" t="s">
        <v>1018</v>
      </c>
      <c r="D73" t="s">
        <v>1019</v>
      </c>
      <c r="E73">
        <v>244832979621.28595</v>
      </c>
      <c r="F73">
        <v>268965206140.91513</v>
      </c>
      <c r="G73">
        <v>298819073251.1767</v>
      </c>
      <c r="H73">
        <v>335341767111.29968</v>
      </c>
      <c r="I73">
        <v>373024154759.54736</v>
      </c>
      <c r="J73">
        <v>407740569138.29144</v>
      </c>
      <c r="K73">
        <v>444882753309.62146</v>
      </c>
      <c r="L73">
        <v>483418609566.27435</v>
      </c>
      <c r="M73">
        <v>518991679523.80121</v>
      </c>
      <c r="N73">
        <v>579332897735.76331</v>
      </c>
      <c r="O73">
        <v>642618205440.96606</v>
      </c>
      <c r="P73">
        <v>728350687665.19287</v>
      </c>
      <c r="Q73">
        <v>879866451210.21094</v>
      </c>
      <c r="R73">
        <v>1142236798783.0139</v>
      </c>
      <c r="S73">
        <v>1295369935840.4377</v>
      </c>
      <c r="T73">
        <v>1501998691902.0674</v>
      </c>
      <c r="U73">
        <v>1567495790394.2302</v>
      </c>
      <c r="V73">
        <v>1782978319993.5725</v>
      </c>
      <c r="W73">
        <v>2183343936515.7058</v>
      </c>
      <c r="X73">
        <v>2644833842318.6602</v>
      </c>
      <c r="Y73">
        <v>2962181083319.0313</v>
      </c>
      <c r="Z73">
        <v>2574375219647.7417</v>
      </c>
      <c r="AA73">
        <v>2492495326231.0708</v>
      </c>
      <c r="AB73">
        <v>2431611024346.6528</v>
      </c>
      <c r="AC73">
        <v>2332403164199.5049</v>
      </c>
      <c r="AD73">
        <v>2396184860778.4907</v>
      </c>
      <c r="AE73">
        <v>3362907352245.5723</v>
      </c>
      <c r="AF73">
        <v>4159431451515.9004</v>
      </c>
      <c r="AG73">
        <v>4574521460012.7383</v>
      </c>
      <c r="AH73">
        <v>4672689376253.4248</v>
      </c>
      <c r="AI73">
        <v>5880688023843.2617</v>
      </c>
      <c r="AJ73">
        <v>6114122875186.2158</v>
      </c>
      <c r="AK73">
        <v>6745618204470.3848</v>
      </c>
      <c r="AL73">
        <v>6172471796791.9883</v>
      </c>
      <c r="AM73">
        <v>6515617848992.9805</v>
      </c>
      <c r="AN73">
        <v>7515452849974.9443</v>
      </c>
      <c r="AO73">
        <v>7604358498831.918</v>
      </c>
      <c r="AP73">
        <v>6952189647138.4297</v>
      </c>
      <c r="AQ73">
        <v>7149215002406.3809</v>
      </c>
      <c r="AR73">
        <v>7116212677298.501</v>
      </c>
      <c r="AS73">
        <v>6495755148668.9121</v>
      </c>
      <c r="AT73">
        <v>6596586819720.334</v>
      </c>
      <c r="AU73">
        <v>7200156656955.418</v>
      </c>
      <c r="AV73">
        <v>8862330817568.418</v>
      </c>
      <c r="AW73">
        <v>10160398631608.842</v>
      </c>
      <c r="AX73">
        <v>10523525439926.82</v>
      </c>
      <c r="AY73">
        <v>11184044960382.438</v>
      </c>
      <c r="AZ73">
        <v>12879111960143.525</v>
      </c>
      <c r="BA73">
        <v>14158257793140.352</v>
      </c>
      <c r="BB73">
        <v>12938506838994.781</v>
      </c>
      <c r="BC73">
        <v>12641745700258.459</v>
      </c>
      <c r="BD73">
        <v>13637891491638.939</v>
      </c>
      <c r="BE73">
        <v>12638777298888.457</v>
      </c>
      <c r="BF73">
        <v>13196293606325.521</v>
      </c>
      <c r="BG73">
        <v>13510069962193.664</v>
      </c>
      <c r="BH73">
        <v>11675505777208.625</v>
      </c>
      <c r="BI73">
        <v>11973696253892.754</v>
      </c>
      <c r="BJ73">
        <v>12679719055232.582</v>
      </c>
      <c r="BK73">
        <v>13698192927474.459</v>
      </c>
      <c r="BL73">
        <v>13418360523881.52</v>
      </c>
      <c r="BM73">
        <v>13086148411425.059</v>
      </c>
      <c r="BN73">
        <v>14570891691511.682</v>
      </c>
      <c r="BO73" s="190">
        <v>14040893546587.25</v>
      </c>
    </row>
    <row r="74" spans="1:67">
      <c r="A74" t="s">
        <v>624</v>
      </c>
      <c r="B74" t="s">
        <v>625</v>
      </c>
      <c r="C74" t="s">
        <v>1018</v>
      </c>
      <c r="D74" t="s">
        <v>1019</v>
      </c>
      <c r="AK74">
        <v>477101651.64837557</v>
      </c>
      <c r="AL74">
        <v>467872714.75560319</v>
      </c>
      <c r="AM74">
        <v>531688311.6883117</v>
      </c>
      <c r="AN74">
        <v>578015625</v>
      </c>
      <c r="AO74">
        <v>693535954.19006717</v>
      </c>
      <c r="AP74">
        <v>686490090.14014077</v>
      </c>
      <c r="AQ74">
        <v>745523074.70532632</v>
      </c>
      <c r="AR74">
        <v>688918508.94802928</v>
      </c>
      <c r="AS74">
        <v>706370815.58441556</v>
      </c>
      <c r="AT74">
        <v>752371683.19936144</v>
      </c>
      <c r="AU74">
        <v>729321671.44591653</v>
      </c>
      <c r="AV74">
        <v>870248293.67830348</v>
      </c>
      <c r="AW74">
        <v>1109054005.4397099</v>
      </c>
      <c r="AX74">
        <v>1098424709.486753</v>
      </c>
      <c r="AY74">
        <v>1211161879.6747968</v>
      </c>
      <c r="AZ74">
        <v>1317974491.0569105</v>
      </c>
      <c r="BA74">
        <v>1380188800</v>
      </c>
      <c r="BB74">
        <v>1856695551.2195122</v>
      </c>
      <c r="BC74">
        <v>1589515447.1544716</v>
      </c>
      <c r="BD74">
        <v>2065001626.0162601</v>
      </c>
    </row>
    <row r="75" spans="1:67">
      <c r="A75" t="s">
        <v>626</v>
      </c>
      <c r="B75" t="s">
        <v>627</v>
      </c>
      <c r="C75" t="s">
        <v>1018</v>
      </c>
      <c r="D75" t="s">
        <v>1019</v>
      </c>
      <c r="E75">
        <v>12072126075.397039</v>
      </c>
      <c r="F75">
        <v>13834300571.484875</v>
      </c>
      <c r="G75">
        <v>16138545209.245983</v>
      </c>
      <c r="H75">
        <v>19074913947.719639</v>
      </c>
      <c r="I75">
        <v>21343844643.73407</v>
      </c>
      <c r="J75">
        <v>24756958694.92382</v>
      </c>
      <c r="K75">
        <v>28721062242.163357</v>
      </c>
      <c r="L75">
        <v>31647119228.198189</v>
      </c>
      <c r="M75">
        <v>31475548481.409546</v>
      </c>
      <c r="N75">
        <v>36038711599.540985</v>
      </c>
      <c r="O75">
        <v>40992995008.319466</v>
      </c>
      <c r="P75">
        <v>46619420359.281441</v>
      </c>
      <c r="Q75">
        <v>59132415221.330574</v>
      </c>
      <c r="R75">
        <v>78639525985.151337</v>
      </c>
      <c r="S75">
        <v>97274006345.543701</v>
      </c>
      <c r="T75">
        <v>114777046376.8116</v>
      </c>
      <c r="U75">
        <v>118507184779.90549</v>
      </c>
      <c r="V75">
        <v>132449277108.43373</v>
      </c>
      <c r="W75">
        <v>160599687500</v>
      </c>
      <c r="X75">
        <v>214601955875.06198</v>
      </c>
      <c r="Y75">
        <v>232766822928.75375</v>
      </c>
      <c r="Z75">
        <v>202807891511.98416</v>
      </c>
      <c r="AA75">
        <v>195996754505.5278</v>
      </c>
      <c r="AB75">
        <v>170951185614.84918</v>
      </c>
      <c r="AC75">
        <v>172102910370.52371</v>
      </c>
      <c r="AD75">
        <v>180793463796.47748</v>
      </c>
      <c r="AE75">
        <v>251321075204.94238</v>
      </c>
      <c r="AF75">
        <v>318747935588.19568</v>
      </c>
      <c r="AG75">
        <v>376160409941.43695</v>
      </c>
      <c r="AH75">
        <v>414757056921.99579</v>
      </c>
      <c r="AI75">
        <v>536558591250.40808</v>
      </c>
      <c r="AJ75">
        <v>577166174539.63171</v>
      </c>
      <c r="AK75">
        <v>630916018202.50293</v>
      </c>
      <c r="AL75">
        <v>525075636030.8537</v>
      </c>
      <c r="AM75">
        <v>530562634455.34711</v>
      </c>
      <c r="AN75">
        <v>614609020549.77319</v>
      </c>
      <c r="AO75">
        <v>642588992512.80701</v>
      </c>
      <c r="AP75">
        <v>590077272727.27271</v>
      </c>
      <c r="AQ75">
        <v>619214834614.09949</v>
      </c>
      <c r="AR75">
        <v>634907542858.30249</v>
      </c>
      <c r="AS75">
        <v>598363313494.9032</v>
      </c>
      <c r="AT75">
        <v>627830029412.20544</v>
      </c>
      <c r="AU75">
        <v>708756677088.62866</v>
      </c>
      <c r="AV75">
        <v>907491523174.11572</v>
      </c>
      <c r="AW75">
        <v>1069055675273.7479</v>
      </c>
      <c r="AX75">
        <v>1153715822717.5093</v>
      </c>
      <c r="AY75">
        <v>1260398977831.7629</v>
      </c>
      <c r="AZ75">
        <v>1474002579820.0046</v>
      </c>
      <c r="BA75">
        <v>1631863493552.3433</v>
      </c>
      <c r="BB75">
        <v>1491472923706.6396</v>
      </c>
      <c r="BC75">
        <v>1422108199783.3699</v>
      </c>
      <c r="BD75">
        <v>1480710495710.1299</v>
      </c>
      <c r="BE75">
        <v>1324750738725.0002</v>
      </c>
      <c r="BF75">
        <v>1355579535912.5637</v>
      </c>
      <c r="BG75">
        <v>1371820537888.6008</v>
      </c>
      <c r="BH75">
        <v>1196156971279.6868</v>
      </c>
      <c r="BI75">
        <v>1233554967011.7102</v>
      </c>
      <c r="BJ75">
        <v>1313245330197.6611</v>
      </c>
      <c r="BK75">
        <v>1421702715218.0129</v>
      </c>
      <c r="BL75">
        <v>1394320055129.3845</v>
      </c>
      <c r="BM75">
        <v>1276962685648.2307</v>
      </c>
      <c r="BN75">
        <v>1427380681294.5508</v>
      </c>
      <c r="BO75" s="190">
        <v>1397509272054.4802</v>
      </c>
    </row>
    <row r="76" spans="1:67">
      <c r="A76" t="s">
        <v>628</v>
      </c>
      <c r="B76" t="s">
        <v>629</v>
      </c>
      <c r="C76" t="s">
        <v>1018</v>
      </c>
      <c r="D76" t="s">
        <v>1019</v>
      </c>
      <c r="AN76">
        <v>4502970889.0637293</v>
      </c>
      <c r="AO76">
        <v>4786018988.1649103</v>
      </c>
      <c r="AP76">
        <v>5154420649.2335434</v>
      </c>
      <c r="AQ76">
        <v>5674080542.8857489</v>
      </c>
      <c r="AR76">
        <v>5756912265.7580919</v>
      </c>
      <c r="AS76">
        <v>5686579747.535244</v>
      </c>
      <c r="AT76">
        <v>6254649538.9848719</v>
      </c>
      <c r="AU76">
        <v>7367975887.7272291</v>
      </c>
      <c r="AV76">
        <v>9874013098.4643173</v>
      </c>
      <c r="AW76">
        <v>12145911801.242235</v>
      </c>
      <c r="AX76">
        <v>14106790200.223852</v>
      </c>
      <c r="AY76">
        <v>17022870405.218918</v>
      </c>
      <c r="AZ76">
        <v>22449129482.617027</v>
      </c>
      <c r="BA76">
        <v>24341678628.973194</v>
      </c>
      <c r="BB76">
        <v>19633031397.610447</v>
      </c>
      <c r="BC76">
        <v>19523477325.623463</v>
      </c>
      <c r="BD76">
        <v>23213994093.463242</v>
      </c>
      <c r="BE76">
        <v>23019150071.186726</v>
      </c>
      <c r="BF76">
        <v>25115753366.111645</v>
      </c>
      <c r="BG76">
        <v>26634083965.098305</v>
      </c>
      <c r="BH76">
        <v>22890762090.150768</v>
      </c>
      <c r="BI76">
        <v>24072829276.775043</v>
      </c>
      <c r="BJ76">
        <v>26924385103.066174</v>
      </c>
      <c r="BK76">
        <v>30624720196.228451</v>
      </c>
      <c r="BL76">
        <v>31081901909.21508</v>
      </c>
      <c r="BM76">
        <v>31370395572.765308</v>
      </c>
      <c r="BN76">
        <v>37191166151.980026</v>
      </c>
      <c r="BO76" s="190">
        <v>38100812958.5196</v>
      </c>
    </row>
    <row r="77" spans="1:67">
      <c r="A77" t="s">
        <v>630</v>
      </c>
      <c r="B77" t="s">
        <v>631</v>
      </c>
      <c r="C77" t="s">
        <v>1018</v>
      </c>
      <c r="D77" t="s">
        <v>1019</v>
      </c>
      <c r="Z77">
        <v>7324903191.944397</v>
      </c>
      <c r="AA77">
        <v>7707678023.0471869</v>
      </c>
      <c r="AB77">
        <v>8567890825.3951159</v>
      </c>
      <c r="AC77">
        <v>8096302370.7350903</v>
      </c>
      <c r="AD77">
        <v>9480840483.0917873</v>
      </c>
      <c r="AE77">
        <v>9848600869.565218</v>
      </c>
      <c r="AF77">
        <v>10527338647.342997</v>
      </c>
      <c r="AG77">
        <v>10908935748.792271</v>
      </c>
      <c r="AH77">
        <v>11476584879.227055</v>
      </c>
      <c r="AI77">
        <v>12175166763.285025</v>
      </c>
      <c r="AJ77">
        <v>13463868357.487925</v>
      </c>
      <c r="AK77">
        <v>10492993077.609276</v>
      </c>
      <c r="AL77">
        <v>8830712713.9078121</v>
      </c>
      <c r="AM77">
        <v>6927950564.5565681</v>
      </c>
      <c r="AN77">
        <v>7663984567.9012346</v>
      </c>
      <c r="AO77">
        <v>8547939730.623744</v>
      </c>
      <c r="AP77">
        <v>8589233419.5941086</v>
      </c>
      <c r="AQ77">
        <v>7818205971.602313</v>
      </c>
      <c r="AR77">
        <v>7700833482.0061502</v>
      </c>
      <c r="AS77">
        <v>8242349955.0511074</v>
      </c>
      <c r="AT77">
        <v>8231326016.4749403</v>
      </c>
      <c r="AU77">
        <v>7850809498.1680269</v>
      </c>
      <c r="AV77">
        <v>8623691300.0407887</v>
      </c>
      <c r="AW77">
        <v>10131187261.442078</v>
      </c>
      <c r="AX77">
        <v>12401139453.973831</v>
      </c>
      <c r="AY77">
        <v>15280861834.602404</v>
      </c>
      <c r="AZ77">
        <v>19707616772.799637</v>
      </c>
      <c r="BA77">
        <v>27066912635.222847</v>
      </c>
      <c r="BB77">
        <v>32437389116.038006</v>
      </c>
      <c r="BC77">
        <v>29933790334.341789</v>
      </c>
      <c r="BD77">
        <v>31952763089.330025</v>
      </c>
      <c r="BE77">
        <v>43310721414.082878</v>
      </c>
      <c r="BF77">
        <v>47648276190.297699</v>
      </c>
      <c r="BG77">
        <v>55612228233.51786</v>
      </c>
      <c r="BH77">
        <v>64589329344.693703</v>
      </c>
      <c r="BI77">
        <v>74296745599.004761</v>
      </c>
      <c r="BJ77">
        <v>81770886908.519836</v>
      </c>
      <c r="BK77">
        <v>84269196152.033264</v>
      </c>
      <c r="BL77">
        <v>95912607970.168594</v>
      </c>
      <c r="BM77">
        <v>107657734392.44585</v>
      </c>
      <c r="BN77">
        <v>111261882913.3419</v>
      </c>
      <c r="BO77" s="190">
        <v>126783472501.13449</v>
      </c>
    </row>
    <row r="78" spans="1:67">
      <c r="A78" t="s">
        <v>632</v>
      </c>
      <c r="B78" t="s">
        <v>633</v>
      </c>
      <c r="C78" t="s">
        <v>1018</v>
      </c>
      <c r="D78" t="s">
        <v>1019</v>
      </c>
      <c r="O78">
        <v>725882274752.55115</v>
      </c>
      <c r="P78">
        <v>820757717773.02246</v>
      </c>
      <c r="Q78">
        <v>990362028045.83582</v>
      </c>
      <c r="R78">
        <v>1281934388219.4597</v>
      </c>
      <c r="S78">
        <v>1451652145420.3799</v>
      </c>
      <c r="T78">
        <v>1690761678269.72</v>
      </c>
      <c r="U78">
        <v>1769935314570.5483</v>
      </c>
      <c r="V78">
        <v>2004764968389.218</v>
      </c>
      <c r="W78">
        <v>2442532706245.0786</v>
      </c>
      <c r="X78">
        <v>2952641158090.9019</v>
      </c>
      <c r="Y78">
        <v>3302960284315.5078</v>
      </c>
      <c r="Z78">
        <v>2879789914532.563</v>
      </c>
      <c r="AA78">
        <v>2777189622000.2866</v>
      </c>
      <c r="AB78">
        <v>2701887926641.7983</v>
      </c>
      <c r="AC78">
        <v>2603220657105.8711</v>
      </c>
      <c r="AD78">
        <v>2677480780323.4023</v>
      </c>
      <c r="AE78">
        <v>3743790927546.5273</v>
      </c>
      <c r="AF78">
        <v>4630938021004.6846</v>
      </c>
      <c r="AG78">
        <v>5083942710178.2285</v>
      </c>
      <c r="AH78">
        <v>5193046311962.749</v>
      </c>
      <c r="AI78">
        <v>6497762738132.1436</v>
      </c>
      <c r="AJ78">
        <v>6735921579249.3262</v>
      </c>
      <c r="AK78">
        <v>7406344155354.1191</v>
      </c>
      <c r="AL78">
        <v>6761163265087.0137</v>
      </c>
      <c r="AM78">
        <v>7161927357609.7998</v>
      </c>
      <c r="AN78">
        <v>8295833072767.3848</v>
      </c>
      <c r="AO78">
        <v>8431357595824.374</v>
      </c>
      <c r="AP78">
        <v>7733774323755.3906</v>
      </c>
      <c r="AQ78">
        <v>7969828858391.9551</v>
      </c>
      <c r="AR78">
        <v>7925875793536.1543</v>
      </c>
      <c r="AS78">
        <v>7276637983680.5205</v>
      </c>
      <c r="AT78">
        <v>7393878987404.8359</v>
      </c>
      <c r="AU78">
        <v>8083741282668.4736</v>
      </c>
      <c r="AV78">
        <v>9932175155886</v>
      </c>
      <c r="AW78">
        <v>11418921613749.252</v>
      </c>
      <c r="AX78">
        <v>11910059838303.975</v>
      </c>
      <c r="AY78">
        <v>12712564874685.105</v>
      </c>
      <c r="AZ78">
        <v>14727376164775.461</v>
      </c>
      <c r="BA78">
        <v>16295205228567.268</v>
      </c>
      <c r="BB78">
        <v>14762588819490.098</v>
      </c>
      <c r="BC78">
        <v>14555972617838.324</v>
      </c>
      <c r="BD78">
        <v>15764817006876.984</v>
      </c>
      <c r="BE78">
        <v>14641967048097.084</v>
      </c>
      <c r="BF78">
        <v>15294848407438.24</v>
      </c>
      <c r="BG78">
        <v>15650588620201.967</v>
      </c>
      <c r="BH78">
        <v>13553055207692</v>
      </c>
      <c r="BI78">
        <v>13889039447069.811</v>
      </c>
      <c r="BJ78">
        <v>14764668937681.107</v>
      </c>
      <c r="BK78">
        <v>15979881686055.645</v>
      </c>
      <c r="BL78">
        <v>15692624900172.973</v>
      </c>
      <c r="BM78">
        <v>15370461303996.359</v>
      </c>
      <c r="BN78">
        <v>17187869517145.904</v>
      </c>
      <c r="BO78" s="190">
        <v>16641391923811.105</v>
      </c>
    </row>
    <row r="79" spans="1:67">
      <c r="A79" t="s">
        <v>634</v>
      </c>
      <c r="B79" t="s">
        <v>635</v>
      </c>
      <c r="C79" t="s">
        <v>1018</v>
      </c>
      <c r="D79" t="s">
        <v>1019</v>
      </c>
      <c r="M79">
        <v>47553203041.471222</v>
      </c>
      <c r="N79">
        <v>53024859070.802437</v>
      </c>
      <c r="O79">
        <v>64752692685.518959</v>
      </c>
      <c r="P79">
        <v>65646054526.649094</v>
      </c>
      <c r="Q79">
        <v>75151806553.983795</v>
      </c>
      <c r="R79">
        <v>92107982367.079224</v>
      </c>
      <c r="S79">
        <v>136980406437.27983</v>
      </c>
      <c r="T79">
        <v>153759152211.22681</v>
      </c>
      <c r="U79">
        <v>180961180756.50464</v>
      </c>
      <c r="V79">
        <v>198946871312.8515</v>
      </c>
      <c r="W79">
        <v>221609506111.14828</v>
      </c>
      <c r="X79">
        <v>278282388165.35016</v>
      </c>
      <c r="Y79">
        <v>349155129430.7428</v>
      </c>
      <c r="Z79">
        <v>486960997286.49475</v>
      </c>
      <c r="AA79">
        <v>465987242887.80145</v>
      </c>
      <c r="AB79">
        <v>396874429746.78955</v>
      </c>
      <c r="AC79">
        <v>358602829891.36865</v>
      </c>
      <c r="AD79">
        <v>366367601094.60883</v>
      </c>
      <c r="AE79">
        <v>355495313466.27557</v>
      </c>
      <c r="AF79">
        <v>366254709391.73663</v>
      </c>
      <c r="AG79">
        <v>383794948240.23584</v>
      </c>
      <c r="AH79">
        <v>381230663368.43451</v>
      </c>
      <c r="AI79">
        <v>551342530427.42957</v>
      </c>
      <c r="AJ79">
        <v>381531446738.90857</v>
      </c>
      <c r="AK79">
        <v>347676359980.33984</v>
      </c>
      <c r="AL79">
        <v>326388229892.99078</v>
      </c>
      <c r="AM79">
        <v>314279238490.89508</v>
      </c>
      <c r="AN79">
        <v>361869344293.63684</v>
      </c>
      <c r="AO79">
        <v>374057006833.94904</v>
      </c>
      <c r="AP79">
        <v>423892448016.90356</v>
      </c>
      <c r="AQ79">
        <v>419660968046.88861</v>
      </c>
      <c r="AR79">
        <v>452246369665.91888</v>
      </c>
      <c r="AS79">
        <v>525779770490.53931</v>
      </c>
      <c r="AT79">
        <v>524681289000.55664</v>
      </c>
      <c r="AU79">
        <v>514970518033.73682</v>
      </c>
      <c r="AV79">
        <v>539908403989.95441</v>
      </c>
      <c r="AW79">
        <v>680984145585.36926</v>
      </c>
      <c r="AX79">
        <v>855994138374.01611</v>
      </c>
      <c r="AY79">
        <v>1060372941416.125</v>
      </c>
      <c r="AZ79">
        <v>1291298791468.2002</v>
      </c>
      <c r="BA79">
        <v>1635897220165.6416</v>
      </c>
      <c r="BB79">
        <v>1511996903435.0173</v>
      </c>
      <c r="BC79">
        <v>1789072058275.9814</v>
      </c>
      <c r="BD79">
        <v>1682542841743.4575</v>
      </c>
      <c r="BE79">
        <v>1885587511075.6086</v>
      </c>
      <c r="BF79">
        <v>1957252462301.6096</v>
      </c>
      <c r="BG79">
        <v>2076522998831.2627</v>
      </c>
      <c r="BH79">
        <v>1658615485489.4646</v>
      </c>
      <c r="BI79">
        <v>1554854673356.3035</v>
      </c>
      <c r="BJ79">
        <v>1645002526594.4158</v>
      </c>
      <c r="BK79">
        <v>1729702731010.2769</v>
      </c>
      <c r="BL79">
        <v>1825819675083.7146</v>
      </c>
      <c r="BM79">
        <v>1662433181851.905</v>
      </c>
      <c r="BN79">
        <v>1782737506679.6458</v>
      </c>
      <c r="BO79" s="190">
        <v>1891789706611.7024</v>
      </c>
    </row>
    <row r="80" spans="1:67">
      <c r="A80" t="s">
        <v>636</v>
      </c>
      <c r="B80" t="s">
        <v>637</v>
      </c>
      <c r="C80" t="s">
        <v>1018</v>
      </c>
      <c r="D80" t="s">
        <v>1019</v>
      </c>
      <c r="E80">
        <v>5224102195.5277081</v>
      </c>
      <c r="F80">
        <v>5921659485.0328388</v>
      </c>
      <c r="G80">
        <v>6340580854.390729</v>
      </c>
      <c r="H80">
        <v>6885920328.661869</v>
      </c>
      <c r="I80">
        <v>7766655085.7858801</v>
      </c>
      <c r="J80">
        <v>8589340019.0298481</v>
      </c>
      <c r="K80">
        <v>9208524504.8768425</v>
      </c>
      <c r="L80">
        <v>9368954010.3131962</v>
      </c>
      <c r="M80">
        <v>8823033880.3299313</v>
      </c>
      <c r="N80">
        <v>10070766720.501141</v>
      </c>
      <c r="O80">
        <v>11357516987.542469</v>
      </c>
      <c r="P80">
        <v>12527405512.92981</v>
      </c>
      <c r="Q80">
        <v>14743186119.873817</v>
      </c>
      <c r="R80">
        <v>19472363466.625172</v>
      </c>
      <c r="S80">
        <v>24848821490.467937</v>
      </c>
      <c r="T80">
        <v>29472623242.282204</v>
      </c>
      <c r="U80">
        <v>31849513771.349438</v>
      </c>
      <c r="V80">
        <v>33499799321.233585</v>
      </c>
      <c r="W80">
        <v>36256160288.808662</v>
      </c>
      <c r="X80">
        <v>44465255686.154785</v>
      </c>
      <c r="Y80">
        <v>53645202422.696846</v>
      </c>
      <c r="Z80">
        <v>52448332874.069992</v>
      </c>
      <c r="AA80">
        <v>52797582336.252625</v>
      </c>
      <c r="AB80">
        <v>50973526900.085396</v>
      </c>
      <c r="AC80">
        <v>52888800949.742783</v>
      </c>
      <c r="AD80">
        <v>55875863392.171913</v>
      </c>
      <c r="AE80">
        <v>73531550551.25499</v>
      </c>
      <c r="AF80">
        <v>91594751792.235901</v>
      </c>
      <c r="AG80">
        <v>109058990760.48329</v>
      </c>
      <c r="AH80">
        <v>119012054870.44478</v>
      </c>
      <c r="AI80">
        <v>141438345513.91696</v>
      </c>
      <c r="AJ80">
        <v>127773856785.76678</v>
      </c>
      <c r="AK80">
        <v>112532519246.08443</v>
      </c>
      <c r="AL80">
        <v>89214114708.025406</v>
      </c>
      <c r="AM80">
        <v>103299943084.80365</v>
      </c>
      <c r="AN80">
        <v>134189814814.8148</v>
      </c>
      <c r="AO80">
        <v>132129174216.92986</v>
      </c>
      <c r="AP80">
        <v>126912152101.70656</v>
      </c>
      <c r="AQ80">
        <v>134038718291.05473</v>
      </c>
      <c r="AR80">
        <v>135264083658.68756</v>
      </c>
      <c r="AS80">
        <v>126019543413.3336</v>
      </c>
      <c r="AT80">
        <v>129533107311.81119</v>
      </c>
      <c r="AU80">
        <v>140404460203.13751</v>
      </c>
      <c r="AV80">
        <v>171652458349.41141</v>
      </c>
      <c r="AW80">
        <v>197479443979.15109</v>
      </c>
      <c r="AX80">
        <v>204885494686.38123</v>
      </c>
      <c r="AY80">
        <v>217089269791.7644</v>
      </c>
      <c r="AZ80">
        <v>256378067752.15768</v>
      </c>
      <c r="BA80">
        <v>285716311136.71869</v>
      </c>
      <c r="BB80">
        <v>253497520828.51544</v>
      </c>
      <c r="BC80">
        <v>249424310816.6731</v>
      </c>
      <c r="BD80">
        <v>275604356167.31763</v>
      </c>
      <c r="BE80">
        <v>258290060227.73444</v>
      </c>
      <c r="BF80">
        <v>271362405890.59116</v>
      </c>
      <c r="BG80">
        <v>274862826772.15152</v>
      </c>
      <c r="BH80">
        <v>234534382384.7655</v>
      </c>
      <c r="BI80">
        <v>240771351298.83994</v>
      </c>
      <c r="BJ80">
        <v>255647979916.47333</v>
      </c>
      <c r="BK80">
        <v>275708001767.83801</v>
      </c>
      <c r="BL80">
        <v>268514916972.54379</v>
      </c>
      <c r="BM80">
        <v>271886077382.09726</v>
      </c>
      <c r="BN80">
        <v>296387625263.56116</v>
      </c>
      <c r="BO80" s="190">
        <v>280825957768.48358</v>
      </c>
    </row>
    <row r="81" spans="1:67">
      <c r="A81" t="s">
        <v>638</v>
      </c>
      <c r="B81" t="s">
        <v>639</v>
      </c>
      <c r="C81" t="s">
        <v>1018</v>
      </c>
      <c r="D81" t="s">
        <v>1019</v>
      </c>
      <c r="E81">
        <v>112328422.11308399</v>
      </c>
      <c r="F81">
        <v>116987784.91373882</v>
      </c>
      <c r="G81">
        <v>122906434.95781387</v>
      </c>
      <c r="H81">
        <v>129454728.62359904</v>
      </c>
      <c r="I81">
        <v>140032741.46832892</v>
      </c>
      <c r="J81">
        <v>147084750.03148219</v>
      </c>
      <c r="K81">
        <v>150603925.51585305</v>
      </c>
      <c r="L81">
        <v>162625885.86348379</v>
      </c>
      <c r="M81">
        <v>166952937.13500515</v>
      </c>
      <c r="N81">
        <v>182182067.70356816</v>
      </c>
      <c r="O81">
        <v>219878482.17356414</v>
      </c>
      <c r="P81">
        <v>247749327.7212674</v>
      </c>
      <c r="Q81">
        <v>316656759.38113195</v>
      </c>
      <c r="R81">
        <v>425950581.25945771</v>
      </c>
      <c r="S81">
        <v>558587216.56826556</v>
      </c>
      <c r="T81">
        <v>684282380.89354837</v>
      </c>
      <c r="U81">
        <v>694540494.5727402</v>
      </c>
      <c r="V81">
        <v>719501505.15092731</v>
      </c>
      <c r="W81">
        <v>829268135.24117136</v>
      </c>
      <c r="X81">
        <v>1019691156.3685273</v>
      </c>
      <c r="Y81">
        <v>1202619307.7646616</v>
      </c>
      <c r="Z81">
        <v>1235627374.3754494</v>
      </c>
      <c r="AA81">
        <v>1194060371.3599176</v>
      </c>
      <c r="AB81">
        <v>1123084823.072782</v>
      </c>
      <c r="AC81">
        <v>1178001041.3424249</v>
      </c>
      <c r="AD81">
        <v>1141168779.5115707</v>
      </c>
      <c r="AE81">
        <v>1290267529.5684667</v>
      </c>
      <c r="AF81">
        <v>1177947649.4509723</v>
      </c>
      <c r="AG81">
        <v>1110009264.0606909</v>
      </c>
      <c r="AH81">
        <v>1182660000.0000026</v>
      </c>
      <c r="AI81">
        <v>1337017258.5519054</v>
      </c>
      <c r="AJ81">
        <v>1383883718.5267262</v>
      </c>
      <c r="AK81">
        <v>1532411208.9838684</v>
      </c>
      <c r="AL81">
        <v>1636101246.9394045</v>
      </c>
      <c r="AM81">
        <v>1825732092.5467432</v>
      </c>
      <c r="AN81">
        <v>1970301019.1988668</v>
      </c>
      <c r="AO81">
        <v>2128696643.6257393</v>
      </c>
      <c r="AP81">
        <v>2090221137.0287633</v>
      </c>
      <c r="AQ81">
        <v>1653146993.935019</v>
      </c>
      <c r="AR81">
        <v>1936459986.0379515</v>
      </c>
      <c r="AS81">
        <v>1678219507.8982911</v>
      </c>
      <c r="AT81">
        <v>1652462062.6388407</v>
      </c>
      <c r="AU81">
        <v>1833279985.367415</v>
      </c>
      <c r="AV81">
        <v>2300492002.0130219</v>
      </c>
      <c r="AW81">
        <v>2708078476.6301212</v>
      </c>
      <c r="AX81">
        <v>2980403464.5306616</v>
      </c>
      <c r="AY81">
        <v>3076305452.8650646</v>
      </c>
      <c r="AZ81">
        <v>3378314599.764019</v>
      </c>
      <c r="BA81">
        <v>3523185919.5582609</v>
      </c>
      <c r="BB81">
        <v>2870624635.6803193</v>
      </c>
      <c r="BC81">
        <v>3140167239.4686899</v>
      </c>
      <c r="BD81">
        <v>3779412255.4769435</v>
      </c>
      <c r="BE81">
        <v>3972028509.664495</v>
      </c>
      <c r="BF81">
        <v>4189968869.8172112</v>
      </c>
      <c r="BG81">
        <v>4857103846.729845</v>
      </c>
      <c r="BH81">
        <v>4682480303.9746895</v>
      </c>
      <c r="BI81">
        <v>4930213787.5045147</v>
      </c>
      <c r="BJ81">
        <v>5353468387.5601883</v>
      </c>
      <c r="BK81">
        <v>5581425890.9665098</v>
      </c>
      <c r="BL81">
        <v>5481692621.611248</v>
      </c>
      <c r="BM81">
        <v>4477030179.8312769</v>
      </c>
      <c r="BN81">
        <v>4296235427.5233946</v>
      </c>
      <c r="BO81" s="190">
        <v>4943248200.044096</v>
      </c>
    </row>
    <row r="82" spans="1:67">
      <c r="A82" t="s">
        <v>640</v>
      </c>
      <c r="B82" t="s">
        <v>641</v>
      </c>
      <c r="C82" t="s">
        <v>1018</v>
      </c>
      <c r="D82" t="s">
        <v>1019</v>
      </c>
      <c r="E82">
        <v>62225478000.88224</v>
      </c>
      <c r="F82">
        <v>67461644222.035179</v>
      </c>
      <c r="G82">
        <v>75607529809.928787</v>
      </c>
      <c r="H82">
        <v>84759195105.869278</v>
      </c>
      <c r="I82">
        <v>94007851047.367783</v>
      </c>
      <c r="J82">
        <v>101537248148.42683</v>
      </c>
      <c r="K82">
        <v>110045852177.92784</v>
      </c>
      <c r="L82">
        <v>118972977486.2066</v>
      </c>
      <c r="M82">
        <v>129785441507.45569</v>
      </c>
      <c r="N82">
        <v>141903068680.30939</v>
      </c>
      <c r="O82">
        <v>148456359985.82733</v>
      </c>
      <c r="P82">
        <v>165966615366.40228</v>
      </c>
      <c r="Q82">
        <v>203494148244.47333</v>
      </c>
      <c r="R82">
        <v>264429876252.20981</v>
      </c>
      <c r="S82">
        <v>285552373158.75616</v>
      </c>
      <c r="T82">
        <v>360832186018.05115</v>
      </c>
      <c r="U82">
        <v>372319038514.0672</v>
      </c>
      <c r="V82">
        <v>410279486493.7149</v>
      </c>
      <c r="W82">
        <v>506707848837.20935</v>
      </c>
      <c r="X82">
        <v>613953129818.0697</v>
      </c>
      <c r="Y82">
        <v>701288419745.42065</v>
      </c>
      <c r="Z82">
        <v>615552202776.10132</v>
      </c>
      <c r="AA82">
        <v>584877732308.61365</v>
      </c>
      <c r="AB82">
        <v>559869179791.72046</v>
      </c>
      <c r="AC82">
        <v>530683779929.44531</v>
      </c>
      <c r="AD82">
        <v>553138414367.06091</v>
      </c>
      <c r="AE82">
        <v>771470783218.10779</v>
      </c>
      <c r="AF82">
        <v>934173305685.91077</v>
      </c>
      <c r="AG82">
        <v>1018847043277.1721</v>
      </c>
      <c r="AH82">
        <v>1025211803413.5308</v>
      </c>
      <c r="AI82">
        <v>1269179616913.625</v>
      </c>
      <c r="AJ82">
        <v>1269276828275.782</v>
      </c>
      <c r="AK82">
        <v>1401465923172.2427</v>
      </c>
      <c r="AL82">
        <v>1322815612694.0005</v>
      </c>
      <c r="AM82">
        <v>1393982750472.5898</v>
      </c>
      <c r="AN82">
        <v>1601094756209.7515</v>
      </c>
      <c r="AO82">
        <v>1605675086549.5576</v>
      </c>
      <c r="AP82">
        <v>1452884917959.0918</v>
      </c>
      <c r="AQ82">
        <v>1503108739159.4397</v>
      </c>
      <c r="AR82">
        <v>1493151737698.459</v>
      </c>
      <c r="AS82">
        <v>1365639660792.1597</v>
      </c>
      <c r="AT82">
        <v>1377657339291.3403</v>
      </c>
      <c r="AU82">
        <v>1501409382971.3752</v>
      </c>
      <c r="AV82">
        <v>1844544792036.8589</v>
      </c>
      <c r="AW82">
        <v>2119633181634.3684</v>
      </c>
      <c r="AX82">
        <v>2196945232435.7966</v>
      </c>
      <c r="AY82">
        <v>2320536221304.7026</v>
      </c>
      <c r="AZ82">
        <v>2660591246211.7734</v>
      </c>
      <c r="BA82">
        <v>2930303780828.1245</v>
      </c>
      <c r="BB82">
        <v>2700887366932.0293</v>
      </c>
      <c r="BC82">
        <v>2645187882116.7349</v>
      </c>
      <c r="BD82">
        <v>2865157541994.189</v>
      </c>
      <c r="BE82">
        <v>2683671716967.188</v>
      </c>
      <c r="BF82">
        <v>2811876903329.0498</v>
      </c>
      <c r="BG82">
        <v>2855964488590.1406</v>
      </c>
      <c r="BH82">
        <v>2439188643162.4985</v>
      </c>
      <c r="BI82">
        <v>2472964344587.2339</v>
      </c>
      <c r="BJ82">
        <v>2595151045197.6748</v>
      </c>
      <c r="BK82">
        <v>2790956878746.6147</v>
      </c>
      <c r="BL82">
        <v>2728870246705.8291</v>
      </c>
      <c r="BM82">
        <v>2639008701648.2109</v>
      </c>
      <c r="BN82">
        <v>2957879759263.5186</v>
      </c>
      <c r="BO82" s="190">
        <v>2782905325624.5244</v>
      </c>
    </row>
    <row r="83" spans="1:67">
      <c r="A83" t="s">
        <v>642</v>
      </c>
      <c r="B83" t="s">
        <v>643</v>
      </c>
      <c r="C83" t="s">
        <v>1018</v>
      </c>
      <c r="D83" t="s">
        <v>1019</v>
      </c>
      <c r="AQ83">
        <v>1104744290.2567239</v>
      </c>
      <c r="AR83">
        <v>1127684827.3568571</v>
      </c>
      <c r="AS83">
        <v>1067109508.6452018</v>
      </c>
      <c r="AT83">
        <v>1160268142.3688552</v>
      </c>
      <c r="AU83">
        <v>1275093662.3523519</v>
      </c>
      <c r="AV83">
        <v>1501941504.8914595</v>
      </c>
      <c r="AW83">
        <v>1724770866.7975645</v>
      </c>
      <c r="AX83">
        <v>1759739599.2269354</v>
      </c>
      <c r="AY83">
        <v>2017680721.8025906</v>
      </c>
      <c r="AZ83">
        <v>2339015384.9074197</v>
      </c>
      <c r="BA83">
        <v>2489873331.0263896</v>
      </c>
      <c r="BB83">
        <v>2296065312.8225522</v>
      </c>
      <c r="BC83">
        <v>2331796784.3600945</v>
      </c>
      <c r="BD83">
        <v>2505740886.2590709</v>
      </c>
      <c r="BE83">
        <v>2427200582.9111452</v>
      </c>
      <c r="BF83">
        <v>2690110671.241323</v>
      </c>
      <c r="BG83">
        <v>2914012852.340621</v>
      </c>
      <c r="BH83">
        <v>2573906035.5958357</v>
      </c>
      <c r="BI83">
        <v>2813278761.275238</v>
      </c>
      <c r="BJ83">
        <v>2980057167.7359519</v>
      </c>
      <c r="BK83">
        <v>3188601035.1907024</v>
      </c>
      <c r="BL83">
        <v>3275684065.1313915</v>
      </c>
      <c r="BM83">
        <v>3248670978.1016498</v>
      </c>
      <c r="BN83">
        <v>3649878680.2281122</v>
      </c>
    </row>
    <row r="84" spans="1:67">
      <c r="A84" t="s">
        <v>644</v>
      </c>
      <c r="B84" t="s">
        <v>645</v>
      </c>
      <c r="C84" t="s">
        <v>1018</v>
      </c>
      <c r="D84" t="s">
        <v>1019</v>
      </c>
      <c r="AB84">
        <v>106500000</v>
      </c>
      <c r="AE84">
        <v>112210000</v>
      </c>
      <c r="AF84">
        <v>116700000</v>
      </c>
      <c r="AG84">
        <v>124700000</v>
      </c>
      <c r="AH84">
        <v>135200000</v>
      </c>
      <c r="AI84">
        <v>147200000</v>
      </c>
      <c r="AJ84">
        <v>166200000</v>
      </c>
      <c r="AK84">
        <v>178100000</v>
      </c>
      <c r="AL84">
        <v>198400000</v>
      </c>
      <c r="AM84">
        <v>202500000</v>
      </c>
      <c r="AN84">
        <v>221575300</v>
      </c>
      <c r="AO84">
        <v>218534700</v>
      </c>
      <c r="AP84">
        <v>206626300</v>
      </c>
      <c r="AQ84">
        <v>218873100</v>
      </c>
      <c r="AR84">
        <v>220140500</v>
      </c>
      <c r="AS84">
        <v>233271800</v>
      </c>
      <c r="AT84">
        <v>240970900</v>
      </c>
      <c r="AU84">
        <v>242517200</v>
      </c>
      <c r="AV84">
        <v>245432900</v>
      </c>
      <c r="AW84">
        <v>240236000</v>
      </c>
      <c r="AX84">
        <v>250281900</v>
      </c>
      <c r="AY84">
        <v>253541900</v>
      </c>
      <c r="AZ84">
        <v>256787199.99999997</v>
      </c>
      <c r="BA84">
        <v>263145100</v>
      </c>
      <c r="BB84">
        <v>280284600</v>
      </c>
      <c r="BC84">
        <v>296944100</v>
      </c>
      <c r="BD84">
        <v>311301600</v>
      </c>
      <c r="BE84">
        <v>327248700</v>
      </c>
      <c r="BF84">
        <v>317214400</v>
      </c>
      <c r="BG84">
        <v>319271200</v>
      </c>
      <c r="BH84">
        <v>316489900</v>
      </c>
      <c r="BI84">
        <v>332265200</v>
      </c>
      <c r="BJ84">
        <v>366666800</v>
      </c>
      <c r="BK84">
        <v>401932300</v>
      </c>
      <c r="BL84">
        <v>412000000</v>
      </c>
      <c r="BM84">
        <v>408000000</v>
      </c>
      <c r="BN84">
        <v>404028900</v>
      </c>
      <c r="BO84" s="190">
        <v>427094119.11131704</v>
      </c>
    </row>
    <row r="85" spans="1:67">
      <c r="A85" t="s">
        <v>646</v>
      </c>
      <c r="B85" t="s">
        <v>647</v>
      </c>
      <c r="C85" t="s">
        <v>1018</v>
      </c>
      <c r="D85" t="s">
        <v>1019</v>
      </c>
      <c r="E85">
        <v>141468977.57000685</v>
      </c>
      <c r="F85">
        <v>167637907.38172305</v>
      </c>
      <c r="G85">
        <v>182796536.49988413</v>
      </c>
      <c r="H85">
        <v>154480244.24684379</v>
      </c>
      <c r="I85">
        <v>215679855.27251634</v>
      </c>
      <c r="J85">
        <v>226474285.58710822</v>
      </c>
      <c r="K85">
        <v>245849781.71589851</v>
      </c>
      <c r="L85">
        <v>271543680.27928549</v>
      </c>
      <c r="M85">
        <v>294468564.53436893</v>
      </c>
      <c r="N85">
        <v>318124701.04894888</v>
      </c>
      <c r="O85">
        <v>323802475.48097664</v>
      </c>
      <c r="P85">
        <v>381687073.05855811</v>
      </c>
      <c r="Q85">
        <v>430508357.72391623</v>
      </c>
      <c r="R85">
        <v>722780701.12325084</v>
      </c>
      <c r="S85">
        <v>1544216003.9841001</v>
      </c>
      <c r="T85">
        <v>2157592936.607121</v>
      </c>
      <c r="U85">
        <v>3009409970.9051447</v>
      </c>
      <c r="V85">
        <v>2809349074.1773834</v>
      </c>
      <c r="W85">
        <v>2389479269.1887755</v>
      </c>
      <c r="X85">
        <v>3030251116.3599873</v>
      </c>
      <c r="Y85">
        <v>4279637933.8512559</v>
      </c>
      <c r="Z85">
        <v>3862269126.9264226</v>
      </c>
      <c r="AA85">
        <v>3618007844.4491944</v>
      </c>
      <c r="AB85">
        <v>3391275731.318337</v>
      </c>
      <c r="AC85">
        <v>3561451562.2356911</v>
      </c>
      <c r="AD85">
        <v>3339914759.3726931</v>
      </c>
      <c r="AE85">
        <v>3403638193.5791216</v>
      </c>
      <c r="AF85">
        <v>3281797038.6658998</v>
      </c>
      <c r="AG85">
        <v>3834503378.3552542</v>
      </c>
      <c r="AH85">
        <v>4186411457.4569025</v>
      </c>
      <c r="AI85">
        <v>5952293765.8448372</v>
      </c>
      <c r="AJ85">
        <v>5402919788.2315254</v>
      </c>
      <c r="AK85">
        <v>5592390832.668292</v>
      </c>
      <c r="AL85">
        <v>4378645081.0176907</v>
      </c>
      <c r="AM85">
        <v>4190819346.8214316</v>
      </c>
      <c r="AN85">
        <v>4958845649.0282278</v>
      </c>
      <c r="AO85">
        <v>5694039999.8652782</v>
      </c>
      <c r="AP85">
        <v>5326817111.3106203</v>
      </c>
      <c r="AQ85">
        <v>4483417313.1182308</v>
      </c>
      <c r="AR85">
        <v>4662992036.2072964</v>
      </c>
      <c r="AS85">
        <v>5080483628.3057413</v>
      </c>
      <c r="AT85">
        <v>5023265411.4774847</v>
      </c>
      <c r="AU85">
        <v>5335451103.7556906</v>
      </c>
      <c r="AV85">
        <v>6511903363.5388441</v>
      </c>
      <c r="AW85">
        <v>7770219003.9166193</v>
      </c>
      <c r="AX85">
        <v>9582783997.2214127</v>
      </c>
      <c r="AY85">
        <v>10327598308.529716</v>
      </c>
      <c r="AZ85">
        <v>12455409574.940777</v>
      </c>
      <c r="BA85">
        <v>15571348329.227859</v>
      </c>
      <c r="BB85">
        <v>12113699059.458052</v>
      </c>
      <c r="BC85">
        <v>14372593013.812424</v>
      </c>
      <c r="BD85">
        <v>18210307754.44265</v>
      </c>
      <c r="BE85">
        <v>17170464000.782419</v>
      </c>
      <c r="BF85">
        <v>17595744803.604061</v>
      </c>
      <c r="BG85">
        <v>18203966900.440376</v>
      </c>
      <c r="BH85">
        <v>14383107763.11825</v>
      </c>
      <c r="BI85">
        <v>14023890263.87505</v>
      </c>
      <c r="BJ85">
        <v>14929487495.759014</v>
      </c>
      <c r="BK85">
        <v>16867326389.869593</v>
      </c>
      <c r="BL85">
        <v>16874405460.196362</v>
      </c>
      <c r="BM85">
        <v>15314577167.819899</v>
      </c>
      <c r="BN85">
        <v>20217946921.206306</v>
      </c>
      <c r="BO85" s="190">
        <v>21071739227.942764</v>
      </c>
    </row>
    <row r="86" spans="1:67">
      <c r="A86" t="s">
        <v>648</v>
      </c>
      <c r="B86" t="s">
        <v>649</v>
      </c>
      <c r="C86" t="s">
        <v>1018</v>
      </c>
      <c r="D86" t="s">
        <v>1019</v>
      </c>
      <c r="E86">
        <v>73233970838.232788</v>
      </c>
      <c r="F86">
        <v>77741969043.147903</v>
      </c>
      <c r="G86">
        <v>81247567647.218536</v>
      </c>
      <c r="H86">
        <v>86561965531.025284</v>
      </c>
      <c r="I86">
        <v>94407562406.908615</v>
      </c>
      <c r="J86">
        <v>101824759453.38075</v>
      </c>
      <c r="K86">
        <v>108572756766.32822</v>
      </c>
      <c r="L86">
        <v>113116882129.93555</v>
      </c>
      <c r="M86">
        <v>107759913942.93263</v>
      </c>
      <c r="N86">
        <v>116464706991.2849</v>
      </c>
      <c r="O86">
        <v>130682295637.11859</v>
      </c>
      <c r="P86">
        <v>148106601857.13687</v>
      </c>
      <c r="Q86">
        <v>169969084028.49045</v>
      </c>
      <c r="R86">
        <v>192551676950.86124</v>
      </c>
      <c r="S86">
        <v>206152361030.54315</v>
      </c>
      <c r="T86">
        <v>241734621312.29465</v>
      </c>
      <c r="U86">
        <v>232610445456.53827</v>
      </c>
      <c r="V86">
        <v>263079306617.24155</v>
      </c>
      <c r="W86">
        <v>335880078399.84827</v>
      </c>
      <c r="X86">
        <v>439011580877.70288</v>
      </c>
      <c r="Y86">
        <v>564954276868.08875</v>
      </c>
      <c r="Z86">
        <v>540720761152.0498</v>
      </c>
      <c r="AA86">
        <v>515006780277.42358</v>
      </c>
      <c r="AB86">
        <v>489599764279.81616</v>
      </c>
      <c r="AC86">
        <v>461483005638.35284</v>
      </c>
      <c r="AD86">
        <v>489256281228.6673</v>
      </c>
      <c r="AE86">
        <v>601455004221.65271</v>
      </c>
      <c r="AF86">
        <v>745130338365.80042</v>
      </c>
      <c r="AG86">
        <v>910171030657.67993</v>
      </c>
      <c r="AH86">
        <v>926926143222.19043</v>
      </c>
      <c r="AI86">
        <v>1093213710428.0087</v>
      </c>
      <c r="AJ86">
        <v>1142766274398.2239</v>
      </c>
      <c r="AK86">
        <v>1179713014951.8296</v>
      </c>
      <c r="AL86">
        <v>1061457883633.5503</v>
      </c>
      <c r="AM86">
        <v>1140443311074.4995</v>
      </c>
      <c r="AN86">
        <v>1346252041210.4685</v>
      </c>
      <c r="AO86">
        <v>1421711933486.2144</v>
      </c>
      <c r="AP86">
        <v>1561715127635.2229</v>
      </c>
      <c r="AQ86">
        <v>1654996607708.189</v>
      </c>
      <c r="AR86">
        <v>1689407711357.0354</v>
      </c>
      <c r="AS86">
        <v>1666048767079.7632</v>
      </c>
      <c r="AT86">
        <v>1648765214386.9978</v>
      </c>
      <c r="AU86">
        <v>1785781372553.9185</v>
      </c>
      <c r="AV86">
        <v>2056704586736.5474</v>
      </c>
      <c r="AW86">
        <v>2423047347028.4521</v>
      </c>
      <c r="AX86">
        <v>2544813166100.5049</v>
      </c>
      <c r="AY86">
        <v>2709978165671.0361</v>
      </c>
      <c r="AZ86">
        <v>3092996468387.228</v>
      </c>
      <c r="BA86">
        <v>2931683721186.7466</v>
      </c>
      <c r="BB86">
        <v>2417565709974.4907</v>
      </c>
      <c r="BC86">
        <v>2491397494467.9458</v>
      </c>
      <c r="BD86">
        <v>2666403005061.417</v>
      </c>
      <c r="BE86">
        <v>2706340967030.6821</v>
      </c>
      <c r="BF86">
        <v>2786315215249.9458</v>
      </c>
      <c r="BG86">
        <v>3065223279583.7935</v>
      </c>
      <c r="BH86">
        <v>2934857946213.4746</v>
      </c>
      <c r="BI86">
        <v>2699659680997.1973</v>
      </c>
      <c r="BJ86">
        <v>2683488510504.0386</v>
      </c>
      <c r="BK86">
        <v>2878152147315.8159</v>
      </c>
      <c r="BL86">
        <v>2857057847953.0215</v>
      </c>
      <c r="BM86">
        <v>2704609160088.1504</v>
      </c>
      <c r="BN86">
        <v>3122480345924.5425</v>
      </c>
      <c r="BO86" s="190">
        <v>3070667732359.2051</v>
      </c>
    </row>
    <row r="87" spans="1:67">
      <c r="A87" t="s">
        <v>650</v>
      </c>
      <c r="B87" t="s">
        <v>651</v>
      </c>
      <c r="C87" t="s">
        <v>1018</v>
      </c>
      <c r="D87" t="s">
        <v>1019</v>
      </c>
      <c r="AI87">
        <v>7753501867.7609463</v>
      </c>
      <c r="AJ87">
        <v>6357615894.0397358</v>
      </c>
      <c r="AK87">
        <v>3690328963.640861</v>
      </c>
      <c r="AL87">
        <v>2701181331.3081622</v>
      </c>
      <c r="AM87">
        <v>2514070771.8027306</v>
      </c>
      <c r="AN87">
        <v>2693768412.8917928</v>
      </c>
      <c r="AO87">
        <v>3095047603.8083048</v>
      </c>
      <c r="AP87">
        <v>3510520231.2138724</v>
      </c>
      <c r="AQ87">
        <v>3613498183.2136045</v>
      </c>
      <c r="AR87">
        <v>2800026343.7363605</v>
      </c>
      <c r="AS87">
        <v>3057475335.1884646</v>
      </c>
      <c r="AT87">
        <v>3219462779.6849952</v>
      </c>
      <c r="AU87">
        <v>3395766677.6731529</v>
      </c>
      <c r="AV87">
        <v>3991377904.1316156</v>
      </c>
      <c r="AW87">
        <v>5125365191.9866438</v>
      </c>
      <c r="AX87">
        <v>6410912049.871047</v>
      </c>
      <c r="AY87">
        <v>7745249283.8822155</v>
      </c>
      <c r="AZ87">
        <v>10172933118.493038</v>
      </c>
      <c r="BA87">
        <v>12795147991.838758</v>
      </c>
      <c r="BB87">
        <v>10766919442.078922</v>
      </c>
      <c r="BC87">
        <v>12243219360.29846</v>
      </c>
      <c r="BD87">
        <v>15107482383.379772</v>
      </c>
      <c r="BE87">
        <v>16488819132.883541</v>
      </c>
      <c r="BF87">
        <v>17190068235.789219</v>
      </c>
      <c r="BG87">
        <v>17627336228.053581</v>
      </c>
      <c r="BH87">
        <v>14953675992.670391</v>
      </c>
      <c r="BI87">
        <v>15141598622.56916</v>
      </c>
      <c r="BJ87">
        <v>16242647229.739805</v>
      </c>
      <c r="BK87">
        <v>17596922469.915173</v>
      </c>
      <c r="BL87">
        <v>17470436258.513054</v>
      </c>
      <c r="BM87">
        <v>15842922532.720198</v>
      </c>
      <c r="BN87">
        <v>18629365612.095997</v>
      </c>
      <c r="BO87" s="190">
        <v>24605375420.067211</v>
      </c>
    </row>
    <row r="88" spans="1:67">
      <c r="A88" t="s">
        <v>652</v>
      </c>
      <c r="B88" t="s">
        <v>653</v>
      </c>
      <c r="C88" t="s">
        <v>1018</v>
      </c>
      <c r="D88" t="s">
        <v>1019</v>
      </c>
      <c r="E88">
        <v>1217230094.9720452</v>
      </c>
      <c r="F88">
        <v>1302674324.8837769</v>
      </c>
      <c r="G88">
        <v>1382515654.4734278</v>
      </c>
      <c r="H88">
        <v>1540797588.5722094</v>
      </c>
      <c r="I88">
        <v>1731296199.5229552</v>
      </c>
      <c r="J88">
        <v>2053462968.042599</v>
      </c>
      <c r="K88">
        <v>2126300672.2296488</v>
      </c>
      <c r="L88">
        <v>1747187644.9030993</v>
      </c>
      <c r="M88">
        <v>1666909517.6520472</v>
      </c>
      <c r="N88">
        <v>1962050555.777498</v>
      </c>
      <c r="O88">
        <v>2215028588.4564557</v>
      </c>
      <c r="P88">
        <v>2417108577.5273857</v>
      </c>
      <c r="Q88">
        <v>2112293279.9850671</v>
      </c>
      <c r="R88">
        <v>3006766758.4397712</v>
      </c>
      <c r="S88">
        <v>2894409937.8881984</v>
      </c>
      <c r="T88">
        <v>2810106382.9787235</v>
      </c>
      <c r="U88">
        <v>2765254237.2881355</v>
      </c>
      <c r="V88">
        <v>3189428571.4285712</v>
      </c>
      <c r="W88">
        <v>3662478184.9912739</v>
      </c>
      <c r="X88">
        <v>4020227920.2279201</v>
      </c>
      <c r="Y88">
        <v>4445228215.7676344</v>
      </c>
      <c r="Z88">
        <v>4222441614.9743247</v>
      </c>
      <c r="AA88">
        <v>4035994397.7591038</v>
      </c>
      <c r="AB88">
        <v>4057275042.8290339</v>
      </c>
      <c r="AC88">
        <v>4412279843.4442272</v>
      </c>
      <c r="AD88">
        <v>4504342149.4347095</v>
      </c>
      <c r="AE88">
        <v>5735921420.3876944</v>
      </c>
      <c r="AF88">
        <v>5074829931.9727888</v>
      </c>
      <c r="AG88">
        <v>5197840972.6857042</v>
      </c>
      <c r="AH88">
        <v>5251764269.9181242</v>
      </c>
      <c r="AI88">
        <v>5889174833.9003353</v>
      </c>
      <c r="AJ88">
        <v>6603130039.8729181</v>
      </c>
      <c r="AK88">
        <v>6416079341.9732914</v>
      </c>
      <c r="AL88">
        <v>5968905678.8909874</v>
      </c>
      <c r="AM88">
        <v>5446370114.5770845</v>
      </c>
      <c r="AN88">
        <v>6464389656.2129908</v>
      </c>
      <c r="AO88">
        <v>6932984635.6319971</v>
      </c>
      <c r="AP88">
        <v>6891433840.9091482</v>
      </c>
      <c r="AQ88">
        <v>7482072380.2381001</v>
      </c>
      <c r="AR88">
        <v>7718110780.9481468</v>
      </c>
      <c r="AS88">
        <v>4982849054.0291042</v>
      </c>
      <c r="AT88">
        <v>5314871683.5223007</v>
      </c>
      <c r="AU88">
        <v>6166197191.7669439</v>
      </c>
      <c r="AV88">
        <v>7632720680.2811918</v>
      </c>
      <c r="AW88">
        <v>8881419348.2170506</v>
      </c>
      <c r="AX88">
        <v>10744562614.747902</v>
      </c>
      <c r="AY88">
        <v>20885042153.019947</v>
      </c>
      <c r="AZ88">
        <v>24827333947.37817</v>
      </c>
      <c r="BA88">
        <v>28679383241.07291</v>
      </c>
      <c r="BB88">
        <v>26048726185.674568</v>
      </c>
      <c r="BC88">
        <v>32197648061.166286</v>
      </c>
      <c r="BD88">
        <v>39336668080.558983</v>
      </c>
      <c r="BE88">
        <v>41271708599.714973</v>
      </c>
      <c r="BF88">
        <v>62824629066.040833</v>
      </c>
      <c r="BG88">
        <v>54783320576.888222</v>
      </c>
      <c r="BH88">
        <v>49406014245.429642</v>
      </c>
      <c r="BI88">
        <v>56164933479.404358</v>
      </c>
      <c r="BJ88">
        <v>60405920071.102432</v>
      </c>
      <c r="BK88">
        <v>67298913752.024117</v>
      </c>
      <c r="BL88">
        <v>68337974418.768051</v>
      </c>
      <c r="BM88">
        <v>70043095503.250305</v>
      </c>
      <c r="BN88">
        <v>79156409409.858109</v>
      </c>
      <c r="BO88" s="190">
        <v>72838798787.706589</v>
      </c>
    </row>
    <row r="89" spans="1:67">
      <c r="A89" t="s">
        <v>654</v>
      </c>
      <c r="B89" t="s">
        <v>655</v>
      </c>
      <c r="C89" t="s">
        <v>1018</v>
      </c>
      <c r="D89" t="s">
        <v>1019</v>
      </c>
    </row>
    <row r="90" spans="1:67">
      <c r="A90" t="s">
        <v>656</v>
      </c>
      <c r="B90" t="s">
        <v>657</v>
      </c>
      <c r="C90" t="s">
        <v>1018</v>
      </c>
      <c r="D90" t="s">
        <v>1019</v>
      </c>
      <c r="AE90">
        <v>1995186720.7473328</v>
      </c>
      <c r="AF90">
        <v>2041538039.5772669</v>
      </c>
      <c r="AG90">
        <v>2384295814.8522263</v>
      </c>
      <c r="AH90">
        <v>2432029296.8062267</v>
      </c>
      <c r="AI90">
        <v>2666750820.4998727</v>
      </c>
      <c r="AJ90">
        <v>3015058205.5840101</v>
      </c>
      <c r="AK90">
        <v>3284620421.8471231</v>
      </c>
      <c r="AL90">
        <v>3279096491.818687</v>
      </c>
      <c r="AM90">
        <v>3383092769.8528538</v>
      </c>
      <c r="AN90">
        <v>3693710532.9119139</v>
      </c>
      <c r="AO90">
        <v>3868968366.1433678</v>
      </c>
      <c r="AP90">
        <v>3783700461.6435938</v>
      </c>
      <c r="AQ90">
        <v>3588375621.8256845</v>
      </c>
      <c r="AR90">
        <v>3461282459.96593</v>
      </c>
      <c r="AS90">
        <v>2995361112.0537968</v>
      </c>
      <c r="AT90">
        <v>2829435908.1630521</v>
      </c>
      <c r="AU90">
        <v>2950198723.6085849</v>
      </c>
      <c r="AV90">
        <v>3446441784.8225222</v>
      </c>
      <c r="AW90">
        <v>3635458213.6596208</v>
      </c>
      <c r="AX90">
        <v>2937071740.3914781</v>
      </c>
      <c r="AY90">
        <v>4220019242.74824</v>
      </c>
      <c r="AZ90">
        <v>6281917649.6670885</v>
      </c>
      <c r="BA90">
        <v>6964179187.5383558</v>
      </c>
      <c r="BB90">
        <v>6716904516.3008385</v>
      </c>
      <c r="BC90">
        <v>6853467832.676095</v>
      </c>
      <c r="BD90">
        <v>6785137215.232688</v>
      </c>
      <c r="BE90">
        <v>7638045225.6367617</v>
      </c>
      <c r="BF90">
        <v>8376613880.2574883</v>
      </c>
      <c r="BG90">
        <v>8778473643.019886</v>
      </c>
      <c r="BH90">
        <v>8794202394.7224464</v>
      </c>
      <c r="BI90">
        <v>8595955600.7876987</v>
      </c>
      <c r="BJ90">
        <v>10324668270.875994</v>
      </c>
      <c r="BK90">
        <v>11857030366.459799</v>
      </c>
      <c r="BL90">
        <v>13442861496.574669</v>
      </c>
      <c r="BM90">
        <v>14177835840.831108</v>
      </c>
      <c r="BN90">
        <v>16091817842.234802</v>
      </c>
      <c r="BO90" s="190">
        <v>21227749388.728706</v>
      </c>
    </row>
    <row r="91" spans="1:67">
      <c r="A91" t="s">
        <v>658</v>
      </c>
      <c r="B91" t="s">
        <v>659</v>
      </c>
      <c r="C91" t="s">
        <v>1018</v>
      </c>
      <c r="D91" t="s">
        <v>1019</v>
      </c>
      <c r="K91">
        <v>44212088.418829054</v>
      </c>
      <c r="L91">
        <v>46695008.766086794</v>
      </c>
      <c r="M91">
        <v>41160065.834702164</v>
      </c>
      <c r="N91">
        <v>45168072.245428264</v>
      </c>
      <c r="O91">
        <v>52296083.646539956</v>
      </c>
      <c r="P91">
        <v>55728655.795770898</v>
      </c>
      <c r="Q91">
        <v>59160575.509545609</v>
      </c>
      <c r="R91">
        <v>75187768.349532902</v>
      </c>
      <c r="S91">
        <v>95796033.655411214</v>
      </c>
      <c r="T91">
        <v>115179737.73617929</v>
      </c>
      <c r="U91">
        <v>112190822.64603266</v>
      </c>
      <c r="V91">
        <v>138093106.27764127</v>
      </c>
      <c r="W91">
        <v>171833061.57846129</v>
      </c>
      <c r="X91">
        <v>207112649.70294234</v>
      </c>
      <c r="Y91">
        <v>241083112.72876808</v>
      </c>
      <c r="Z91">
        <v>218767720.45075059</v>
      </c>
      <c r="AA91">
        <v>216050534.81498605</v>
      </c>
      <c r="AB91">
        <v>213448615.74872759</v>
      </c>
      <c r="AC91">
        <v>177340879.46261743</v>
      </c>
      <c r="AD91">
        <v>225726370.22735795</v>
      </c>
      <c r="AE91">
        <v>185646984.45879391</v>
      </c>
      <c r="AF91">
        <v>220626480.9380168</v>
      </c>
      <c r="AG91">
        <v>266672202.48043525</v>
      </c>
      <c r="AH91">
        <v>284120331.64737988</v>
      </c>
      <c r="AI91">
        <v>317083688.19987363</v>
      </c>
      <c r="AJ91">
        <v>690311093.17205226</v>
      </c>
      <c r="AK91">
        <v>714254263.1032486</v>
      </c>
      <c r="AL91">
        <v>755040935.02249765</v>
      </c>
      <c r="AM91">
        <v>746493955.00843358</v>
      </c>
      <c r="AN91">
        <v>785999879.72069144</v>
      </c>
      <c r="AO91">
        <v>848239405.56563711</v>
      </c>
      <c r="AP91">
        <v>803633368.73580229</v>
      </c>
      <c r="AQ91">
        <v>840285264.63154531</v>
      </c>
      <c r="AR91">
        <v>814724055.89833403</v>
      </c>
      <c r="AS91">
        <v>782913865.98756814</v>
      </c>
      <c r="AT91">
        <v>687410630.4572916</v>
      </c>
      <c r="AU91">
        <v>578235309.32719815</v>
      </c>
      <c r="AV91">
        <v>487038679.35522878</v>
      </c>
      <c r="AW91">
        <v>961900640.74636364</v>
      </c>
      <c r="AX91">
        <v>1027701055.5687122</v>
      </c>
      <c r="AY91">
        <v>1054112487.7408298</v>
      </c>
      <c r="AZ91">
        <v>1279703029.87257</v>
      </c>
      <c r="BA91">
        <v>1561766955.7302403</v>
      </c>
      <c r="BB91">
        <v>1450142497.4626157</v>
      </c>
      <c r="BC91">
        <v>1543294945.4571404</v>
      </c>
      <c r="BD91">
        <v>1409693594.0574763</v>
      </c>
      <c r="BE91">
        <v>1415004743.179388</v>
      </c>
      <c r="BF91">
        <v>1375609459.7817161</v>
      </c>
      <c r="BG91">
        <v>1229461731.7045789</v>
      </c>
      <c r="BH91">
        <v>1378176605.9370522</v>
      </c>
      <c r="BI91">
        <v>1484578897.1578336</v>
      </c>
      <c r="BJ91">
        <v>1504909447.7745907</v>
      </c>
      <c r="BK91">
        <v>1670671340.3796611</v>
      </c>
      <c r="BL91">
        <v>1813609679.153127</v>
      </c>
      <c r="BM91">
        <v>1812170878.3063152</v>
      </c>
      <c r="BN91">
        <v>2038414973.5717318</v>
      </c>
      <c r="BO91" s="190">
        <v>2273060863.1398072</v>
      </c>
    </row>
    <row r="92" spans="1:67">
      <c r="A92" t="s">
        <v>660</v>
      </c>
      <c r="B92" t="s">
        <v>661</v>
      </c>
      <c r="C92" t="s">
        <v>1018</v>
      </c>
      <c r="D92" t="s">
        <v>1019</v>
      </c>
      <c r="O92">
        <v>78733594.841185197</v>
      </c>
      <c r="P92">
        <v>78540057.137247145</v>
      </c>
      <c r="Q92">
        <v>87702828.565164089</v>
      </c>
      <c r="R92">
        <v>89374237.288135603</v>
      </c>
      <c r="S92">
        <v>98775328.947368428</v>
      </c>
      <c r="T92">
        <v>108985740.155434</v>
      </c>
      <c r="U92">
        <v>112386489.00567651</v>
      </c>
      <c r="V92">
        <v>114971207.20538434</v>
      </c>
      <c r="W92">
        <v>122666858.78962538</v>
      </c>
      <c r="X92">
        <v>118537875.13304359</v>
      </c>
      <c r="Y92">
        <v>110653830.72270396</v>
      </c>
      <c r="Z92">
        <v>154731969.69696969</v>
      </c>
      <c r="AA92">
        <v>165523634.5037176</v>
      </c>
      <c r="AB92">
        <v>163577538.32631403</v>
      </c>
      <c r="AC92">
        <v>138478900.62860888</v>
      </c>
      <c r="AD92">
        <v>143856253.12724775</v>
      </c>
      <c r="AE92">
        <v>130225018.75115098</v>
      </c>
      <c r="AF92">
        <v>173836362.01067728</v>
      </c>
      <c r="AG92">
        <v>164458120.31802896</v>
      </c>
      <c r="AH92">
        <v>213143016.44637781</v>
      </c>
      <c r="AI92">
        <v>243961995.51268718</v>
      </c>
      <c r="AJ92">
        <v>257150374.06971148</v>
      </c>
      <c r="AK92">
        <v>226313443.74908602</v>
      </c>
      <c r="AL92">
        <v>236880821.65638769</v>
      </c>
      <c r="AM92">
        <v>235620043.50092721</v>
      </c>
      <c r="AN92">
        <v>253966922.27819756</v>
      </c>
      <c r="AO92">
        <v>270419779.41810745</v>
      </c>
      <c r="AP92">
        <v>268551010.93962342</v>
      </c>
      <c r="AQ92">
        <v>206457553.39803424</v>
      </c>
      <c r="AR92">
        <v>224446663.80054802</v>
      </c>
      <c r="AS92">
        <v>371095522.04925436</v>
      </c>
      <c r="AT92">
        <v>392621389.50761127</v>
      </c>
      <c r="AU92">
        <v>417806651.11985576</v>
      </c>
      <c r="AV92">
        <v>477458577.16163516</v>
      </c>
      <c r="AW92">
        <v>532062894.80153257</v>
      </c>
      <c r="AX92">
        <v>587029096.0291127</v>
      </c>
      <c r="AY92">
        <v>592365659.8240068</v>
      </c>
      <c r="AZ92">
        <v>696910784.01630175</v>
      </c>
      <c r="BA92">
        <v>868154627.86980569</v>
      </c>
      <c r="BB92">
        <v>830126428.78613353</v>
      </c>
      <c r="BC92">
        <v>849878489.11336434</v>
      </c>
      <c r="BD92">
        <v>1099818591.9572704</v>
      </c>
      <c r="BE92">
        <v>989271155.12690508</v>
      </c>
      <c r="BF92">
        <v>1046087367.449733</v>
      </c>
      <c r="BG92">
        <v>1054915581.3677446</v>
      </c>
      <c r="BH92">
        <v>1048229632.9972631</v>
      </c>
      <c r="BI92">
        <v>1179004911.2607493</v>
      </c>
      <c r="BJ92">
        <v>1350177012.2477086</v>
      </c>
      <c r="BK92">
        <v>1504630233.686389</v>
      </c>
      <c r="BL92">
        <v>1439638410.9959269</v>
      </c>
      <c r="BM92">
        <v>1431758231.6828716</v>
      </c>
      <c r="BN92">
        <v>1638517606.8857841</v>
      </c>
      <c r="BO92" s="190">
        <v>1633559092.0661118</v>
      </c>
    </row>
    <row r="93" spans="1:67">
      <c r="A93" t="s">
        <v>662</v>
      </c>
      <c r="B93" t="s">
        <v>663</v>
      </c>
      <c r="C93" t="s">
        <v>1018</v>
      </c>
      <c r="D93" t="s">
        <v>1019</v>
      </c>
      <c r="G93">
        <v>9122751.4531834535</v>
      </c>
      <c r="H93">
        <v>10840095.12836493</v>
      </c>
      <c r="I93">
        <v>12712471.396021094</v>
      </c>
      <c r="J93">
        <v>64748333.333333336</v>
      </c>
      <c r="K93">
        <v>69110000.000000015</v>
      </c>
      <c r="L93">
        <v>72317446.932719275</v>
      </c>
      <c r="M93">
        <v>67514285.714285716</v>
      </c>
      <c r="N93">
        <v>67225714.285714284</v>
      </c>
      <c r="O93">
        <v>66331428.571428575</v>
      </c>
      <c r="P93">
        <v>64946954.756797999</v>
      </c>
      <c r="Q93">
        <v>65429198.238707967</v>
      </c>
      <c r="R93">
        <v>81203226.913834542</v>
      </c>
      <c r="S93">
        <v>94159862.707369089</v>
      </c>
      <c r="T93">
        <v>104295643.38843696</v>
      </c>
      <c r="U93">
        <v>103653049.93796989</v>
      </c>
      <c r="V93">
        <v>103987520.07582739</v>
      </c>
      <c r="Y93">
        <v>50642880.773750342</v>
      </c>
      <c r="Z93">
        <v>36731422.845691383</v>
      </c>
      <c r="AA93">
        <v>44294647.733478971</v>
      </c>
      <c r="AB93">
        <v>44442456.947639965</v>
      </c>
      <c r="AC93">
        <v>50320914.406568803</v>
      </c>
      <c r="AD93">
        <v>62118570.005323499</v>
      </c>
      <c r="AE93">
        <v>76407395.971048847</v>
      </c>
      <c r="AF93">
        <v>93345859.405032024</v>
      </c>
      <c r="AG93">
        <v>100534656.94269861</v>
      </c>
      <c r="AH93">
        <v>88265974.726051763</v>
      </c>
      <c r="AI93">
        <v>112119411.50874577</v>
      </c>
      <c r="AJ93">
        <v>110906028.61202176</v>
      </c>
      <c r="AK93">
        <v>134707183.97355574</v>
      </c>
      <c r="AL93">
        <v>136047906.00517026</v>
      </c>
      <c r="AM93">
        <v>100807002.6027088</v>
      </c>
      <c r="AN93">
        <v>141853360.89590216</v>
      </c>
      <c r="AO93">
        <v>232463022.67912227</v>
      </c>
      <c r="AP93">
        <v>442337870.4265461</v>
      </c>
      <c r="AQ93">
        <v>370687634.69757283</v>
      </c>
      <c r="AR93">
        <v>621117885.66850269</v>
      </c>
      <c r="AS93">
        <v>1045998496.4387157</v>
      </c>
      <c r="AT93">
        <v>1461139022.0295386</v>
      </c>
      <c r="AU93">
        <v>1806742742.2731116</v>
      </c>
      <c r="AV93">
        <v>2484745935.0932889</v>
      </c>
      <c r="AW93">
        <v>4410764338.667325</v>
      </c>
      <c r="AX93">
        <v>8217369092.6522379</v>
      </c>
      <c r="AY93">
        <v>10086528698.86043</v>
      </c>
      <c r="AZ93">
        <v>13071718758.737305</v>
      </c>
      <c r="BA93">
        <v>19749893536.320362</v>
      </c>
      <c r="BB93">
        <v>15027795173.218706</v>
      </c>
      <c r="BC93">
        <v>16314443428.939247</v>
      </c>
      <c r="BD93">
        <v>21357343681.894913</v>
      </c>
      <c r="BE93">
        <v>22388344123.993763</v>
      </c>
      <c r="BF93">
        <v>21948834290.352131</v>
      </c>
      <c r="BG93">
        <v>21765453087.479008</v>
      </c>
      <c r="BH93">
        <v>13185496881.405239</v>
      </c>
      <c r="BI93">
        <v>11240808846.692385</v>
      </c>
      <c r="BJ93">
        <v>12200913887.642757</v>
      </c>
      <c r="BK93">
        <v>13097012124.226074</v>
      </c>
      <c r="BL93">
        <v>11364133546.249392</v>
      </c>
      <c r="BM93">
        <v>10099157995.578859</v>
      </c>
      <c r="BN93">
        <v>12269393392.157854</v>
      </c>
      <c r="BO93" s="190">
        <v>11813908447.813124</v>
      </c>
    </row>
    <row r="94" spans="1:67">
      <c r="A94" t="s">
        <v>664</v>
      </c>
      <c r="B94" t="s">
        <v>665</v>
      </c>
      <c r="C94" t="s">
        <v>1018</v>
      </c>
      <c r="D94" t="s">
        <v>1019</v>
      </c>
      <c r="E94">
        <v>4335186016.8394222</v>
      </c>
      <c r="F94">
        <v>4961400439.3172178</v>
      </c>
      <c r="G94">
        <v>5213047711.4270449</v>
      </c>
      <c r="H94">
        <v>5895278024.092021</v>
      </c>
      <c r="I94">
        <v>6669673257.1182985</v>
      </c>
      <c r="J94">
        <v>7689154053.3586626</v>
      </c>
      <c r="K94">
        <v>8591517943.6012897</v>
      </c>
      <c r="L94">
        <v>9275600800.3564434</v>
      </c>
      <c r="M94">
        <v>10090675902.536438</v>
      </c>
      <c r="N94">
        <v>11615657031.238716</v>
      </c>
      <c r="O94">
        <v>13139863636.363638</v>
      </c>
      <c r="P94">
        <v>14591750000</v>
      </c>
      <c r="Q94">
        <v>16885511363.636364</v>
      </c>
      <c r="R94">
        <v>22347848101.265823</v>
      </c>
      <c r="S94">
        <v>25351306818.18182</v>
      </c>
      <c r="T94">
        <v>28525876726.886292</v>
      </c>
      <c r="U94">
        <v>31152835820.895523</v>
      </c>
      <c r="V94">
        <v>36176234967.622574</v>
      </c>
      <c r="W94">
        <v>44270204081.632652</v>
      </c>
      <c r="X94">
        <v>54481876724.931</v>
      </c>
      <c r="Y94">
        <v>56829664268.585136</v>
      </c>
      <c r="Z94">
        <v>52346506765.06765</v>
      </c>
      <c r="AA94">
        <v>54617989795.918365</v>
      </c>
      <c r="AB94">
        <v>49428873839.009285</v>
      </c>
      <c r="AC94">
        <v>48020024183.79686</v>
      </c>
      <c r="AD94">
        <v>47820851221.317543</v>
      </c>
      <c r="AE94">
        <v>56379593476.144112</v>
      </c>
      <c r="AF94">
        <v>65652750377.453453</v>
      </c>
      <c r="AG94">
        <v>76261277924.573624</v>
      </c>
      <c r="AH94">
        <v>79169043222.828369</v>
      </c>
      <c r="AI94">
        <v>97891092003.439377</v>
      </c>
      <c r="AJ94">
        <v>105143232379.88408</v>
      </c>
      <c r="AK94">
        <v>116224672863.78262</v>
      </c>
      <c r="AL94">
        <v>108809059155.76695</v>
      </c>
      <c r="AM94">
        <v>116601801966.29214</v>
      </c>
      <c r="AN94">
        <v>136878365936.1671</v>
      </c>
      <c r="AO94">
        <v>145861612400.90601</v>
      </c>
      <c r="AP94">
        <v>143157600149.75665</v>
      </c>
      <c r="AQ94">
        <v>144428172489.33472</v>
      </c>
      <c r="AR94">
        <v>142588875293.74857</v>
      </c>
      <c r="AS94">
        <v>130457756628.43636</v>
      </c>
      <c r="AT94">
        <v>136309295225.33954</v>
      </c>
      <c r="AU94">
        <v>154564203586.95401</v>
      </c>
      <c r="AV94">
        <v>202370140236.26508</v>
      </c>
      <c r="AW94">
        <v>240963562236.12726</v>
      </c>
      <c r="AX94">
        <v>247875422204.41388</v>
      </c>
      <c r="AY94">
        <v>273546728473.07257</v>
      </c>
      <c r="AZ94">
        <v>318902829550.73315</v>
      </c>
      <c r="BA94">
        <v>355908689477.44525</v>
      </c>
      <c r="BB94">
        <v>331308500253.27441</v>
      </c>
      <c r="BC94">
        <v>297124961971.50763</v>
      </c>
      <c r="BD94">
        <v>282995942006.55896</v>
      </c>
      <c r="BE94">
        <v>242029307133.40787</v>
      </c>
      <c r="BF94">
        <v>238907690051.13199</v>
      </c>
      <c r="BG94">
        <v>235458133124.60403</v>
      </c>
      <c r="BH94">
        <v>195683527003.37451</v>
      </c>
      <c r="BI94">
        <v>193148146586.93811</v>
      </c>
      <c r="BJ94">
        <v>199844406013.53275</v>
      </c>
      <c r="BK94">
        <v>212049447242.10745</v>
      </c>
      <c r="BL94">
        <v>205257014892.49796</v>
      </c>
      <c r="BM94">
        <v>188925995936.8035</v>
      </c>
      <c r="BN94">
        <v>214873879833.64771</v>
      </c>
      <c r="BO94" s="190">
        <v>219065872466.24988</v>
      </c>
    </row>
    <row r="95" spans="1:67">
      <c r="A95" t="s">
        <v>666</v>
      </c>
      <c r="B95" t="s">
        <v>667</v>
      </c>
      <c r="C95" t="s">
        <v>1018</v>
      </c>
      <c r="D95" t="s">
        <v>1019</v>
      </c>
      <c r="V95">
        <v>71494495.185185179</v>
      </c>
      <c r="W95">
        <v>88322386.296296284</v>
      </c>
      <c r="X95">
        <v>102244362.22222221</v>
      </c>
      <c r="Y95">
        <v>110900457.03703703</v>
      </c>
      <c r="Z95">
        <v>115651918.88888888</v>
      </c>
      <c r="AA95">
        <v>125435589.99999999</v>
      </c>
      <c r="AB95">
        <v>131803552.22222221</v>
      </c>
      <c r="AC95">
        <v>145533310.74074072</v>
      </c>
      <c r="AD95">
        <v>167728455.18518516</v>
      </c>
      <c r="AE95">
        <v>187589522.59259257</v>
      </c>
      <c r="AF95">
        <v>215009569.62962961</v>
      </c>
      <c r="AG95">
        <v>236357523.7037037</v>
      </c>
      <c r="AH95">
        <v>267327642.22222221</v>
      </c>
      <c r="AI95">
        <v>278098762.96296293</v>
      </c>
      <c r="AJ95">
        <v>300757888.8888889</v>
      </c>
      <c r="AK95">
        <v>310160444.44444442</v>
      </c>
      <c r="AL95">
        <v>309812185.18518519</v>
      </c>
      <c r="AM95">
        <v>325111814.81481481</v>
      </c>
      <c r="AN95">
        <v>342172518.51851851</v>
      </c>
      <c r="AO95">
        <v>366911444.44444442</v>
      </c>
      <c r="AP95">
        <v>392190592.5925926</v>
      </c>
      <c r="AQ95">
        <v>445903592.59259254</v>
      </c>
      <c r="AR95">
        <v>482009370.37037033</v>
      </c>
      <c r="AS95">
        <v>520044370.37037033</v>
      </c>
      <c r="AT95">
        <v>520444185.18518513</v>
      </c>
      <c r="AU95">
        <v>540336925.92592585</v>
      </c>
      <c r="AV95">
        <v>591018407.4074074</v>
      </c>
      <c r="AW95">
        <v>599118592.5925926</v>
      </c>
      <c r="AX95">
        <v>695555555.55555546</v>
      </c>
      <c r="AY95">
        <v>698700666.66666663</v>
      </c>
      <c r="AZ95">
        <v>758683592.5925926</v>
      </c>
      <c r="BA95">
        <v>825976037.03703701</v>
      </c>
      <c r="BB95">
        <v>771275555.55555546</v>
      </c>
      <c r="BC95">
        <v>771014814.81481469</v>
      </c>
      <c r="BD95">
        <v>778655555.55555546</v>
      </c>
      <c r="BE95">
        <v>799881481.48148143</v>
      </c>
      <c r="BF95">
        <v>842618518.51851845</v>
      </c>
      <c r="BG95">
        <v>911496296.29629624</v>
      </c>
      <c r="BH95">
        <v>997007407.40740728</v>
      </c>
      <c r="BI95">
        <v>1061640740.7407407</v>
      </c>
      <c r="BJ95">
        <v>1125685185.1851852</v>
      </c>
      <c r="BK95">
        <v>1166514814.8148148</v>
      </c>
      <c r="BL95">
        <v>1213485185.1851852</v>
      </c>
      <c r="BM95">
        <v>1043411111.111111</v>
      </c>
      <c r="BN95">
        <v>1122800000</v>
      </c>
      <c r="BO95" s="190">
        <v>1256413185.1851852</v>
      </c>
    </row>
    <row r="96" spans="1:67">
      <c r="A96" t="s">
        <v>668</v>
      </c>
      <c r="B96" t="s">
        <v>669</v>
      </c>
      <c r="C96" t="s">
        <v>1018</v>
      </c>
      <c r="D96" t="s">
        <v>1019</v>
      </c>
      <c r="O96">
        <v>69520026.606415987</v>
      </c>
      <c r="P96">
        <v>88571004.74406901</v>
      </c>
      <c r="Q96">
        <v>106101302.90585026</v>
      </c>
      <c r="R96">
        <v>140153748.26682433</v>
      </c>
      <c r="S96">
        <v>169918948.65706062</v>
      </c>
      <c r="T96">
        <v>211192468.037067</v>
      </c>
      <c r="U96">
        <v>240779417.82553083</v>
      </c>
      <c r="V96">
        <v>282269764.88044864</v>
      </c>
      <c r="W96">
        <v>355987433.48024344</v>
      </c>
      <c r="X96">
        <v>420645794.96840352</v>
      </c>
      <c r="Y96">
        <v>476051769.01394176</v>
      </c>
      <c r="Z96">
        <v>435749013.87018508</v>
      </c>
      <c r="AA96">
        <v>402403057.15125924</v>
      </c>
      <c r="AB96">
        <v>416184086.23097003</v>
      </c>
      <c r="AC96">
        <v>379371913.71595752</v>
      </c>
      <c r="AD96">
        <v>412876395.82686925</v>
      </c>
      <c r="AE96">
        <v>603016317.53630292</v>
      </c>
      <c r="AF96">
        <v>787390447.32334483</v>
      </c>
      <c r="AG96">
        <v>898607670.62441266</v>
      </c>
      <c r="AH96">
        <v>929799902.19112396</v>
      </c>
      <c r="AI96">
        <v>1018977225.444268</v>
      </c>
      <c r="AJ96">
        <v>1016500016.2850541</v>
      </c>
      <c r="AK96">
        <v>1037916105.2329311</v>
      </c>
      <c r="AL96">
        <v>927214127.93431723</v>
      </c>
      <c r="AM96">
        <v>1005887592.0353863</v>
      </c>
      <c r="AN96">
        <v>1208953358.9970896</v>
      </c>
      <c r="AO96">
        <v>1197515637.9205232</v>
      </c>
      <c r="AP96">
        <v>1072154406.7890489</v>
      </c>
      <c r="AQ96">
        <v>1149858126.9574695</v>
      </c>
      <c r="AR96">
        <v>1131555107.0490694</v>
      </c>
      <c r="AS96">
        <v>1068024993.9869722</v>
      </c>
      <c r="AT96">
        <v>1086170638.7290123</v>
      </c>
      <c r="AU96">
        <v>1169136691.3537185</v>
      </c>
      <c r="AV96">
        <v>1558759744.2091348</v>
      </c>
      <c r="AW96">
        <v>1822499870.6405149</v>
      </c>
      <c r="AX96">
        <v>1849802648.3639076</v>
      </c>
      <c r="AY96">
        <v>2013106816.6601143</v>
      </c>
      <c r="AZ96">
        <v>2249811364.541985</v>
      </c>
      <c r="BA96">
        <v>2499092396.1183829</v>
      </c>
      <c r="BB96">
        <v>2529964060.5374737</v>
      </c>
      <c r="BC96">
        <v>2503167187.4930544</v>
      </c>
      <c r="BD96">
        <v>2684461607.9311323</v>
      </c>
      <c r="BE96">
        <v>2609678694.9447937</v>
      </c>
      <c r="BF96">
        <v>2684947140.151804</v>
      </c>
      <c r="BG96">
        <v>2842065877.1544285</v>
      </c>
      <c r="BH96">
        <v>2499113085.4825468</v>
      </c>
      <c r="BI96">
        <v>2707146783.1305614</v>
      </c>
      <c r="BJ96">
        <v>2851610655.923912</v>
      </c>
      <c r="BK96">
        <v>3055791340.7024989</v>
      </c>
      <c r="BL96">
        <v>2997331094.2513566</v>
      </c>
      <c r="BM96">
        <v>3082909157.609942</v>
      </c>
      <c r="BN96">
        <v>3235816195.0660877</v>
      </c>
    </row>
    <row r="97" spans="1:67">
      <c r="A97" t="s">
        <v>670</v>
      </c>
      <c r="B97" t="s">
        <v>671</v>
      </c>
      <c r="C97" t="s">
        <v>1018</v>
      </c>
      <c r="D97" t="s">
        <v>1019</v>
      </c>
      <c r="E97">
        <v>1043599899.9999999</v>
      </c>
      <c r="F97">
        <v>1076699900</v>
      </c>
      <c r="G97">
        <v>1143600000</v>
      </c>
      <c r="H97">
        <v>1262800000</v>
      </c>
      <c r="I97">
        <v>1299099900</v>
      </c>
      <c r="J97">
        <v>1331399900</v>
      </c>
      <c r="K97">
        <v>1390700000</v>
      </c>
      <c r="L97">
        <v>1453500000</v>
      </c>
      <c r="M97">
        <v>1610500000</v>
      </c>
      <c r="N97">
        <v>1715399900</v>
      </c>
      <c r="O97">
        <v>1904000000</v>
      </c>
      <c r="P97">
        <v>1984800000.1653993</v>
      </c>
      <c r="Q97">
        <v>2101300000.0000002</v>
      </c>
      <c r="R97">
        <v>2569200100.2140994</v>
      </c>
      <c r="S97">
        <v>3161499901.58075</v>
      </c>
      <c r="T97">
        <v>3645900003.6458998</v>
      </c>
      <c r="U97">
        <v>4365300204.3653002</v>
      </c>
      <c r="V97">
        <v>5480500205.4805002</v>
      </c>
      <c r="W97">
        <v>6070600206.0706005</v>
      </c>
      <c r="X97">
        <v>6902600206.9026003</v>
      </c>
      <c r="Y97">
        <v>7878700007.8787003</v>
      </c>
      <c r="Z97">
        <v>8607500308.6075001</v>
      </c>
      <c r="AA97">
        <v>8716999708.7169991</v>
      </c>
      <c r="AB97">
        <v>9050000409.0499992</v>
      </c>
      <c r="AC97">
        <v>9470000103.945837</v>
      </c>
      <c r="AD97">
        <v>9721652086.956522</v>
      </c>
      <c r="AE97">
        <v>7231963515.9817352</v>
      </c>
      <c r="AF97">
        <v>7084399840</v>
      </c>
      <c r="AG97">
        <v>7841602824.4274807</v>
      </c>
      <c r="AH97">
        <v>8410724360.795455</v>
      </c>
      <c r="AI97">
        <v>7650196276.7350798</v>
      </c>
      <c r="AJ97">
        <v>9406135143.4116535</v>
      </c>
      <c r="AK97">
        <v>10440781587.543491</v>
      </c>
      <c r="AL97">
        <v>11400018312.93018</v>
      </c>
      <c r="AM97">
        <v>12983233686.993782</v>
      </c>
      <c r="AN97">
        <v>14655404433.277115</v>
      </c>
      <c r="AO97">
        <v>15674835615.313896</v>
      </c>
      <c r="AP97">
        <v>17790026221.613865</v>
      </c>
      <c r="AQ97">
        <v>19395491992.99387</v>
      </c>
      <c r="AR97">
        <v>18318412251.364197</v>
      </c>
      <c r="AS97">
        <v>19288928615.93824</v>
      </c>
      <c r="AT97">
        <v>18405221418.466473</v>
      </c>
      <c r="AU97">
        <v>20444205991.024971</v>
      </c>
      <c r="AV97">
        <v>21576351798.914482</v>
      </c>
      <c r="AW97">
        <v>23577298589.15802</v>
      </c>
      <c r="AX97">
        <v>26783388709.178608</v>
      </c>
      <c r="AY97">
        <v>29744247479.244316</v>
      </c>
      <c r="AZ97">
        <v>33567850094.99926</v>
      </c>
      <c r="BA97">
        <v>38503718526.628113</v>
      </c>
      <c r="BB97">
        <v>37126146369.26078</v>
      </c>
      <c r="BC97">
        <v>40676579264.840111</v>
      </c>
      <c r="BD97">
        <v>46876004265.238602</v>
      </c>
      <c r="BE97">
        <v>49593926849.242928</v>
      </c>
      <c r="BF97">
        <v>52996447955.763237</v>
      </c>
      <c r="BG97">
        <v>57852150564.519981</v>
      </c>
      <c r="BH97">
        <v>62186064718.742386</v>
      </c>
      <c r="BI97">
        <v>66053402744.7267</v>
      </c>
      <c r="BJ97">
        <v>71653756504.162476</v>
      </c>
      <c r="BK97">
        <v>73328369925.847839</v>
      </c>
      <c r="BL97">
        <v>77172313916.421768</v>
      </c>
      <c r="BM97">
        <v>77715183063.205399</v>
      </c>
      <c r="BN97">
        <v>86053079767.350739</v>
      </c>
      <c r="BO97" s="190">
        <v>95003333381.193634</v>
      </c>
    </row>
    <row r="98" spans="1:67">
      <c r="A98" t="s">
        <v>672</v>
      </c>
      <c r="B98" t="s">
        <v>673</v>
      </c>
      <c r="C98" t="s">
        <v>1018</v>
      </c>
      <c r="D98" t="s">
        <v>1019</v>
      </c>
      <c r="AU98">
        <v>3394000000</v>
      </c>
      <c r="AV98">
        <v>3569000000</v>
      </c>
      <c r="AW98">
        <v>3869000000</v>
      </c>
      <c r="AX98">
        <v>4213000000</v>
      </c>
      <c r="AY98">
        <v>4238000000</v>
      </c>
      <c r="AZ98">
        <v>4397000000</v>
      </c>
      <c r="BA98">
        <v>4658000000</v>
      </c>
      <c r="BB98">
        <v>4828000000</v>
      </c>
      <c r="BC98">
        <v>4949000000</v>
      </c>
      <c r="BD98">
        <v>4984000000</v>
      </c>
      <c r="BE98">
        <v>5265000000</v>
      </c>
      <c r="BF98">
        <v>5399000000</v>
      </c>
      <c r="BG98">
        <v>5610000000</v>
      </c>
      <c r="BH98">
        <v>5799000000</v>
      </c>
      <c r="BI98">
        <v>5901000000</v>
      </c>
      <c r="BJ98">
        <v>6013000000</v>
      </c>
      <c r="BK98">
        <v>6056000000</v>
      </c>
      <c r="BL98">
        <v>6366000000</v>
      </c>
      <c r="BM98">
        <v>5886000000</v>
      </c>
      <c r="BN98">
        <v>6123000000</v>
      </c>
    </row>
    <row r="99" spans="1:67">
      <c r="A99" t="s">
        <v>674</v>
      </c>
      <c r="B99" t="s">
        <v>675</v>
      </c>
      <c r="C99" t="s">
        <v>1018</v>
      </c>
      <c r="D99" t="s">
        <v>1019</v>
      </c>
      <c r="E99">
        <v>170216241.05514017</v>
      </c>
      <c r="F99">
        <v>185849535.29872397</v>
      </c>
      <c r="G99">
        <v>194949512.54498917</v>
      </c>
      <c r="H99">
        <v>175757893.86536577</v>
      </c>
      <c r="I99">
        <v>194774512.98256099</v>
      </c>
      <c r="J99">
        <v>213235294.11764705</v>
      </c>
      <c r="K99">
        <v>228705882.35294119</v>
      </c>
      <c r="L99">
        <v>250176470.58823529</v>
      </c>
      <c r="M99">
        <v>229749999.88512498</v>
      </c>
      <c r="N99">
        <v>249299999.87535</v>
      </c>
      <c r="O99">
        <v>267799999.86609998</v>
      </c>
      <c r="P99">
        <v>282050000</v>
      </c>
      <c r="Q99">
        <v>285380952.38095236</v>
      </c>
      <c r="R99">
        <v>307047619.04761904</v>
      </c>
      <c r="S99">
        <v>433954545.45454544</v>
      </c>
      <c r="T99">
        <v>494791666.66666669</v>
      </c>
      <c r="U99">
        <v>454440000</v>
      </c>
      <c r="V99">
        <v>449880000</v>
      </c>
      <c r="W99">
        <v>507080000</v>
      </c>
      <c r="X99">
        <v>530440000</v>
      </c>
      <c r="Y99">
        <v>603200000</v>
      </c>
      <c r="Z99">
        <v>570357107.14285719</v>
      </c>
      <c r="AA99">
        <v>482000000.1606667</v>
      </c>
      <c r="AB99">
        <v>489333333.49644446</v>
      </c>
      <c r="AC99">
        <v>437631605.2631579</v>
      </c>
      <c r="AD99">
        <v>453488372.0930233</v>
      </c>
      <c r="AE99">
        <v>504651139.53488374</v>
      </c>
      <c r="AF99">
        <v>354591846.93877548</v>
      </c>
      <c r="AG99">
        <v>413799990</v>
      </c>
      <c r="AH99">
        <v>379779389.70588237</v>
      </c>
      <c r="AI99">
        <v>396582263.29113925</v>
      </c>
      <c r="AJ99">
        <v>348533094.8121646</v>
      </c>
      <c r="AK99">
        <v>373573141.48681056</v>
      </c>
      <c r="AL99">
        <v>454101382.48847932</v>
      </c>
      <c r="AM99">
        <v>540874934.20101225</v>
      </c>
      <c r="AN99">
        <v>621626785.91549301</v>
      </c>
      <c r="AO99">
        <v>705406001.42450142</v>
      </c>
      <c r="AP99">
        <v>749138009.56453955</v>
      </c>
      <c r="AQ99">
        <v>717530683.16956663</v>
      </c>
      <c r="AR99">
        <v>694754988.25829506</v>
      </c>
      <c r="AS99">
        <v>712667896.72751188</v>
      </c>
      <c r="AT99">
        <v>712167448.89561248</v>
      </c>
      <c r="AU99">
        <v>726131434.71533847</v>
      </c>
      <c r="AV99">
        <v>743063949.04020691</v>
      </c>
      <c r="AW99">
        <v>787814379.18384326</v>
      </c>
      <c r="AX99">
        <v>824880550.34396493</v>
      </c>
      <c r="AY99">
        <v>2379817986.7291675</v>
      </c>
      <c r="AZ99">
        <v>2730971599.8945656</v>
      </c>
      <c r="BA99">
        <v>3025187428.3843555</v>
      </c>
      <c r="BB99">
        <v>3165663152.7335134</v>
      </c>
      <c r="BC99">
        <v>3432912511.3049083</v>
      </c>
      <c r="BD99">
        <v>3691384317.521781</v>
      </c>
      <c r="BE99">
        <v>4063088529.1359196</v>
      </c>
      <c r="BF99">
        <v>4167800935.5994301</v>
      </c>
      <c r="BG99">
        <v>4127660158.4732251</v>
      </c>
      <c r="BH99">
        <v>4279840193.7046003</v>
      </c>
      <c r="BI99">
        <v>4482697336.5617437</v>
      </c>
      <c r="BJ99">
        <v>4748174334.1404362</v>
      </c>
      <c r="BK99">
        <v>4787637005.5363798</v>
      </c>
      <c r="BL99">
        <v>5173760191.8465223</v>
      </c>
      <c r="BM99">
        <v>5471256594.7242203</v>
      </c>
      <c r="BN99">
        <v>8044498800.9592323</v>
      </c>
      <c r="BO99" s="190">
        <v>15357537068.343403</v>
      </c>
    </row>
    <row r="100" spans="1:67">
      <c r="A100" t="s">
        <v>676</v>
      </c>
      <c r="B100" t="s">
        <v>677</v>
      </c>
      <c r="C100" t="s">
        <v>1018</v>
      </c>
      <c r="D100" t="s">
        <v>1019</v>
      </c>
      <c r="E100">
        <v>1070309605652.2207</v>
      </c>
      <c r="F100">
        <v>1133274574092.2432</v>
      </c>
      <c r="G100">
        <v>1222979975247.0483</v>
      </c>
      <c r="H100">
        <v>1316949086916.0112</v>
      </c>
      <c r="I100">
        <v>1437552390659.3784</v>
      </c>
      <c r="J100">
        <v>1561240421783.5068</v>
      </c>
      <c r="K100">
        <v>1712677609757.283</v>
      </c>
      <c r="L100">
        <v>1837383236127.4934</v>
      </c>
      <c r="M100">
        <v>1991818708681.2856</v>
      </c>
      <c r="N100">
        <v>2191316414060.512</v>
      </c>
      <c r="O100">
        <v>2394458719134.2969</v>
      </c>
      <c r="P100">
        <v>2658213530866.939</v>
      </c>
      <c r="Q100">
        <v>3083424652587.8184</v>
      </c>
      <c r="R100">
        <v>3730782775772.6934</v>
      </c>
      <c r="S100">
        <v>4206610118501.2095</v>
      </c>
      <c r="T100">
        <v>4693794271015.3213</v>
      </c>
      <c r="U100">
        <v>5114713213062.7031</v>
      </c>
      <c r="V100">
        <v>5792021836211.4629</v>
      </c>
      <c r="W100">
        <v>6940227758015.9717</v>
      </c>
      <c r="X100">
        <v>8024291970995.5088</v>
      </c>
      <c r="Y100">
        <v>8962568770036.1191</v>
      </c>
      <c r="Z100">
        <v>9098573566488.1211</v>
      </c>
      <c r="AA100">
        <v>9014070180686.3906</v>
      </c>
      <c r="AB100">
        <v>9307274823050.0254</v>
      </c>
      <c r="AC100">
        <v>9708510805998.4648</v>
      </c>
      <c r="AD100">
        <v>10194067191689.465</v>
      </c>
      <c r="AE100">
        <v>12377564712374.387</v>
      </c>
      <c r="AF100">
        <v>14345410483598.264</v>
      </c>
      <c r="AG100">
        <v>16151219796861.891</v>
      </c>
      <c r="AH100">
        <v>16899764444681.352</v>
      </c>
      <c r="AI100">
        <v>18985012664862.02</v>
      </c>
      <c r="AJ100">
        <v>20077019486047.469</v>
      </c>
      <c r="AK100">
        <v>21595262628678.43</v>
      </c>
      <c r="AL100">
        <v>21761907547794.16</v>
      </c>
      <c r="AM100">
        <v>23425703507936.457</v>
      </c>
      <c r="AN100">
        <v>26016528623343.176</v>
      </c>
      <c r="AO100">
        <v>26240641324883.523</v>
      </c>
      <c r="AP100">
        <v>25791737299604.703</v>
      </c>
      <c r="AQ100">
        <v>25888469871146.715</v>
      </c>
      <c r="AR100">
        <v>27194827316557.098</v>
      </c>
      <c r="AS100">
        <v>27764050359632.172</v>
      </c>
      <c r="AT100">
        <v>27489066409393.738</v>
      </c>
      <c r="AU100">
        <v>28660868665486.441</v>
      </c>
      <c r="AV100">
        <v>32125480719417.445</v>
      </c>
      <c r="AW100">
        <v>35771600781058.961</v>
      </c>
      <c r="AX100">
        <v>37831114602373.805</v>
      </c>
      <c r="AY100">
        <v>39962463041148.664</v>
      </c>
      <c r="AZ100">
        <v>43756102613971.773</v>
      </c>
      <c r="BA100">
        <v>46623911291791.359</v>
      </c>
      <c r="BB100">
        <v>43669352938355.016</v>
      </c>
      <c r="BC100">
        <v>45759844719262.039</v>
      </c>
      <c r="BD100">
        <v>49412507535114.781</v>
      </c>
      <c r="BE100">
        <v>49446148147435.969</v>
      </c>
      <c r="BF100">
        <v>50054025962686.727</v>
      </c>
      <c r="BG100">
        <v>51134057169125.445</v>
      </c>
      <c r="BH100">
        <v>48273634988451.5</v>
      </c>
      <c r="BI100">
        <v>49306277527564.32</v>
      </c>
      <c r="BJ100">
        <v>51570870016899.758</v>
      </c>
      <c r="BK100">
        <v>54839704976037.125</v>
      </c>
      <c r="BL100">
        <v>55315474922573.359</v>
      </c>
      <c r="BM100">
        <v>53937976780898.133</v>
      </c>
      <c r="BN100">
        <v>60016712305060.219</v>
      </c>
      <c r="BO100" s="190">
        <v>61535768880816.656</v>
      </c>
    </row>
    <row r="101" spans="1:67">
      <c r="A101" t="s">
        <v>678</v>
      </c>
      <c r="B101" t="s">
        <v>679</v>
      </c>
      <c r="C101" t="s">
        <v>1018</v>
      </c>
      <c r="D101" t="s">
        <v>1019</v>
      </c>
      <c r="E101">
        <v>1320796651.6945691</v>
      </c>
      <c r="F101">
        <v>1383681651.1377556</v>
      </c>
      <c r="G101">
        <v>1612346412.2647462</v>
      </c>
      <c r="H101">
        <v>1935298266.45384</v>
      </c>
      <c r="I101">
        <v>2206466461.264338</v>
      </c>
      <c r="J101">
        <v>2435078534.0314136</v>
      </c>
      <c r="K101">
        <v>2489845016.6489425</v>
      </c>
      <c r="L101">
        <v>2692474989.1257071</v>
      </c>
      <c r="M101">
        <v>2716964388.4241838</v>
      </c>
      <c r="N101">
        <v>3189740055.1398187</v>
      </c>
      <c r="O101">
        <v>3800766535.6208773</v>
      </c>
      <c r="P101">
        <v>4476001946.014864</v>
      </c>
      <c r="Q101">
        <v>5710090550.6257334</v>
      </c>
      <c r="R101">
        <v>8030117555.6203251</v>
      </c>
      <c r="S101">
        <v>9388694744.8616295</v>
      </c>
      <c r="T101">
        <v>10048090236.906023</v>
      </c>
      <c r="U101">
        <v>12876366008.807699</v>
      </c>
      <c r="V101">
        <v>15719433719.714693</v>
      </c>
      <c r="W101">
        <v>18315137712.944199</v>
      </c>
      <c r="X101">
        <v>22526186035.240833</v>
      </c>
      <c r="Y101">
        <v>28861855877.279675</v>
      </c>
      <c r="Z101">
        <v>31055224236.641243</v>
      </c>
      <c r="AA101">
        <v>32291217616.935963</v>
      </c>
      <c r="AB101">
        <v>29907228556.696434</v>
      </c>
      <c r="AC101">
        <v>33511383985.674088</v>
      </c>
      <c r="AD101">
        <v>35699772165.709335</v>
      </c>
      <c r="AE101">
        <v>41075395130.286217</v>
      </c>
      <c r="AF101">
        <v>50622896162.600578</v>
      </c>
      <c r="AG101">
        <v>59707404560.594414</v>
      </c>
      <c r="AH101">
        <v>68790222117.757645</v>
      </c>
      <c r="AI101">
        <v>76928784620.815811</v>
      </c>
      <c r="AJ101">
        <v>88960001715.744049</v>
      </c>
      <c r="AK101">
        <v>104272503148.98753</v>
      </c>
      <c r="AL101">
        <v>120354207288.82765</v>
      </c>
      <c r="AM101">
        <v>135811776884.01025</v>
      </c>
      <c r="AN101">
        <v>144652289130.66904</v>
      </c>
      <c r="AO101">
        <v>159718180108.94171</v>
      </c>
      <c r="AP101">
        <v>177353167213.82065</v>
      </c>
      <c r="AQ101">
        <v>168885436391.80588</v>
      </c>
      <c r="AR101">
        <v>165768095391.55655</v>
      </c>
      <c r="AS101">
        <v>171668898538.9436</v>
      </c>
      <c r="AT101">
        <v>169404327616.60522</v>
      </c>
      <c r="AU101">
        <v>166348873240.94153</v>
      </c>
      <c r="AV101">
        <v>161385558801.81079</v>
      </c>
      <c r="AW101">
        <v>169099768875.1926</v>
      </c>
      <c r="AX101">
        <v>181569303960.22638</v>
      </c>
      <c r="AY101">
        <v>193535434591.37048</v>
      </c>
      <c r="AZ101">
        <v>211596953544.76208</v>
      </c>
      <c r="BA101">
        <v>219278739753.00195</v>
      </c>
      <c r="BB101">
        <v>214047795659.04471</v>
      </c>
      <c r="BC101">
        <v>228638678536.95154</v>
      </c>
      <c r="BD101">
        <v>248513617677.28674</v>
      </c>
      <c r="BE101">
        <v>262628877166.2171</v>
      </c>
      <c r="BF101">
        <v>275696879834.96649</v>
      </c>
      <c r="BG101">
        <v>291459983449.58044</v>
      </c>
      <c r="BH101">
        <v>309385622601.34808</v>
      </c>
      <c r="BI101">
        <v>320860317562.56238</v>
      </c>
      <c r="BJ101">
        <v>341273289534.46594</v>
      </c>
      <c r="BK101">
        <v>361731070995.72626</v>
      </c>
      <c r="BL101">
        <v>363074560517.27606</v>
      </c>
      <c r="BM101">
        <v>344943149590.05829</v>
      </c>
      <c r="BN101">
        <v>368911387845.4176</v>
      </c>
      <c r="BO101" s="190">
        <v>359838598806.0907</v>
      </c>
    </row>
    <row r="102" spans="1:67">
      <c r="A102" t="s">
        <v>680</v>
      </c>
      <c r="B102" t="s">
        <v>681</v>
      </c>
      <c r="C102" t="s">
        <v>1018</v>
      </c>
      <c r="D102" t="s">
        <v>1019</v>
      </c>
      <c r="E102">
        <v>335649999.83217496</v>
      </c>
      <c r="F102">
        <v>356199999.82190001</v>
      </c>
      <c r="G102">
        <v>387749999.80612499</v>
      </c>
      <c r="H102">
        <v>410199999.7949</v>
      </c>
      <c r="I102">
        <v>456999999.77149999</v>
      </c>
      <c r="J102">
        <v>508649999.74567497</v>
      </c>
      <c r="K102">
        <v>549949999.72502494</v>
      </c>
      <c r="L102">
        <v>598099999.70095003</v>
      </c>
      <c r="M102">
        <v>646799999.67659998</v>
      </c>
      <c r="N102">
        <v>668000049.66599989</v>
      </c>
      <c r="O102">
        <v>722999999.63849998</v>
      </c>
      <c r="P102">
        <v>730999999.66495717</v>
      </c>
      <c r="Q102">
        <v>802996251.60654259</v>
      </c>
      <c r="R102">
        <v>912499599.45669055</v>
      </c>
      <c r="S102">
        <v>1034499999.7856154</v>
      </c>
      <c r="T102">
        <v>1124000000</v>
      </c>
      <c r="U102">
        <v>1347999950</v>
      </c>
      <c r="V102">
        <v>1669499950</v>
      </c>
      <c r="W102">
        <v>3097242093.1999998</v>
      </c>
      <c r="X102">
        <v>3544281976.3000002</v>
      </c>
      <c r="Y102">
        <v>3968160046</v>
      </c>
      <c r="Z102">
        <v>4043894878.5999999</v>
      </c>
      <c r="AA102">
        <v>4266503525.5999999</v>
      </c>
      <c r="AB102">
        <v>4476697184.8499994</v>
      </c>
      <c r="AC102">
        <v>4915311846.5</v>
      </c>
      <c r="AD102">
        <v>5278120712.5</v>
      </c>
      <c r="AE102">
        <v>5677828959</v>
      </c>
      <c r="AF102">
        <v>6190521241.5</v>
      </c>
      <c r="AG102">
        <v>5902717091.4163084</v>
      </c>
      <c r="AH102">
        <v>5432344901.7241383</v>
      </c>
      <c r="AI102">
        <v>4923009551.5564203</v>
      </c>
      <c r="AJ102">
        <v>4648668478.5675325</v>
      </c>
      <c r="AK102">
        <v>4943700431.0736828</v>
      </c>
      <c r="AL102">
        <v>4926728932.9506912</v>
      </c>
      <c r="AM102">
        <v>4642280682.142518</v>
      </c>
      <c r="AN102">
        <v>5347445005.2137642</v>
      </c>
      <c r="AO102">
        <v>5215028986.4864864</v>
      </c>
      <c r="AP102">
        <v>5737099650.190114</v>
      </c>
      <c r="AQ102">
        <v>6366340265.8788776</v>
      </c>
      <c r="AR102">
        <v>6414520529.616725</v>
      </c>
      <c r="AS102">
        <v>7186638029.0587492</v>
      </c>
      <c r="AT102">
        <v>7651162302.3456039</v>
      </c>
      <c r="AU102">
        <v>7858255253.499856</v>
      </c>
      <c r="AV102">
        <v>8230391504.7742739</v>
      </c>
      <c r="AW102">
        <v>8869299234.3376961</v>
      </c>
      <c r="AX102">
        <v>9757012869.2616825</v>
      </c>
      <c r="AY102">
        <v>10917476873.546001</v>
      </c>
      <c r="AZ102">
        <v>12361257680.562687</v>
      </c>
      <c r="BA102">
        <v>13881731630.967588</v>
      </c>
      <c r="BB102">
        <v>14587496229.18111</v>
      </c>
      <c r="BC102">
        <v>15839344591.984165</v>
      </c>
      <c r="BD102">
        <v>17710275997.474922</v>
      </c>
      <c r="BE102">
        <v>18528554861.05154</v>
      </c>
      <c r="BF102">
        <v>18499729063.419189</v>
      </c>
      <c r="BG102">
        <v>19756533658.082214</v>
      </c>
      <c r="BH102">
        <v>20979791685.416042</v>
      </c>
      <c r="BI102">
        <v>21717604580.862713</v>
      </c>
      <c r="BJ102">
        <v>23136248046.297894</v>
      </c>
      <c r="BK102">
        <v>24067750465.936077</v>
      </c>
      <c r="BL102">
        <v>25089937108.668098</v>
      </c>
      <c r="BM102">
        <v>23827859694.792065</v>
      </c>
      <c r="BN102">
        <v>28488721296.201176</v>
      </c>
      <c r="BO102" s="190">
        <v>31717700115.254597</v>
      </c>
    </row>
    <row r="103" spans="1:67">
      <c r="A103" t="s">
        <v>682</v>
      </c>
      <c r="B103" t="s">
        <v>683</v>
      </c>
      <c r="C103" t="s">
        <v>1018</v>
      </c>
      <c r="D103" t="s">
        <v>1019</v>
      </c>
      <c r="E103">
        <v>17292450314.772701</v>
      </c>
      <c r="F103">
        <v>17719500926.690487</v>
      </c>
      <c r="G103">
        <v>19291312491.523197</v>
      </c>
      <c r="H103">
        <v>23352325839.938034</v>
      </c>
      <c r="I103">
        <v>20816472041.235447</v>
      </c>
      <c r="J103">
        <v>24323923265.803951</v>
      </c>
      <c r="K103">
        <v>26501609734.39719</v>
      </c>
      <c r="L103">
        <v>25920628322.536221</v>
      </c>
      <c r="M103">
        <v>27476506890.415318</v>
      </c>
      <c r="N103">
        <v>30548727421.861526</v>
      </c>
      <c r="O103">
        <v>31962960653.614059</v>
      </c>
      <c r="P103">
        <v>34354320283.647575</v>
      </c>
      <c r="Q103">
        <v>37368293666.858131</v>
      </c>
      <c r="R103">
        <v>46136646050.391724</v>
      </c>
      <c r="S103">
        <v>54947655240.149078</v>
      </c>
      <c r="T103">
        <v>62791627878.73336</v>
      </c>
      <c r="U103">
        <v>66675385980.050529</v>
      </c>
      <c r="V103">
        <v>78348289023.163666</v>
      </c>
      <c r="W103">
        <v>92606200588.492264</v>
      </c>
      <c r="X103">
        <v>102275368434.50812</v>
      </c>
      <c r="Y103">
        <v>111360591670.02258</v>
      </c>
      <c r="Z103">
        <v>109356958746.01186</v>
      </c>
      <c r="AA103">
        <v>107882949059.38487</v>
      </c>
      <c r="AB103">
        <v>103238056408.20767</v>
      </c>
      <c r="AC103">
        <v>103775370860.9101</v>
      </c>
      <c r="AD103">
        <v>103167273762.24881</v>
      </c>
      <c r="AE103">
        <v>118612183964.84204</v>
      </c>
      <c r="AF103">
        <v>130456353406.22693</v>
      </c>
      <c r="AG103">
        <v>137681617095.98392</v>
      </c>
      <c r="AH103">
        <v>140602461086.64859</v>
      </c>
      <c r="AI103">
        <v>162560597218.28445</v>
      </c>
      <c r="AJ103">
        <v>176588552457.85004</v>
      </c>
      <c r="AK103">
        <v>133058720157.93987</v>
      </c>
      <c r="AL103">
        <v>137974875225.50854</v>
      </c>
      <c r="AM103">
        <v>116858509287.21661</v>
      </c>
      <c r="AN103">
        <v>136471948148.07481</v>
      </c>
      <c r="AO103">
        <v>148315268097.96353</v>
      </c>
      <c r="AP103">
        <v>154577457887.30063</v>
      </c>
      <c r="AQ103">
        <v>163059826840.9053</v>
      </c>
      <c r="AR103">
        <v>163833164869.17831</v>
      </c>
      <c r="AS103">
        <v>177567717258.14282</v>
      </c>
      <c r="AT103">
        <v>172626762131.91464</v>
      </c>
      <c r="AU103">
        <v>186798471425.64072</v>
      </c>
      <c r="AV103">
        <v>211521311898.11487</v>
      </c>
      <c r="AW103">
        <v>243387232295.46506</v>
      </c>
      <c r="AX103">
        <v>279221096803.81177</v>
      </c>
      <c r="AY103">
        <v>329711051193.58887</v>
      </c>
      <c r="AZ103">
        <v>394093813152.22217</v>
      </c>
      <c r="BA103">
        <v>469266243001.10583</v>
      </c>
      <c r="BB103">
        <v>474595462541.23541</v>
      </c>
      <c r="BC103">
        <v>524405539450.41748</v>
      </c>
      <c r="BD103">
        <v>588453270331.30908</v>
      </c>
      <c r="BE103">
        <v>609295540296.69165</v>
      </c>
      <c r="BF103">
        <v>677647202698.72534</v>
      </c>
      <c r="BG103">
        <v>719693866273.25098</v>
      </c>
      <c r="BH103">
        <v>698814203077.2489</v>
      </c>
      <c r="BI103">
        <v>731974952060.24951</v>
      </c>
      <c r="BJ103">
        <v>809850137940.15149</v>
      </c>
      <c r="BK103">
        <v>771241850302.93372</v>
      </c>
      <c r="BL103">
        <v>799160667507.73511</v>
      </c>
      <c r="BM103">
        <v>808664234946.37976</v>
      </c>
      <c r="BN103">
        <v>898771753067.72351</v>
      </c>
      <c r="BO103" s="190">
        <v>970109981803.94495</v>
      </c>
    </row>
    <row r="104" spans="1:67">
      <c r="A104" t="s">
        <v>684</v>
      </c>
      <c r="B104" t="s">
        <v>685</v>
      </c>
      <c r="C104" t="s">
        <v>1018</v>
      </c>
      <c r="D104" t="s">
        <v>1019</v>
      </c>
      <c r="AN104">
        <v>22778305790.16301</v>
      </c>
      <c r="AO104">
        <v>24147539209.850246</v>
      </c>
      <c r="AP104">
        <v>24172608178.087128</v>
      </c>
      <c r="AQ104">
        <v>25885225293.615086</v>
      </c>
      <c r="AR104">
        <v>23770159784.257236</v>
      </c>
      <c r="AS104">
        <v>22128719418.437622</v>
      </c>
      <c r="AT104">
        <v>23063323722.500717</v>
      </c>
      <c r="AU104">
        <v>26757255951.778645</v>
      </c>
      <c r="AV104">
        <v>35254833028.402016</v>
      </c>
      <c r="AW104">
        <v>41855265955.291931</v>
      </c>
      <c r="AX104">
        <v>45025328213.787781</v>
      </c>
      <c r="AY104">
        <v>49532592592.883232</v>
      </c>
      <c r="AZ104">
        <v>59172904660.617569</v>
      </c>
      <c r="BA104">
        <v>68342061762.001678</v>
      </c>
      <c r="BB104">
        <v>61941466003.287453</v>
      </c>
      <c r="BC104">
        <v>58693611581.162033</v>
      </c>
      <c r="BD104">
        <v>62599775593.220985</v>
      </c>
      <c r="BE104">
        <v>57231455635.366821</v>
      </c>
      <c r="BF104">
        <v>59363124068.584259</v>
      </c>
      <c r="BG104">
        <v>59214461630.399292</v>
      </c>
      <c r="BH104">
        <v>50742086222.907005</v>
      </c>
      <c r="BI104">
        <v>52391038979.033791</v>
      </c>
      <c r="BJ104">
        <v>55937483557.925568</v>
      </c>
      <c r="BK104">
        <v>61330483609.883514</v>
      </c>
      <c r="BL104">
        <v>61329267533.131554</v>
      </c>
      <c r="BM104">
        <v>57624938982.360626</v>
      </c>
      <c r="BN104">
        <v>68843674641.211166</v>
      </c>
      <c r="BO104" s="190">
        <v>70964606464.642715</v>
      </c>
    </row>
    <row r="105" spans="1:67">
      <c r="A105" t="s">
        <v>686</v>
      </c>
      <c r="B105" t="s">
        <v>687</v>
      </c>
      <c r="C105" t="s">
        <v>1018</v>
      </c>
      <c r="D105" t="s">
        <v>1019</v>
      </c>
      <c r="E105">
        <v>273187199.78145021</v>
      </c>
      <c r="F105">
        <v>271065999.78314716</v>
      </c>
      <c r="G105">
        <v>281896799.77448255</v>
      </c>
      <c r="H105">
        <v>294883399.76409328</v>
      </c>
      <c r="I105">
        <v>325281199.739775</v>
      </c>
      <c r="J105">
        <v>353251799.71739852</v>
      </c>
      <c r="K105">
        <v>368948599.70484108</v>
      </c>
      <c r="L105">
        <v>369124199.70470059</v>
      </c>
      <c r="M105">
        <v>367968799.70562494</v>
      </c>
      <c r="N105">
        <v>391820399.68654364</v>
      </c>
      <c r="O105">
        <v>331199999.73503995</v>
      </c>
      <c r="P105">
        <v>362799999.70975995</v>
      </c>
      <c r="Q105">
        <v>371998971.85506696</v>
      </c>
      <c r="R105">
        <v>466798975.00493836</v>
      </c>
      <c r="S105">
        <v>565399296.71813154</v>
      </c>
      <c r="T105">
        <v>681400000.13628006</v>
      </c>
      <c r="U105">
        <v>879000000.17579997</v>
      </c>
      <c r="V105">
        <v>947000000.18939996</v>
      </c>
      <c r="W105">
        <v>974200000.19484007</v>
      </c>
      <c r="X105">
        <v>1080600000.21612</v>
      </c>
      <c r="Y105">
        <v>1383800000.2767601</v>
      </c>
      <c r="Z105">
        <v>1479400000.2958801</v>
      </c>
      <c r="AA105">
        <v>1474200000.2948401</v>
      </c>
      <c r="AB105">
        <v>1623600000.3247201</v>
      </c>
      <c r="AC105">
        <v>1816200000.2421613</v>
      </c>
      <c r="AD105">
        <v>2009400000</v>
      </c>
      <c r="AE105">
        <v>2318000000</v>
      </c>
      <c r="AF105">
        <v>2047200000</v>
      </c>
      <c r="AG105">
        <v>2613926800</v>
      </c>
      <c r="AH105">
        <v>2736243800</v>
      </c>
      <c r="AI105">
        <v>3096289800</v>
      </c>
      <c r="AJ105">
        <v>3473562850.2802219</v>
      </c>
      <c r="AK105">
        <v>2257129873.670814</v>
      </c>
      <c r="AL105">
        <v>1878253818.0835197</v>
      </c>
      <c r="AM105">
        <v>2167569095.1223598</v>
      </c>
      <c r="AN105">
        <v>2813313278.8108196</v>
      </c>
      <c r="AO105">
        <v>2907517543.3584623</v>
      </c>
      <c r="AP105">
        <v>3338949151.5992718</v>
      </c>
      <c r="AQ105">
        <v>3723903723.6377182</v>
      </c>
      <c r="AR105">
        <v>4153725966.885087</v>
      </c>
      <c r="AS105">
        <v>6813565983.1170788</v>
      </c>
      <c r="AT105">
        <v>6331970412.8850946</v>
      </c>
      <c r="AU105">
        <v>6205847136.9842224</v>
      </c>
      <c r="AV105">
        <v>5071947797.9827261</v>
      </c>
      <c r="AW105">
        <v>6087360734.560627</v>
      </c>
      <c r="AX105">
        <v>7030149790.9304228</v>
      </c>
      <c r="AY105">
        <v>7638739123.5444393</v>
      </c>
      <c r="AZ105">
        <v>9228637766.2431564</v>
      </c>
      <c r="BA105">
        <v>10432962724.761663</v>
      </c>
      <c r="BB105">
        <v>11597002929.79891</v>
      </c>
      <c r="BC105">
        <v>11859312627.076307</v>
      </c>
      <c r="BD105">
        <v>13008746038.8867</v>
      </c>
      <c r="BE105">
        <v>13708925402.936991</v>
      </c>
      <c r="BF105">
        <v>14902488489.054474</v>
      </c>
      <c r="BG105">
        <v>15146883647.376593</v>
      </c>
      <c r="BH105">
        <v>14849629407.954582</v>
      </c>
      <c r="BI105">
        <v>14069277532.499874</v>
      </c>
      <c r="BJ105">
        <v>15093357143.420015</v>
      </c>
      <c r="BK105">
        <v>16403864521.412119</v>
      </c>
      <c r="BL105">
        <v>15016090929.87443</v>
      </c>
      <c r="BM105">
        <v>14508222518.157993</v>
      </c>
      <c r="BN105">
        <v>20877414952.123581</v>
      </c>
      <c r="BO105" s="190">
        <v>20253551885.214645</v>
      </c>
    </row>
    <row r="106" spans="1:67">
      <c r="A106" t="s">
        <v>688</v>
      </c>
      <c r="B106" t="s">
        <v>689</v>
      </c>
      <c r="C106" t="s">
        <v>1018</v>
      </c>
      <c r="D106" t="s">
        <v>1019</v>
      </c>
      <c r="AJ106">
        <v>34753569692.914963</v>
      </c>
      <c r="AK106">
        <v>38730585922.218864</v>
      </c>
      <c r="AL106">
        <v>40124916940.594467</v>
      </c>
      <c r="AM106">
        <v>43166678735.218323</v>
      </c>
      <c r="AN106">
        <v>46425677734.143517</v>
      </c>
      <c r="AO106">
        <v>46658765340.437515</v>
      </c>
      <c r="AP106">
        <v>47296961369.10144</v>
      </c>
      <c r="AQ106">
        <v>48706794878.771072</v>
      </c>
      <c r="AR106">
        <v>49073373275.937874</v>
      </c>
      <c r="AS106">
        <v>47218411470.253769</v>
      </c>
      <c r="AT106">
        <v>53749989092.019722</v>
      </c>
      <c r="AU106">
        <v>67608919144.368355</v>
      </c>
      <c r="AV106">
        <v>85285075491.885971</v>
      </c>
      <c r="AW106">
        <v>104120803140.22089</v>
      </c>
      <c r="AX106">
        <v>113211158292.93649</v>
      </c>
      <c r="AY106">
        <v>115715618613.05196</v>
      </c>
      <c r="AZ106">
        <v>140186691233.53223</v>
      </c>
      <c r="BA106">
        <v>158325583917.57401</v>
      </c>
      <c r="BB106">
        <v>131069277212.63518</v>
      </c>
      <c r="BC106">
        <v>132175349953.71332</v>
      </c>
      <c r="BD106">
        <v>141942264554.47513</v>
      </c>
      <c r="BE106">
        <v>128814279315.1317</v>
      </c>
      <c r="BF106">
        <v>135684315697.71341</v>
      </c>
      <c r="BG106">
        <v>141033843265.66858</v>
      </c>
      <c r="BH106">
        <v>125174166987.37169</v>
      </c>
      <c r="BI106">
        <v>128609822750.03862</v>
      </c>
      <c r="BJ106">
        <v>143112196040.32568</v>
      </c>
      <c r="BK106">
        <v>160565642983.58676</v>
      </c>
      <c r="BL106">
        <v>164020460331.65897</v>
      </c>
      <c r="BM106">
        <v>157227094449.07394</v>
      </c>
      <c r="BN106">
        <v>182275444031.78961</v>
      </c>
      <c r="BO106" s="190">
        <v>178788572067.58902</v>
      </c>
    </row>
    <row r="107" spans="1:67">
      <c r="A107" t="s">
        <v>690</v>
      </c>
      <c r="B107" t="s">
        <v>691</v>
      </c>
      <c r="C107" t="s">
        <v>1018</v>
      </c>
      <c r="D107" t="s">
        <v>1019</v>
      </c>
      <c r="E107">
        <v>312847710618.94531</v>
      </c>
      <c r="F107">
        <v>309558648106.40179</v>
      </c>
      <c r="G107">
        <v>317296811852.1449</v>
      </c>
      <c r="H107">
        <v>340355731341.58191</v>
      </c>
      <c r="I107">
        <v>385694861547.25171</v>
      </c>
      <c r="J107">
        <v>422949538284.62653</v>
      </c>
      <c r="K107">
        <v>436648397312.29346</v>
      </c>
      <c r="L107">
        <v>448215720989.04871</v>
      </c>
      <c r="M107">
        <v>473404257947.55731</v>
      </c>
      <c r="N107">
        <v>528433899524.89783</v>
      </c>
      <c r="O107">
        <v>574979364132.60083</v>
      </c>
      <c r="P107">
        <v>627486667752.12451</v>
      </c>
      <c r="Q107">
        <v>706116891008.86023</v>
      </c>
      <c r="R107">
        <v>914768346940.19751</v>
      </c>
      <c r="S107">
        <v>1152536835908.1655</v>
      </c>
      <c r="T107">
        <v>1244887902983.4097</v>
      </c>
      <c r="U107">
        <v>1348869508762.0938</v>
      </c>
      <c r="V107">
        <v>1527707387232.1035</v>
      </c>
      <c r="W107">
        <v>1691716799777.7048</v>
      </c>
      <c r="X107">
        <v>1970758429473.4509</v>
      </c>
      <c r="Y107">
        <v>2333234306398.2871</v>
      </c>
      <c r="Z107">
        <v>2516418067586.1138</v>
      </c>
      <c r="AA107">
        <v>2491063028144.2734</v>
      </c>
      <c r="AB107">
        <v>2452321862781.7275</v>
      </c>
      <c r="AC107">
        <v>2545964829024.5688</v>
      </c>
      <c r="AD107">
        <v>2642524425526.3188</v>
      </c>
      <c r="AE107">
        <v>2755085729092.6943</v>
      </c>
      <c r="AF107">
        <v>2836707800974.4526</v>
      </c>
      <c r="AG107">
        <v>3037192192086.1909</v>
      </c>
      <c r="AH107">
        <v>3164104713185.1235</v>
      </c>
      <c r="AI107">
        <v>3638437908431.4053</v>
      </c>
      <c r="AJ107">
        <v>3517602600753.9541</v>
      </c>
      <c r="AK107">
        <v>3701861762943.0601</v>
      </c>
      <c r="AL107">
        <v>3977963109219.5537</v>
      </c>
      <c r="AM107">
        <v>4332708771702.4932</v>
      </c>
      <c r="AN107">
        <v>4897137935207.4336</v>
      </c>
      <c r="AO107">
        <v>5348738916926.9668</v>
      </c>
      <c r="AP107">
        <v>5671483037214.0107</v>
      </c>
      <c r="AQ107">
        <v>5510045621255.4678</v>
      </c>
      <c r="AR107">
        <v>5366064673362.043</v>
      </c>
      <c r="AS107">
        <v>5839436714264.7178</v>
      </c>
      <c r="AT107">
        <v>5911673645506.4785</v>
      </c>
      <c r="AU107">
        <v>6001266668417.2949</v>
      </c>
      <c r="AV107">
        <v>6747932625643.082</v>
      </c>
      <c r="AW107">
        <v>8043519579051.2119</v>
      </c>
      <c r="AX107">
        <v>9615796081224.4648</v>
      </c>
      <c r="AY107">
        <v>11403941454978.896</v>
      </c>
      <c r="AZ107">
        <v>14166070736983.449</v>
      </c>
      <c r="BA107">
        <v>17000231113774.273</v>
      </c>
      <c r="BB107">
        <v>16487865779437.68</v>
      </c>
      <c r="BC107">
        <v>20048166862477.156</v>
      </c>
      <c r="BD107">
        <v>23739490220163.063</v>
      </c>
      <c r="BE107">
        <v>25231185297161.262</v>
      </c>
      <c r="BF107">
        <v>26621251796118.457</v>
      </c>
      <c r="BG107">
        <v>27519521640517.508</v>
      </c>
      <c r="BH107">
        <v>25774291128877.184</v>
      </c>
      <c r="BI107">
        <v>25972093023068.703</v>
      </c>
      <c r="BJ107">
        <v>28689022224808.445</v>
      </c>
      <c r="BK107">
        <v>30520147708889.992</v>
      </c>
      <c r="BL107">
        <v>31181885466267.414</v>
      </c>
      <c r="BM107">
        <v>30036645646514.102</v>
      </c>
      <c r="BN107">
        <v>35615582809272.969</v>
      </c>
      <c r="BO107" s="190">
        <v>37635709395799.68</v>
      </c>
    </row>
    <row r="108" spans="1:67">
      <c r="A108" t="s">
        <v>692</v>
      </c>
      <c r="B108" t="s">
        <v>693</v>
      </c>
      <c r="C108" t="s">
        <v>1018</v>
      </c>
      <c r="D108" t="s">
        <v>1019</v>
      </c>
      <c r="E108">
        <v>351271390107.74365</v>
      </c>
      <c r="F108">
        <v>350792507441.11255</v>
      </c>
      <c r="G108">
        <v>362178039570.06256</v>
      </c>
      <c r="H108">
        <v>390673356818.89343</v>
      </c>
      <c r="I108">
        <v>433787465166.33722</v>
      </c>
      <c r="J108">
        <v>477570690087.12952</v>
      </c>
      <c r="K108">
        <v>496238221381.39178</v>
      </c>
      <c r="L108">
        <v>508218462962.17456</v>
      </c>
      <c r="M108">
        <v>536462477460.47736</v>
      </c>
      <c r="N108">
        <v>599235406692.58813</v>
      </c>
      <c r="O108">
        <v>657852694284.39087</v>
      </c>
      <c r="P108">
        <v>709722967090.34692</v>
      </c>
      <c r="Q108">
        <v>791160280563.65173</v>
      </c>
      <c r="R108">
        <v>1011675036369.3538</v>
      </c>
      <c r="S108">
        <v>1282877331903.4131</v>
      </c>
      <c r="T108">
        <v>1402503928502.2383</v>
      </c>
      <c r="U108">
        <v>1511505065576.2468</v>
      </c>
      <c r="V108">
        <v>1704528242516.2825</v>
      </c>
      <c r="W108">
        <v>1892704345565.3015</v>
      </c>
      <c r="X108">
        <v>2204254696266.5483</v>
      </c>
      <c r="Y108">
        <v>2612608601648.5459</v>
      </c>
      <c r="Z108">
        <v>2938958646106.9429</v>
      </c>
      <c r="AA108">
        <v>2886738091442.2734</v>
      </c>
      <c r="AB108">
        <v>2779448084203.3306</v>
      </c>
      <c r="AC108">
        <v>2845219285275.3237</v>
      </c>
      <c r="AD108">
        <v>2947286345770.0278</v>
      </c>
      <c r="AE108">
        <v>3062487003592.8062</v>
      </c>
      <c r="AF108">
        <v>3170194994177.583</v>
      </c>
      <c r="AG108">
        <v>3364776021250.5107</v>
      </c>
      <c r="AH108">
        <v>3496626582886.9414</v>
      </c>
      <c r="AI108">
        <v>4017383514929.5337</v>
      </c>
      <c r="AJ108">
        <v>3915793184881.1172</v>
      </c>
      <c r="AK108">
        <v>4063636192649.1187</v>
      </c>
      <c r="AL108">
        <v>4330925467103.7305</v>
      </c>
      <c r="AM108">
        <v>4685118960920.8457</v>
      </c>
      <c r="AN108">
        <v>5303331574441.835</v>
      </c>
      <c r="AO108">
        <v>5805057320128.4072</v>
      </c>
      <c r="AP108">
        <v>6147194034003.1885</v>
      </c>
      <c r="AQ108">
        <v>5994914072573.2383</v>
      </c>
      <c r="AR108">
        <v>5864975962199.9961</v>
      </c>
      <c r="AS108">
        <v>6392236773484.9346</v>
      </c>
      <c r="AT108">
        <v>6467058819404.0059</v>
      </c>
      <c r="AU108">
        <v>6597179645796.5605</v>
      </c>
      <c r="AV108">
        <v>7411818808331.1641</v>
      </c>
      <c r="AW108">
        <v>8822574687641.8008</v>
      </c>
      <c r="AX108">
        <v>10526961170664.023</v>
      </c>
      <c r="AY108">
        <v>12493276098307.363</v>
      </c>
      <c r="AZ108">
        <v>15440043749347.977</v>
      </c>
      <c r="BA108">
        <v>18521254921505.871</v>
      </c>
      <c r="BB108">
        <v>18003100309250.707</v>
      </c>
      <c r="BC108">
        <v>21798451915412.344</v>
      </c>
      <c r="BD108">
        <v>25521665780816.398</v>
      </c>
      <c r="BE108">
        <v>27106356951918.168</v>
      </c>
      <c r="BF108">
        <v>28659297586380.902</v>
      </c>
      <c r="BG108">
        <v>29716965776742.887</v>
      </c>
      <c r="BH108">
        <v>27922343491136.938</v>
      </c>
      <c r="BI108">
        <v>28162575334751.84</v>
      </c>
      <c r="BJ108">
        <v>30978325716193.152</v>
      </c>
      <c r="BK108">
        <v>32893629417407.633</v>
      </c>
      <c r="BL108">
        <v>33639428774236.211</v>
      </c>
      <c r="BM108">
        <v>32450856363672.738</v>
      </c>
      <c r="BN108">
        <v>38246179203967.375</v>
      </c>
      <c r="BO108" s="190">
        <v>40448776490634.508</v>
      </c>
    </row>
    <row r="109" spans="1:67">
      <c r="A109" t="s">
        <v>694</v>
      </c>
      <c r="B109" t="s">
        <v>695</v>
      </c>
      <c r="C109" t="s">
        <v>1018</v>
      </c>
      <c r="D109" t="s">
        <v>1019</v>
      </c>
      <c r="E109">
        <v>38320022083.144264</v>
      </c>
      <c r="F109">
        <v>40400043936.412277</v>
      </c>
      <c r="G109">
        <v>43393750351.95015</v>
      </c>
      <c r="H109">
        <v>48370130958.800514</v>
      </c>
      <c r="I109">
        <v>47330394529.871758</v>
      </c>
      <c r="J109">
        <v>53468536046.245552</v>
      </c>
      <c r="K109">
        <v>57924073847.914841</v>
      </c>
      <c r="L109">
        <v>58466985789.62252</v>
      </c>
      <c r="M109">
        <v>61480692436.85923</v>
      </c>
      <c r="N109">
        <v>68985085298.843719</v>
      </c>
      <c r="O109">
        <v>80115065650.16745</v>
      </c>
      <c r="P109">
        <v>80333811803.578995</v>
      </c>
      <c r="Q109">
        <v>83918830280.860672</v>
      </c>
      <c r="R109">
        <v>97248051627.353027</v>
      </c>
      <c r="S109">
        <v>129652908582.84731</v>
      </c>
      <c r="T109">
        <v>154660739085.54449</v>
      </c>
      <c r="U109">
        <v>160505749714.26416</v>
      </c>
      <c r="V109">
        <v>175375816534.45294</v>
      </c>
      <c r="W109">
        <v>198704575513.16519</v>
      </c>
      <c r="X109">
        <v>230921468554.142</v>
      </c>
      <c r="Y109">
        <v>275938398374.96979</v>
      </c>
      <c r="Z109">
        <v>403363550594.80469</v>
      </c>
      <c r="AA109">
        <v>379740257647.27197</v>
      </c>
      <c r="AB109">
        <v>319870919535.74347</v>
      </c>
      <c r="AC109">
        <v>297176525826.32153</v>
      </c>
      <c r="AD109">
        <v>303420381551.10541</v>
      </c>
      <c r="AE109">
        <v>307389061412.18097</v>
      </c>
      <c r="AF109">
        <v>331097179326.61676</v>
      </c>
      <c r="AG109">
        <v>328077583890.66339</v>
      </c>
      <c r="AH109">
        <v>332445061090.59052</v>
      </c>
      <c r="AI109">
        <v>378625893677.5575</v>
      </c>
      <c r="AJ109">
        <v>398382717615.29401</v>
      </c>
      <c r="AK109">
        <v>361568265924.16522</v>
      </c>
      <c r="AL109">
        <v>352530368672.36951</v>
      </c>
      <c r="AM109">
        <v>351486400435.63232</v>
      </c>
      <c r="AN109">
        <v>405263109955.89368</v>
      </c>
      <c r="AO109">
        <v>455586035969.38519</v>
      </c>
      <c r="AP109">
        <v>474751908908.9939</v>
      </c>
      <c r="AQ109">
        <v>484445538274.85638</v>
      </c>
      <c r="AR109">
        <v>499098297624.17377</v>
      </c>
      <c r="AS109">
        <v>553224994016.66333</v>
      </c>
      <c r="AT109">
        <v>555728370769.75952</v>
      </c>
      <c r="AU109">
        <v>596913956893.6366</v>
      </c>
      <c r="AV109">
        <v>664923940273.57568</v>
      </c>
      <c r="AW109">
        <v>780117195842.13074</v>
      </c>
      <c r="AX109">
        <v>912147805680.73376</v>
      </c>
      <c r="AY109">
        <v>1090624298175.3983</v>
      </c>
      <c r="AZ109">
        <v>1274448228707.5828</v>
      </c>
      <c r="BA109">
        <v>1521482725374.4163</v>
      </c>
      <c r="BB109">
        <v>1515763269136.5125</v>
      </c>
      <c r="BC109">
        <v>1750735521057.769</v>
      </c>
      <c r="BD109">
        <v>1782101859063.5471</v>
      </c>
      <c r="BE109">
        <v>1875053620989.9587</v>
      </c>
      <c r="BF109">
        <v>2038045790262.4443</v>
      </c>
      <c r="BG109">
        <v>2197444136225.375</v>
      </c>
      <c r="BH109">
        <v>2146720272494.6584</v>
      </c>
      <c r="BI109">
        <v>2188895718882.4385</v>
      </c>
      <c r="BJ109">
        <v>2288777969587.3813</v>
      </c>
      <c r="BK109">
        <v>2373505833478.7178</v>
      </c>
      <c r="BL109">
        <v>2457261018776.6948</v>
      </c>
      <c r="BM109">
        <v>2413496959520.8384</v>
      </c>
      <c r="BN109">
        <v>2630947161900.7031</v>
      </c>
      <c r="BO109" s="190">
        <v>2813266144561.7817</v>
      </c>
    </row>
    <row r="110" spans="1:67">
      <c r="A110" t="s">
        <v>696</v>
      </c>
      <c r="B110" t="s">
        <v>697</v>
      </c>
      <c r="C110" t="s">
        <v>1018</v>
      </c>
      <c r="D110" t="s">
        <v>1019</v>
      </c>
      <c r="E110">
        <v>12063716103.747467</v>
      </c>
      <c r="F110">
        <v>12910262578.401226</v>
      </c>
      <c r="G110">
        <v>13806159755.922466</v>
      </c>
      <c r="H110">
        <v>14612004567.717178</v>
      </c>
      <c r="I110">
        <v>15945614583.756088</v>
      </c>
      <c r="J110">
        <v>17314264918.664845</v>
      </c>
      <c r="K110">
        <v>18833729124.975529</v>
      </c>
      <c r="L110">
        <v>18930485110.743793</v>
      </c>
      <c r="M110">
        <v>19982447045.262897</v>
      </c>
      <c r="N110">
        <v>22860809160.256622</v>
      </c>
      <c r="O110">
        <v>31424774715.250294</v>
      </c>
      <c r="P110">
        <v>29185227706.10474</v>
      </c>
      <c r="Q110">
        <v>32770575917.460686</v>
      </c>
      <c r="R110">
        <v>34960184147.197769</v>
      </c>
      <c r="S110">
        <v>50396527690.386749</v>
      </c>
      <c r="T110">
        <v>57971333194.154701</v>
      </c>
      <c r="U110">
        <v>69959421026.518234</v>
      </c>
      <c r="V110">
        <v>73756383699.639587</v>
      </c>
      <c r="W110">
        <v>80183338760.429337</v>
      </c>
      <c r="X110">
        <v>98426900974.466492</v>
      </c>
      <c r="Y110">
        <v>126262885823.11562</v>
      </c>
      <c r="Z110">
        <v>243040674356.80643</v>
      </c>
      <c r="AA110">
        <v>222134599186.92395</v>
      </c>
      <c r="AB110">
        <v>168564486625.02609</v>
      </c>
      <c r="AC110">
        <v>144656607095.24203</v>
      </c>
      <c r="AD110">
        <v>145317223261.02707</v>
      </c>
      <c r="AE110">
        <v>131018133500.04597</v>
      </c>
      <c r="AF110">
        <v>134041262796.61049</v>
      </c>
      <c r="AG110">
        <v>137620710028.00577</v>
      </c>
      <c r="AH110">
        <v>132645444778.80235</v>
      </c>
      <c r="AI110">
        <v>146299168037.10983</v>
      </c>
      <c r="AJ110">
        <v>146920446197.1265</v>
      </c>
      <c r="AK110">
        <v>147612421861.85474</v>
      </c>
      <c r="AL110">
        <v>132706122125.0148</v>
      </c>
      <c r="AM110">
        <v>133300725340.58946</v>
      </c>
      <c r="AN110">
        <v>156253994796.22266</v>
      </c>
      <c r="AO110">
        <v>172449894064.98743</v>
      </c>
      <c r="AP110">
        <v>176072253065.30084</v>
      </c>
      <c r="AQ110">
        <v>173821053311.18207</v>
      </c>
      <c r="AR110">
        <v>181554251968.96039</v>
      </c>
      <c r="AS110">
        <v>206736962646.80011</v>
      </c>
      <c r="AT110">
        <v>206419302736.92886</v>
      </c>
      <c r="AU110">
        <v>227772326360.28937</v>
      </c>
      <c r="AV110">
        <v>256311555309.27859</v>
      </c>
      <c r="AW110">
        <v>311522373743.72559</v>
      </c>
      <c r="AX110">
        <v>372742440249.26709</v>
      </c>
      <c r="AY110">
        <v>469295440463.0014</v>
      </c>
      <c r="AZ110">
        <v>541264522565.23627</v>
      </c>
      <c r="BA110">
        <v>640036074397.37903</v>
      </c>
      <c r="BB110">
        <v>606965502107.91406</v>
      </c>
      <c r="BC110">
        <v>715590112082.90063</v>
      </c>
      <c r="BD110">
        <v>823906283238.81531</v>
      </c>
      <c r="BE110">
        <v>909186219114.41541</v>
      </c>
      <c r="BF110">
        <v>989607127321.84131</v>
      </c>
      <c r="BG110">
        <v>1076979908548.0337</v>
      </c>
      <c r="BH110">
        <v>1017844957897.416</v>
      </c>
      <c r="BI110">
        <v>977321951410.72766</v>
      </c>
      <c r="BJ110">
        <v>960023974850.2915</v>
      </c>
      <c r="BK110">
        <v>1048863296886.9071</v>
      </c>
      <c r="BL110">
        <v>1069700472074.9744</v>
      </c>
      <c r="BM110">
        <v>1002567723026.3032</v>
      </c>
      <c r="BN110">
        <v>1096038565477.4154</v>
      </c>
      <c r="BO110" s="190">
        <v>1173302850133.1819</v>
      </c>
    </row>
    <row r="111" spans="1:67">
      <c r="A111" t="s">
        <v>698</v>
      </c>
      <c r="B111" t="s">
        <v>699</v>
      </c>
      <c r="C111" t="s">
        <v>1018</v>
      </c>
      <c r="D111" t="s">
        <v>1019</v>
      </c>
      <c r="L111">
        <v>5667756644.9716015</v>
      </c>
      <c r="M111">
        <v>7076465295.2735615</v>
      </c>
      <c r="N111">
        <v>8337423312.8834352</v>
      </c>
      <c r="O111">
        <v>9150684931.5068493</v>
      </c>
      <c r="P111">
        <v>9333536359.7443104</v>
      </c>
      <c r="Q111">
        <v>10997590361.445784</v>
      </c>
      <c r="R111">
        <v>16273253012.048193</v>
      </c>
      <c r="S111">
        <v>25802409638.554218</v>
      </c>
      <c r="T111">
        <v>30463855421.760155</v>
      </c>
      <c r="U111">
        <v>37269156626.595825</v>
      </c>
      <c r="V111">
        <v>45808915662.760986</v>
      </c>
      <c r="W111">
        <v>51455719100.269951</v>
      </c>
      <c r="X111">
        <v>51400186379.187317</v>
      </c>
      <c r="Y111">
        <v>72482337370.855103</v>
      </c>
      <c r="Z111">
        <v>85518233450.181808</v>
      </c>
      <c r="AA111">
        <v>90158449307.259979</v>
      </c>
      <c r="AB111">
        <v>81052283404.217926</v>
      </c>
      <c r="AC111">
        <v>84853699994.567734</v>
      </c>
      <c r="AD111">
        <v>85289488375.468811</v>
      </c>
      <c r="AE111">
        <v>79954072569.463684</v>
      </c>
      <c r="AF111">
        <v>75929617576.228165</v>
      </c>
      <c r="AG111">
        <v>84300174475.795517</v>
      </c>
      <c r="AH111">
        <v>94451427898.007034</v>
      </c>
      <c r="AI111">
        <v>106140727356.67451</v>
      </c>
      <c r="AJ111">
        <v>116621996217.13341</v>
      </c>
      <c r="AK111">
        <v>128026966579.96375</v>
      </c>
      <c r="AL111">
        <v>158006700301.5332</v>
      </c>
      <c r="AM111">
        <v>176892143931.50528</v>
      </c>
      <c r="AN111">
        <v>202132028723.11533</v>
      </c>
      <c r="AO111">
        <v>227369679374.9733</v>
      </c>
      <c r="AP111">
        <v>215748998609.63501</v>
      </c>
      <c r="AQ111">
        <v>95445547872.715027</v>
      </c>
      <c r="AR111">
        <v>140001351215.46185</v>
      </c>
      <c r="AS111">
        <v>165021012077.80963</v>
      </c>
      <c r="AT111">
        <v>160446947784.90857</v>
      </c>
      <c r="AU111">
        <v>195660611165.18344</v>
      </c>
      <c r="AV111">
        <v>234772463823.80835</v>
      </c>
      <c r="AW111">
        <v>256836875295.4519</v>
      </c>
      <c r="AX111">
        <v>285868619205.9035</v>
      </c>
      <c r="AY111">
        <v>364570515631.62451</v>
      </c>
      <c r="AZ111">
        <v>432216737774.86053</v>
      </c>
      <c r="BA111">
        <v>510228634992.25824</v>
      </c>
      <c r="BB111">
        <v>539580085612.40143</v>
      </c>
      <c r="BC111">
        <v>755094157594.24768</v>
      </c>
      <c r="BD111">
        <v>892969104529.23291</v>
      </c>
      <c r="BE111">
        <v>917869913365.24316</v>
      </c>
      <c r="BF111">
        <v>912524136718.01819</v>
      </c>
      <c r="BG111">
        <v>890814755511.29126</v>
      </c>
      <c r="BH111">
        <v>860854232717.85266</v>
      </c>
      <c r="BI111">
        <v>931877364033.90222</v>
      </c>
      <c r="BJ111">
        <v>1015618744168.1512</v>
      </c>
      <c r="BK111">
        <v>1042271532953.3597</v>
      </c>
      <c r="BL111">
        <v>1119099871386.1587</v>
      </c>
      <c r="BM111">
        <v>1059054842711.7219</v>
      </c>
      <c r="BN111">
        <v>1186505455720.8091</v>
      </c>
      <c r="BO111" s="190">
        <v>1319100220389.0181</v>
      </c>
    </row>
    <row r="112" spans="1:67">
      <c r="A112" t="s">
        <v>700</v>
      </c>
      <c r="B112" t="s">
        <v>701</v>
      </c>
      <c r="C112" t="s">
        <v>1018</v>
      </c>
      <c r="D112" t="s">
        <v>1019</v>
      </c>
      <c r="E112">
        <v>27105173973.397491</v>
      </c>
      <c r="F112">
        <v>28350259476.585106</v>
      </c>
      <c r="G112">
        <v>30520380944.135334</v>
      </c>
      <c r="H112">
        <v>34907257225.368225</v>
      </c>
      <c r="I112">
        <v>32277415320.982952</v>
      </c>
      <c r="J112">
        <v>37261044147.576981</v>
      </c>
      <c r="K112">
        <v>40278560200.506699</v>
      </c>
      <c r="L112">
        <v>40746948796.841347</v>
      </c>
      <c r="M112">
        <v>42761290418.348923</v>
      </c>
      <c r="N112">
        <v>47485002146.866837</v>
      </c>
      <c r="O112">
        <v>49639453168.507469</v>
      </c>
      <c r="P112">
        <v>52395188461.899338</v>
      </c>
      <c r="Q112">
        <v>52164084218.752739</v>
      </c>
      <c r="R112">
        <v>63843359722.792496</v>
      </c>
      <c r="S112">
        <v>80855093444.035156</v>
      </c>
      <c r="T112">
        <v>98887800680.214752</v>
      </c>
      <c r="U112">
        <v>91502332691.859344</v>
      </c>
      <c r="V112">
        <v>103027185366.83238</v>
      </c>
      <c r="W112">
        <v>120580878439.34689</v>
      </c>
      <c r="X112">
        <v>134168317754.70836</v>
      </c>
      <c r="Y112">
        <v>150499207820.67136</v>
      </c>
      <c r="Z112">
        <v>154584364197.73871</v>
      </c>
      <c r="AA112">
        <v>152771439194.22974</v>
      </c>
      <c r="AB112">
        <v>148794901041.19232</v>
      </c>
      <c r="AC112">
        <v>151191821040.19528</v>
      </c>
      <c r="AD112">
        <v>156911943796.00201</v>
      </c>
      <c r="AE112">
        <v>176286391575.48727</v>
      </c>
      <c r="AF112">
        <v>197350220193.49081</v>
      </c>
      <c r="AG112">
        <v>190498314175.03098</v>
      </c>
      <c r="AH112">
        <v>199980515581.86185</v>
      </c>
      <c r="AI112">
        <v>232630137929.56128</v>
      </c>
      <c r="AJ112">
        <v>252280312321.0574</v>
      </c>
      <c r="AK112">
        <v>213915982271.23425</v>
      </c>
      <c r="AL112">
        <v>220372522126.73474</v>
      </c>
      <c r="AM112">
        <v>218693076613.18607</v>
      </c>
      <c r="AN112">
        <v>249492463233.90555</v>
      </c>
      <c r="AO112">
        <v>283806954525.85535</v>
      </c>
      <c r="AP112">
        <v>299523051689.67633</v>
      </c>
      <c r="AQ112">
        <v>311717453836.69128</v>
      </c>
      <c r="AR112">
        <v>318571678845.32111</v>
      </c>
      <c r="AS112">
        <v>347408785784.60461</v>
      </c>
      <c r="AT112">
        <v>350282700042.75623</v>
      </c>
      <c r="AU112">
        <v>369953470614.08417</v>
      </c>
      <c r="AV112">
        <v>409445511985.27545</v>
      </c>
      <c r="AW112">
        <v>469274900285.05151</v>
      </c>
      <c r="AX112">
        <v>539966731327.013</v>
      </c>
      <c r="AY112">
        <v>621350084131.20422</v>
      </c>
      <c r="AZ112">
        <v>733404724665.70313</v>
      </c>
      <c r="BA112">
        <v>881879617320.97473</v>
      </c>
      <c r="BB112">
        <v>909363560234.37476</v>
      </c>
      <c r="BC112">
        <v>1035735186761.6256</v>
      </c>
      <c r="BD112">
        <v>958377202447.04492</v>
      </c>
      <c r="BE112">
        <v>965873002611.24609</v>
      </c>
      <c r="BF112">
        <v>1048438662940.6034</v>
      </c>
      <c r="BG112">
        <v>1120464227677.3413</v>
      </c>
      <c r="BH112">
        <v>1128875314597.2419</v>
      </c>
      <c r="BI112">
        <v>1211573767471.7107</v>
      </c>
      <c r="BJ112">
        <v>1328753994737.0889</v>
      </c>
      <c r="BK112">
        <v>1324642536591.811</v>
      </c>
      <c r="BL112">
        <v>1387560546701.72</v>
      </c>
      <c r="BM112">
        <v>1410929236494.5354</v>
      </c>
      <c r="BN112">
        <v>1534883548261.9666</v>
      </c>
      <c r="BO112" s="190">
        <v>1639926057562.3601</v>
      </c>
    </row>
    <row r="113" spans="1:67">
      <c r="A113" t="s">
        <v>702</v>
      </c>
      <c r="B113" t="s">
        <v>703</v>
      </c>
      <c r="C113" t="s">
        <v>1018</v>
      </c>
      <c r="D113" t="s">
        <v>1019</v>
      </c>
      <c r="AN113">
        <v>914762873.68915319</v>
      </c>
      <c r="AO113">
        <v>1023005862.7792743</v>
      </c>
      <c r="AP113">
        <v>1180968165.4085984</v>
      </c>
      <c r="AQ113">
        <v>1382605389.3205488</v>
      </c>
      <c r="AR113">
        <v>1567402513.6964228</v>
      </c>
      <c r="AS113">
        <v>1563667799.6157825</v>
      </c>
      <c r="AT113">
        <v>1659131243.7383714</v>
      </c>
      <c r="AU113">
        <v>1947332921.7471831</v>
      </c>
      <c r="AV113">
        <v>2328658227.8481011</v>
      </c>
      <c r="AW113">
        <v>2822358473.1698322</v>
      </c>
      <c r="AX113">
        <v>3032409189.1187568</v>
      </c>
      <c r="AY113">
        <v>3422735301.6939983</v>
      </c>
      <c r="AZ113">
        <v>4466353634.8265676</v>
      </c>
      <c r="BA113">
        <v>5928788780.5539408</v>
      </c>
      <c r="BB113">
        <v>5486918994.7934465</v>
      </c>
      <c r="BC113">
        <v>5920366628.3317766</v>
      </c>
      <c r="BD113">
        <v>6565668780.7298422</v>
      </c>
      <c r="BE113">
        <v>6690228489.4281607</v>
      </c>
      <c r="BF113">
        <v>7001180245.7929754</v>
      </c>
      <c r="BG113">
        <v>7708459145.004734</v>
      </c>
      <c r="BH113">
        <v>7084795708.2686272</v>
      </c>
      <c r="BI113">
        <v>6846373276.6206732</v>
      </c>
      <c r="BJ113">
        <v>6979791187.0900822</v>
      </c>
      <c r="BK113">
        <v>7491654051.0801134</v>
      </c>
      <c r="BL113">
        <v>7314966839.1098137</v>
      </c>
      <c r="BM113">
        <v>6684229268.5298452</v>
      </c>
    </row>
    <row r="114" spans="1:67">
      <c r="A114" t="s">
        <v>704</v>
      </c>
      <c r="B114" t="s">
        <v>705</v>
      </c>
      <c r="C114" t="s">
        <v>1018</v>
      </c>
      <c r="D114" t="s">
        <v>1019</v>
      </c>
      <c r="E114">
        <v>37029883846.930275</v>
      </c>
      <c r="F114">
        <v>39232435753.042168</v>
      </c>
      <c r="G114">
        <v>42161481824.7743</v>
      </c>
      <c r="H114">
        <v>48421923420.870148</v>
      </c>
      <c r="I114">
        <v>56480289896.370522</v>
      </c>
      <c r="J114">
        <v>59554854575.808487</v>
      </c>
      <c r="K114">
        <v>45865462034.285713</v>
      </c>
      <c r="L114">
        <v>50134942160.549721</v>
      </c>
      <c r="M114">
        <v>53085455824.659271</v>
      </c>
      <c r="N114">
        <v>58447994966.678406</v>
      </c>
      <c r="O114">
        <v>62422483000.567184</v>
      </c>
      <c r="P114">
        <v>67351407965.128098</v>
      </c>
      <c r="Q114">
        <v>71463193831.009232</v>
      </c>
      <c r="R114">
        <v>85515269585.399963</v>
      </c>
      <c r="S114">
        <v>99525899116.05397</v>
      </c>
      <c r="T114">
        <v>98472796456.884003</v>
      </c>
      <c r="U114">
        <v>102717164466.39742</v>
      </c>
      <c r="V114">
        <v>121486645611.52187</v>
      </c>
      <c r="W114">
        <v>137300295313.29968</v>
      </c>
      <c r="X114">
        <v>152991653793.7695</v>
      </c>
      <c r="Y114">
        <v>186325345086.66125</v>
      </c>
      <c r="Z114">
        <v>193491373249.40009</v>
      </c>
      <c r="AA114">
        <v>200715633588.78906</v>
      </c>
      <c r="AB114">
        <v>218262154670.61234</v>
      </c>
      <c r="AC114">
        <v>212157639237.20245</v>
      </c>
      <c r="AD114">
        <v>232511561180.05667</v>
      </c>
      <c r="AE114">
        <v>248985994042.21176</v>
      </c>
      <c r="AF114">
        <v>279033584092.22345</v>
      </c>
      <c r="AG114">
        <v>296589677725.07416</v>
      </c>
      <c r="AH114">
        <v>296042058867.0105</v>
      </c>
      <c r="AI114">
        <v>320979026420.0351</v>
      </c>
      <c r="AJ114">
        <v>270105341879.22638</v>
      </c>
      <c r="AK114">
        <v>288208066640.58398</v>
      </c>
      <c r="AL114">
        <v>279295644530.09015</v>
      </c>
      <c r="AM114">
        <v>327275583539.55865</v>
      </c>
      <c r="AN114">
        <v>360281907854.99371</v>
      </c>
      <c r="AO114">
        <v>392896860670.88458</v>
      </c>
      <c r="AP114">
        <v>415867567334.18549</v>
      </c>
      <c r="AQ114">
        <v>421351318896.8739</v>
      </c>
      <c r="AR114">
        <v>458820417337.80707</v>
      </c>
      <c r="AS114">
        <v>468394937262.36993</v>
      </c>
      <c r="AT114">
        <v>485441014538.63824</v>
      </c>
      <c r="AU114">
        <v>514937948870.08038</v>
      </c>
      <c r="AV114">
        <v>607699285433.87195</v>
      </c>
      <c r="AW114">
        <v>709148514804.65942</v>
      </c>
      <c r="AX114">
        <v>820381595512.90161</v>
      </c>
      <c r="AY114">
        <v>940259888792.14136</v>
      </c>
      <c r="AZ114">
        <v>1216736448906.293</v>
      </c>
      <c r="BA114">
        <v>1198895147694.7725</v>
      </c>
      <c r="BB114">
        <v>1341888016988.575</v>
      </c>
      <c r="BC114">
        <v>1675615502766.2007</v>
      </c>
      <c r="BD114">
        <v>1823051829894.5461</v>
      </c>
      <c r="BE114">
        <v>1827637579584.7917</v>
      </c>
      <c r="BF114">
        <v>1856721494834.6431</v>
      </c>
      <c r="BG114">
        <v>2039126469963.3477</v>
      </c>
      <c r="BH114">
        <v>2103588347241.7742</v>
      </c>
      <c r="BI114">
        <v>2294796889945.0449</v>
      </c>
      <c r="BJ114">
        <v>2651474263257.1538</v>
      </c>
      <c r="BK114">
        <v>2702929639861.5024</v>
      </c>
      <c r="BL114">
        <v>2835606242052.4839</v>
      </c>
      <c r="BM114">
        <v>2671595389575.7017</v>
      </c>
      <c r="BN114">
        <v>3150306834279.6479</v>
      </c>
      <c r="BO114" s="190">
        <v>3385089881935.3936</v>
      </c>
    </row>
    <row r="115" spans="1:67">
      <c r="A115" t="s">
        <v>706</v>
      </c>
      <c r="B115" t="s">
        <v>707</v>
      </c>
      <c r="C115" t="s">
        <v>1018</v>
      </c>
      <c r="D115" t="s">
        <v>1019</v>
      </c>
    </row>
    <row r="116" spans="1:67">
      <c r="A116" t="s">
        <v>708</v>
      </c>
      <c r="B116" t="s">
        <v>709</v>
      </c>
      <c r="C116" t="s">
        <v>1018</v>
      </c>
      <c r="D116" t="s">
        <v>1019</v>
      </c>
      <c r="E116">
        <v>1939329775.4373901</v>
      </c>
      <c r="F116">
        <v>2088012282.3566668</v>
      </c>
      <c r="G116">
        <v>2260349684.086246</v>
      </c>
      <c r="H116">
        <v>2430843768.4455333</v>
      </c>
      <c r="I116">
        <v>2766608945.874023</v>
      </c>
      <c r="J116">
        <v>2945704142.9976544</v>
      </c>
      <c r="K116">
        <v>3104034393.2316236</v>
      </c>
      <c r="L116">
        <v>3343636773.3675852</v>
      </c>
      <c r="M116">
        <v>3278584478.3302269</v>
      </c>
      <c r="N116">
        <v>3787077343.7278252</v>
      </c>
      <c r="O116">
        <v>4395995085.9950857</v>
      </c>
      <c r="P116">
        <v>5098250287.4664621</v>
      </c>
      <c r="Q116">
        <v>6318060582.2187262</v>
      </c>
      <c r="R116">
        <v>7481173065.7920122</v>
      </c>
      <c r="S116">
        <v>7896860614.9880314</v>
      </c>
      <c r="T116">
        <v>9483808362.369339</v>
      </c>
      <c r="U116">
        <v>9453756014.7183704</v>
      </c>
      <c r="V116">
        <v>11248340431.377937</v>
      </c>
      <c r="W116">
        <v>14647996073.693748</v>
      </c>
      <c r="X116">
        <v>18319334300.451324</v>
      </c>
      <c r="Y116">
        <v>21747855640.071209</v>
      </c>
      <c r="Z116">
        <v>20670190138.167068</v>
      </c>
      <c r="AA116">
        <v>21474752962.217751</v>
      </c>
      <c r="AB116">
        <v>20766047763.531368</v>
      </c>
      <c r="AC116">
        <v>20106648454.840363</v>
      </c>
      <c r="AD116">
        <v>21270013325.560089</v>
      </c>
      <c r="AE116">
        <v>28714571852.479866</v>
      </c>
      <c r="AF116">
        <v>33920518492.509361</v>
      </c>
      <c r="AG116">
        <v>37772896220.755852</v>
      </c>
      <c r="AH116">
        <v>39238392677.754211</v>
      </c>
      <c r="AI116">
        <v>49305632408.492897</v>
      </c>
      <c r="AJ116">
        <v>49787501584.484726</v>
      </c>
      <c r="AK116">
        <v>55918538121.398903</v>
      </c>
      <c r="AL116">
        <v>52417477613.67601</v>
      </c>
      <c r="AM116">
        <v>57097656065.959953</v>
      </c>
      <c r="AN116">
        <v>69139823232.323227</v>
      </c>
      <c r="AO116">
        <v>75790786290.322586</v>
      </c>
      <c r="AP116">
        <v>82856648758.357208</v>
      </c>
      <c r="AQ116">
        <v>90199410115.509689</v>
      </c>
      <c r="AR116">
        <v>98893958262.643845</v>
      </c>
      <c r="AS116">
        <v>100207610429.90924</v>
      </c>
      <c r="AT116">
        <v>109346669229.6954</v>
      </c>
      <c r="AU116">
        <v>128596035288.40102</v>
      </c>
      <c r="AV116">
        <v>164670771259.60202</v>
      </c>
      <c r="AW116">
        <v>194372115041.06497</v>
      </c>
      <c r="AX116">
        <v>211876989655.90652</v>
      </c>
      <c r="AY116">
        <v>232180617162.2785</v>
      </c>
      <c r="AZ116">
        <v>270079279419.50046</v>
      </c>
      <c r="BA116">
        <v>275447471451.06323</v>
      </c>
      <c r="BB116">
        <v>236443115853.69476</v>
      </c>
      <c r="BC116">
        <v>221913560882.37238</v>
      </c>
      <c r="BD116">
        <v>239003132208.13443</v>
      </c>
      <c r="BE116">
        <v>225628699652.99301</v>
      </c>
      <c r="BF116">
        <v>238340859896.93903</v>
      </c>
      <c r="BG116">
        <v>259170903647.53183</v>
      </c>
      <c r="BH116">
        <v>291775166506.89124</v>
      </c>
      <c r="BI116">
        <v>299091127524.51331</v>
      </c>
      <c r="BJ116">
        <v>336377500160.5495</v>
      </c>
      <c r="BK116">
        <v>385736680797.11127</v>
      </c>
      <c r="BL116">
        <v>399321701632.42358</v>
      </c>
      <c r="BM116">
        <v>425852281928.11371</v>
      </c>
      <c r="BN116">
        <v>504182603275.5423</v>
      </c>
      <c r="BO116" s="190">
        <v>529244870222.76471</v>
      </c>
    </row>
    <row r="117" spans="1:67">
      <c r="A117" t="s">
        <v>710</v>
      </c>
      <c r="B117" t="s">
        <v>711</v>
      </c>
      <c r="C117" t="s">
        <v>1018</v>
      </c>
      <c r="D117" t="s">
        <v>1019</v>
      </c>
      <c r="E117">
        <v>4199134385.7045617</v>
      </c>
      <c r="F117">
        <v>4426949090.4133549</v>
      </c>
      <c r="G117">
        <v>4693566411.7898932</v>
      </c>
      <c r="H117">
        <v>4928628013.4589634</v>
      </c>
      <c r="I117">
        <v>5379845642.3215399</v>
      </c>
      <c r="J117">
        <v>6197319922.8430634</v>
      </c>
      <c r="K117">
        <v>6789938664.9610062</v>
      </c>
      <c r="L117">
        <v>7555383682.6046171</v>
      </c>
      <c r="M117">
        <v>8623172951.2748604</v>
      </c>
      <c r="N117">
        <v>9743089597.752779</v>
      </c>
      <c r="O117">
        <v>10976245142.613142</v>
      </c>
      <c r="P117">
        <v>13731802908.42436</v>
      </c>
      <c r="Q117">
        <v>17153463263.108646</v>
      </c>
      <c r="R117">
        <v>27081698249.508286</v>
      </c>
      <c r="S117">
        <v>46209092072.138268</v>
      </c>
      <c r="T117">
        <v>51776222349.886902</v>
      </c>
      <c r="U117">
        <v>68055295080.753807</v>
      </c>
      <c r="V117">
        <v>80600122701.963196</v>
      </c>
      <c r="W117">
        <v>77994316621.481384</v>
      </c>
      <c r="X117">
        <v>90391877325.928497</v>
      </c>
      <c r="Y117">
        <v>94362275580.022903</v>
      </c>
      <c r="Z117">
        <v>100499312749.92252</v>
      </c>
      <c r="AA117">
        <v>125948756439.48515</v>
      </c>
      <c r="AB117">
        <v>156365156618.24072</v>
      </c>
      <c r="AC117">
        <v>162276728619.51862</v>
      </c>
      <c r="AD117">
        <v>180183629599.68427</v>
      </c>
      <c r="AE117">
        <v>209094561833.48007</v>
      </c>
      <c r="AF117">
        <v>134009995923.16888</v>
      </c>
      <c r="AG117">
        <v>123057861333.90797</v>
      </c>
      <c r="AH117">
        <v>120496362916.27124</v>
      </c>
      <c r="AI117">
        <v>124813263926.22499</v>
      </c>
      <c r="AL117">
        <v>63743623232.012009</v>
      </c>
      <c r="AM117">
        <v>71841461172.59639</v>
      </c>
      <c r="AN117">
        <v>96419225743.673676</v>
      </c>
      <c r="AO117">
        <v>120403931885.44078</v>
      </c>
      <c r="AP117">
        <v>113919163421.15488</v>
      </c>
      <c r="AQ117">
        <v>110276913362.5078</v>
      </c>
      <c r="AR117">
        <v>113848450088.35091</v>
      </c>
      <c r="AS117">
        <v>109591707802.21602</v>
      </c>
      <c r="AT117">
        <v>126878750295.94432</v>
      </c>
      <c r="AU117">
        <v>128626917503.71953</v>
      </c>
      <c r="AV117">
        <v>153544751395.43008</v>
      </c>
      <c r="AW117">
        <v>190043433964.84137</v>
      </c>
      <c r="AX117">
        <v>226452138291.54214</v>
      </c>
      <c r="AY117">
        <v>266298911661.14447</v>
      </c>
      <c r="AZ117">
        <v>349881601458.56036</v>
      </c>
      <c r="BA117">
        <v>412336172446.84943</v>
      </c>
      <c r="BB117">
        <v>416397025729.36102</v>
      </c>
      <c r="BC117">
        <v>486807616896.70306</v>
      </c>
      <c r="BD117">
        <v>626133112211.11096</v>
      </c>
      <c r="BE117">
        <v>644035512198.99182</v>
      </c>
      <c r="BF117">
        <v>492775566435.17584</v>
      </c>
      <c r="BG117">
        <v>460382791488.62628</v>
      </c>
      <c r="BH117">
        <v>408212917871.72485</v>
      </c>
      <c r="BI117">
        <v>457954614595.2395</v>
      </c>
      <c r="BJ117">
        <v>486630147094.68951</v>
      </c>
      <c r="BK117">
        <v>327900695065.85345</v>
      </c>
      <c r="BL117">
        <v>283649531542.6308</v>
      </c>
      <c r="BM117">
        <v>239735486745.7037</v>
      </c>
      <c r="BN117">
        <v>359096907772.98547</v>
      </c>
      <c r="BO117" s="190">
        <v>388544468139.73291</v>
      </c>
    </row>
    <row r="118" spans="1:67">
      <c r="A118" t="s">
        <v>712</v>
      </c>
      <c r="B118" t="s">
        <v>713</v>
      </c>
      <c r="C118" t="s">
        <v>1018</v>
      </c>
      <c r="D118" t="s">
        <v>1019</v>
      </c>
      <c r="E118">
        <v>1683918769.4635453</v>
      </c>
      <c r="F118">
        <v>1831479830.7047307</v>
      </c>
      <c r="G118">
        <v>1954399501.7581177</v>
      </c>
      <c r="H118">
        <v>1978199492.2809613</v>
      </c>
      <c r="I118">
        <v>2340239348.1166906</v>
      </c>
      <c r="M118">
        <v>2896598846.574338</v>
      </c>
      <c r="N118">
        <v>3007758802.3104439</v>
      </c>
      <c r="O118">
        <v>3281318693.3788948</v>
      </c>
      <c r="P118">
        <v>3865346534.6534657</v>
      </c>
      <c r="Q118">
        <v>4113848002.4031243</v>
      </c>
      <c r="R118">
        <v>5134367778.1446018</v>
      </c>
      <c r="S118">
        <v>11516762614.290552</v>
      </c>
      <c r="T118">
        <v>13458516762.61429</v>
      </c>
      <c r="U118">
        <v>17754825601.083645</v>
      </c>
      <c r="V118">
        <v>19838130714.527599</v>
      </c>
      <c r="W118">
        <v>23762275651.879444</v>
      </c>
      <c r="X118">
        <v>37816457839.485268</v>
      </c>
      <c r="Y118">
        <v>52569000000</v>
      </c>
      <c r="Z118">
        <v>37823000000</v>
      </c>
      <c r="AA118">
        <v>42382333333.333336</v>
      </c>
      <c r="AB118">
        <v>40712903225.80645</v>
      </c>
      <c r="AC118">
        <v>46938387096.774193</v>
      </c>
      <c r="AD118">
        <v>48425161290.322578</v>
      </c>
      <c r="AE118">
        <v>47264516129.032257</v>
      </c>
      <c r="AF118">
        <v>56774193548.3871</v>
      </c>
      <c r="AG118">
        <v>62684516129.032257</v>
      </c>
      <c r="AH118">
        <v>65831935483.870972</v>
      </c>
      <c r="AI118">
        <v>180408064516.12903</v>
      </c>
      <c r="AJ118">
        <v>407796349.66378486</v>
      </c>
      <c r="AK118">
        <v>553671957.67195761</v>
      </c>
      <c r="AL118">
        <v>1031944881.1318939</v>
      </c>
      <c r="AM118">
        <v>3991349282.7572927</v>
      </c>
      <c r="AN118">
        <v>12894029888.112158</v>
      </c>
      <c r="AO118">
        <v>10433698621.342705</v>
      </c>
      <c r="AP118">
        <v>20764857056.379494</v>
      </c>
      <c r="AQ118">
        <v>20617405044.242462</v>
      </c>
      <c r="AR118">
        <v>36881601583.819359</v>
      </c>
      <c r="AS118">
        <v>48364250943.905067</v>
      </c>
      <c r="AT118">
        <v>36176430128.805725</v>
      </c>
      <c r="AU118">
        <v>32928454672.424591</v>
      </c>
      <c r="AV118">
        <v>21921569478.816261</v>
      </c>
      <c r="AW118">
        <v>36627901762.063011</v>
      </c>
      <c r="AX118">
        <v>49954890353.260872</v>
      </c>
      <c r="AY118">
        <v>65140147197.121475</v>
      </c>
      <c r="AZ118">
        <v>88837055195.261948</v>
      </c>
      <c r="BA118">
        <v>131614433712.24457</v>
      </c>
      <c r="BB118">
        <v>111657581662.34955</v>
      </c>
      <c r="BC118">
        <v>138516722649.57266</v>
      </c>
      <c r="BD118">
        <v>185749664444.44446</v>
      </c>
      <c r="BE118">
        <v>218002481737.69147</v>
      </c>
      <c r="BF118">
        <v>234637675128.64493</v>
      </c>
      <c r="BG118">
        <v>228415656174.95712</v>
      </c>
      <c r="BH118">
        <v>166774104911.47961</v>
      </c>
      <c r="BI118">
        <v>166602488747.88495</v>
      </c>
      <c r="BJ118">
        <v>187217660050.67569</v>
      </c>
      <c r="BK118">
        <v>227367469034.03085</v>
      </c>
      <c r="BL118">
        <v>233636097800.33844</v>
      </c>
      <c r="BM118">
        <v>180924091442.95303</v>
      </c>
      <c r="BN118">
        <v>207691599310.34482</v>
      </c>
      <c r="BO118" s="190">
        <v>264182173793.10345</v>
      </c>
    </row>
    <row r="119" spans="1:67">
      <c r="A119" t="s">
        <v>714</v>
      </c>
      <c r="B119" t="s">
        <v>715</v>
      </c>
      <c r="C119" t="s">
        <v>1018</v>
      </c>
      <c r="D119" t="s">
        <v>1019</v>
      </c>
      <c r="E119">
        <v>248434274.50325158</v>
      </c>
      <c r="F119">
        <v>253885451.99057224</v>
      </c>
      <c r="G119">
        <v>284916520.94716787</v>
      </c>
      <c r="H119">
        <v>340061655.83416659</v>
      </c>
      <c r="I119">
        <v>434267944.21185923</v>
      </c>
      <c r="J119">
        <v>523694958.17066306</v>
      </c>
      <c r="K119">
        <v>628893320.9676137</v>
      </c>
      <c r="L119">
        <v>621225998.64132655</v>
      </c>
      <c r="M119">
        <v>474399519.59457046</v>
      </c>
      <c r="N119">
        <v>414709309.10591495</v>
      </c>
      <c r="O119">
        <v>526704545.47360379</v>
      </c>
      <c r="P119">
        <v>670251136.44933867</v>
      </c>
      <c r="Q119">
        <v>839648790.66907549</v>
      </c>
      <c r="R119">
        <v>1154386886.4025817</v>
      </c>
      <c r="S119">
        <v>1515165330.1613495</v>
      </c>
      <c r="T119">
        <v>1406875081.327261</v>
      </c>
      <c r="U119">
        <v>1669473116.2875803</v>
      </c>
      <c r="V119">
        <v>2208509076.6389999</v>
      </c>
      <c r="W119">
        <v>2511818475.6276617</v>
      </c>
      <c r="X119">
        <v>2853435054.3444242</v>
      </c>
      <c r="Y119">
        <v>3381389884.807178</v>
      </c>
      <c r="Z119">
        <v>3493005069.1071911</v>
      </c>
      <c r="AA119">
        <v>3206617990.900228</v>
      </c>
      <c r="AB119">
        <v>2765954047.0882387</v>
      </c>
      <c r="AC119">
        <v>2864437621.6606441</v>
      </c>
      <c r="AD119">
        <v>2984054752.9372058</v>
      </c>
      <c r="AE119">
        <v>3989626783.5026455</v>
      </c>
      <c r="AF119">
        <v>5520320783.4420938</v>
      </c>
      <c r="AG119">
        <v>6106638182.3895302</v>
      </c>
      <c r="AH119">
        <v>5672570277.7860937</v>
      </c>
      <c r="AI119">
        <v>6468739130.22964</v>
      </c>
      <c r="AJ119">
        <v>6909725408.1149902</v>
      </c>
      <c r="AK119">
        <v>7080977636.4156675</v>
      </c>
      <c r="AL119">
        <v>6218583218.0630322</v>
      </c>
      <c r="AM119">
        <v>6389462322.0493774</v>
      </c>
      <c r="AN119">
        <v>7123637088.754343</v>
      </c>
      <c r="AO119">
        <v>7426082270.676692</v>
      </c>
      <c r="AP119">
        <v>7569673903.9617863</v>
      </c>
      <c r="AQ119">
        <v>8503689103.9342375</v>
      </c>
      <c r="AR119">
        <v>8982048417.305563</v>
      </c>
      <c r="AS119">
        <v>9025660361.7584209</v>
      </c>
      <c r="AT119">
        <v>8234846522.8547192</v>
      </c>
      <c r="AU119">
        <v>9318398443.5514622</v>
      </c>
      <c r="AV119">
        <v>11429335645.274658</v>
      </c>
      <c r="AW119">
        <v>13825309101.270323</v>
      </c>
      <c r="AX119">
        <v>16852971986.556927</v>
      </c>
      <c r="AY119">
        <v>17465318552.294098</v>
      </c>
      <c r="AZ119">
        <v>21652505596.752789</v>
      </c>
      <c r="BA119">
        <v>18074619561.767139</v>
      </c>
      <c r="BB119">
        <v>13154416196.752424</v>
      </c>
      <c r="BC119">
        <v>13751161917.739773</v>
      </c>
      <c r="BD119">
        <v>15221622925.931889</v>
      </c>
      <c r="BE119">
        <v>14751508133.544277</v>
      </c>
      <c r="BF119">
        <v>16125060515.311741</v>
      </c>
      <c r="BG119">
        <v>17867662177.891129</v>
      </c>
      <c r="BH119">
        <v>17517210519.091156</v>
      </c>
      <c r="BI119">
        <v>20793168030.952427</v>
      </c>
      <c r="BJ119">
        <v>24728285177.460316</v>
      </c>
      <c r="BK119">
        <v>26260850582.06868</v>
      </c>
      <c r="BL119">
        <v>24663643101.958004</v>
      </c>
      <c r="BM119">
        <v>21553080483.813221</v>
      </c>
      <c r="BN119">
        <v>25552639899.066963</v>
      </c>
      <c r="BO119" s="190">
        <v>27841648044.375271</v>
      </c>
    </row>
    <row r="120" spans="1:67">
      <c r="A120" t="s">
        <v>716</v>
      </c>
      <c r="B120" t="s">
        <v>717</v>
      </c>
      <c r="C120" t="s">
        <v>1018</v>
      </c>
      <c r="D120" t="s">
        <v>1019</v>
      </c>
      <c r="E120">
        <v>2887228551.9474158</v>
      </c>
      <c r="F120">
        <v>3487229867.3415294</v>
      </c>
      <c r="G120">
        <v>2596557416.0721793</v>
      </c>
      <c r="H120">
        <v>2992339892.8311195</v>
      </c>
      <c r="I120">
        <v>3405340798.1689558</v>
      </c>
      <c r="J120">
        <v>3663341363.731091</v>
      </c>
      <c r="K120">
        <v>3980008724.5631685</v>
      </c>
      <c r="L120">
        <v>3921089676.4526896</v>
      </c>
      <c r="M120">
        <v>3959151535.796524</v>
      </c>
      <c r="N120">
        <v>4568010013.3012075</v>
      </c>
      <c r="AN120">
        <v>104893245478.82266</v>
      </c>
      <c r="AO120">
        <v>114507654661.38203</v>
      </c>
      <c r="AP120">
        <v>118861100787.10481</v>
      </c>
      <c r="AQ120">
        <v>120057482023.38112</v>
      </c>
      <c r="AR120">
        <v>120922450570.28853</v>
      </c>
      <c r="AS120">
        <v>136034659581.42587</v>
      </c>
      <c r="AT120">
        <v>134637422752.72549</v>
      </c>
      <c r="AU120">
        <v>125059962957.68628</v>
      </c>
      <c r="AV120">
        <v>131298954868.83719</v>
      </c>
      <c r="AW120">
        <v>139973668874.27078</v>
      </c>
      <c r="AX120">
        <v>147083996033.60297</v>
      </c>
      <c r="AY120">
        <v>158670160184.1792</v>
      </c>
      <c r="AZ120">
        <v>184052885585.91214</v>
      </c>
      <c r="BA120">
        <v>220529762562.36237</v>
      </c>
      <c r="BB120">
        <v>211968128528.44376</v>
      </c>
      <c r="BC120">
        <v>238364092298.02286</v>
      </c>
      <c r="BD120">
        <v>266791854430.89716</v>
      </c>
      <c r="BE120">
        <v>262282344091.84918</v>
      </c>
      <c r="BF120">
        <v>297732778479.1286</v>
      </c>
      <c r="BG120">
        <v>314330061977.26337</v>
      </c>
      <c r="BH120">
        <v>303414276832.04004</v>
      </c>
      <c r="BI120">
        <v>322102790386.83502</v>
      </c>
      <c r="BJ120">
        <v>358245427458.54095</v>
      </c>
      <c r="BK120">
        <v>376691526553.27637</v>
      </c>
      <c r="BL120">
        <v>402470513619.14801</v>
      </c>
      <c r="BM120">
        <v>413267669231.52216</v>
      </c>
      <c r="BN120">
        <v>488526545878.89136</v>
      </c>
      <c r="BO120" s="190">
        <v>522033446211.62488</v>
      </c>
    </row>
    <row r="121" spans="1:67">
      <c r="A121" t="s">
        <v>718</v>
      </c>
      <c r="B121" t="s">
        <v>719</v>
      </c>
      <c r="C121" t="s">
        <v>1018</v>
      </c>
      <c r="D121" t="s">
        <v>1019</v>
      </c>
      <c r="E121">
        <v>40385288344.191147</v>
      </c>
      <c r="F121">
        <v>44842760293.192383</v>
      </c>
      <c r="G121">
        <v>50383891898.991119</v>
      </c>
      <c r="H121">
        <v>57710743059.834145</v>
      </c>
      <c r="I121">
        <v>63175417019.009407</v>
      </c>
      <c r="J121">
        <v>67978153850.519081</v>
      </c>
      <c r="K121">
        <v>73654870011.275742</v>
      </c>
      <c r="L121">
        <v>81133120065.420242</v>
      </c>
      <c r="M121">
        <v>87942231678.350525</v>
      </c>
      <c r="N121">
        <v>97085082807.375092</v>
      </c>
      <c r="O121">
        <v>113395315985.13013</v>
      </c>
      <c r="P121">
        <v>124672365792.75905</v>
      </c>
      <c r="Q121">
        <v>145260039840.63745</v>
      </c>
      <c r="R121">
        <v>175492055795.41681</v>
      </c>
      <c r="S121">
        <v>199564489431.37839</v>
      </c>
      <c r="T121">
        <v>227695851126.92764</v>
      </c>
      <c r="U121">
        <v>224717278436.84576</v>
      </c>
      <c r="V121">
        <v>257596313364.0553</v>
      </c>
      <c r="W121">
        <v>315058323066.39288</v>
      </c>
      <c r="X121">
        <v>393677161500.81567</v>
      </c>
      <c r="Y121">
        <v>477256775943.92944</v>
      </c>
      <c r="Z121">
        <v>430702851303.01483</v>
      </c>
      <c r="AA121">
        <v>427272645669.29132</v>
      </c>
      <c r="AB121">
        <v>443042373788.88324</v>
      </c>
      <c r="AC121">
        <v>437887689001.54291</v>
      </c>
      <c r="AD121">
        <v>452217492140.75653</v>
      </c>
      <c r="AE121">
        <v>640386352773.0874</v>
      </c>
      <c r="AF121">
        <v>805713128174.48462</v>
      </c>
      <c r="AG121">
        <v>891608957155.6084</v>
      </c>
      <c r="AH121">
        <v>928661332204.34656</v>
      </c>
      <c r="AI121">
        <v>1181222653522.9475</v>
      </c>
      <c r="AJ121">
        <v>1246220156079.2881</v>
      </c>
      <c r="AK121">
        <v>1320161644933.2288</v>
      </c>
      <c r="AL121">
        <v>1064958075550.6337</v>
      </c>
      <c r="AM121">
        <v>1099216688280.4995</v>
      </c>
      <c r="AN121">
        <v>1174662070605.0159</v>
      </c>
      <c r="AO121">
        <v>1312426527795.2063</v>
      </c>
      <c r="AP121">
        <v>1241879604365.6206</v>
      </c>
      <c r="AQ121">
        <v>1270052525928.4041</v>
      </c>
      <c r="AR121">
        <v>1252446659833.7866</v>
      </c>
      <c r="AS121">
        <v>1146676894209.728</v>
      </c>
      <c r="AT121">
        <v>1168023426056.3794</v>
      </c>
      <c r="AU121">
        <v>1276769338449.2964</v>
      </c>
      <c r="AV121">
        <v>1577621707050.5066</v>
      </c>
      <c r="AW121">
        <v>1806542968545.5645</v>
      </c>
      <c r="AX121">
        <v>1858217147203.7346</v>
      </c>
      <c r="AY121">
        <v>1949551719389.6443</v>
      </c>
      <c r="AZ121">
        <v>2213102482751.458</v>
      </c>
      <c r="BA121">
        <v>2408655348718.5933</v>
      </c>
      <c r="BB121">
        <v>2199928804118.6313</v>
      </c>
      <c r="BC121">
        <v>2136099955236.7217</v>
      </c>
      <c r="BD121">
        <v>2294994296589.5146</v>
      </c>
      <c r="BE121">
        <v>2086957656821.6021</v>
      </c>
      <c r="BF121">
        <v>2141924094298.572</v>
      </c>
      <c r="BG121">
        <v>2162009615996.5071</v>
      </c>
      <c r="BH121">
        <v>1836637711060.5459</v>
      </c>
      <c r="BI121">
        <v>1877071687633.8308</v>
      </c>
      <c r="BJ121">
        <v>1961796197354.374</v>
      </c>
      <c r="BK121">
        <v>2091932426266.9417</v>
      </c>
      <c r="BL121">
        <v>2011302198827.4119</v>
      </c>
      <c r="BM121">
        <v>1897210466667.5215</v>
      </c>
      <c r="BN121">
        <v>2114355756913.9194</v>
      </c>
      <c r="BO121" s="190">
        <v>2010431598465.3774</v>
      </c>
    </row>
    <row r="122" spans="1:67">
      <c r="A122" t="s">
        <v>720</v>
      </c>
      <c r="B122" t="s">
        <v>721</v>
      </c>
      <c r="C122" t="s">
        <v>1018</v>
      </c>
      <c r="D122" t="s">
        <v>1019</v>
      </c>
      <c r="E122">
        <v>699064380.79368591</v>
      </c>
      <c r="F122">
        <v>748043501.23142517</v>
      </c>
      <c r="G122">
        <v>777727689.3755604</v>
      </c>
      <c r="H122">
        <v>826706669.81335557</v>
      </c>
      <c r="I122">
        <v>897949001.35916829</v>
      </c>
      <c r="J122">
        <v>972159611.71945047</v>
      </c>
      <c r="K122">
        <v>1096759561.9542303</v>
      </c>
      <c r="L122">
        <v>1148014311.5457561</v>
      </c>
      <c r="M122">
        <v>1083839133.1454604</v>
      </c>
      <c r="N122">
        <v>1191239404.6185446</v>
      </c>
      <c r="O122">
        <v>1404720442.1691215</v>
      </c>
      <c r="P122">
        <v>1539862278.3269949</v>
      </c>
      <c r="Q122">
        <v>1875146587.4442966</v>
      </c>
      <c r="R122">
        <v>1905917553.1914895</v>
      </c>
      <c r="S122">
        <v>2375122375.122375</v>
      </c>
      <c r="T122">
        <v>2860442750.4427505</v>
      </c>
      <c r="U122">
        <v>2966042856.0428562</v>
      </c>
      <c r="V122">
        <v>3249733139.73314</v>
      </c>
      <c r="W122">
        <v>2644527198.2554317</v>
      </c>
      <c r="X122">
        <v>2425063771.9090505</v>
      </c>
      <c r="Y122">
        <v>2679379373.0166831</v>
      </c>
      <c r="Z122">
        <v>2979027968.1260052</v>
      </c>
      <c r="AA122">
        <v>3293496313.7797356</v>
      </c>
      <c r="AB122">
        <v>3619261342.7935834</v>
      </c>
      <c r="AC122">
        <v>2373564449.3105183</v>
      </c>
      <c r="AD122">
        <v>2100238892.9413712</v>
      </c>
      <c r="AE122">
        <v>2754549414.3480473</v>
      </c>
      <c r="AF122">
        <v>3287007521.2636676</v>
      </c>
      <c r="AG122">
        <v>3828342704.0970845</v>
      </c>
      <c r="AH122">
        <v>4404938108.9914198</v>
      </c>
      <c r="AI122">
        <v>4592208086.6923485</v>
      </c>
      <c r="AJ122">
        <v>4106207649.0554743</v>
      </c>
      <c r="AK122">
        <v>3535460089.807189</v>
      </c>
      <c r="AL122">
        <v>5440075675.740674</v>
      </c>
      <c r="AM122">
        <v>5452558892.0971498</v>
      </c>
      <c r="AN122">
        <v>6577520705.2126846</v>
      </c>
      <c r="AO122">
        <v>7393891854.4064999</v>
      </c>
      <c r="AP122">
        <v>8400041802.6350641</v>
      </c>
      <c r="AQ122">
        <v>8787195622.4350204</v>
      </c>
      <c r="AR122">
        <v>8887058073.2353706</v>
      </c>
      <c r="AS122">
        <v>9005064474.9300346</v>
      </c>
      <c r="AT122">
        <v>9194727831.073185</v>
      </c>
      <c r="AU122">
        <v>9719009561.7610741</v>
      </c>
      <c r="AV122">
        <v>9430234851.6158371</v>
      </c>
      <c r="AW122">
        <v>10174664853.947565</v>
      </c>
      <c r="AX122">
        <v>11243865787.807919</v>
      </c>
      <c r="AY122">
        <v>11930179173.416782</v>
      </c>
      <c r="AZ122">
        <v>12799600075.040655</v>
      </c>
      <c r="BA122">
        <v>13709401443.501633</v>
      </c>
      <c r="BB122">
        <v>12120458140.942377</v>
      </c>
      <c r="BC122">
        <v>13220549858.201405</v>
      </c>
      <c r="BD122">
        <v>14444661488.129597</v>
      </c>
      <c r="BE122">
        <v>14807086490.853287</v>
      </c>
      <c r="BF122">
        <v>14264205123.688646</v>
      </c>
      <c r="BG122">
        <v>13899225339.691719</v>
      </c>
      <c r="BH122">
        <v>14188938780.503866</v>
      </c>
      <c r="BI122">
        <v>14077105502.917534</v>
      </c>
      <c r="BJ122">
        <v>14808984880.579573</v>
      </c>
      <c r="BK122">
        <v>15730791525.650032</v>
      </c>
      <c r="BL122">
        <v>15830766372.265081</v>
      </c>
      <c r="BM122">
        <v>13812421859.402554</v>
      </c>
      <c r="BN122">
        <v>14657586359.380247</v>
      </c>
      <c r="BO122" s="190">
        <v>17097760745.2096</v>
      </c>
    </row>
    <row r="123" spans="1:67">
      <c r="A123" t="s">
        <v>722</v>
      </c>
      <c r="B123" t="s">
        <v>723</v>
      </c>
      <c r="C123" t="s">
        <v>1018</v>
      </c>
      <c r="D123" t="s">
        <v>1019</v>
      </c>
      <c r="J123">
        <v>599759761.17566288</v>
      </c>
      <c r="K123">
        <v>657999737.9845041</v>
      </c>
      <c r="L123">
        <v>631679748.46512389</v>
      </c>
      <c r="M123">
        <v>561119776.5621047</v>
      </c>
      <c r="N123">
        <v>698879721.7060945</v>
      </c>
      <c r="O123">
        <v>639519745.34323716</v>
      </c>
      <c r="P123">
        <v>678159730.01330864</v>
      </c>
      <c r="Q123">
        <v>788479129.8268472</v>
      </c>
      <c r="R123">
        <v>943784219.01109922</v>
      </c>
      <c r="S123">
        <v>1197485191.6819272</v>
      </c>
      <c r="T123">
        <v>1363074922.8291578</v>
      </c>
      <c r="U123">
        <v>1708519509.1375675</v>
      </c>
      <c r="V123">
        <v>2096780731.2111156</v>
      </c>
      <c r="W123">
        <v>2602208597.4714389</v>
      </c>
      <c r="X123">
        <v>3271365160.7259698</v>
      </c>
      <c r="Y123">
        <v>3910044487.4046969</v>
      </c>
      <c r="Z123">
        <v>4383940293.707077</v>
      </c>
      <c r="AA123">
        <v>4681245432.7939024</v>
      </c>
      <c r="AB123">
        <v>4920689945.7299852</v>
      </c>
      <c r="AC123">
        <v>4967162167.9411898</v>
      </c>
      <c r="AD123">
        <v>4993601523.5942993</v>
      </c>
      <c r="AE123">
        <v>6402053536.8462353</v>
      </c>
      <c r="AF123">
        <v>6756214752.9056349</v>
      </c>
      <c r="AG123">
        <v>6277443443.2963533</v>
      </c>
      <c r="AH123">
        <v>4221374898.2945418</v>
      </c>
      <c r="AI123">
        <v>4160089597.1393175</v>
      </c>
      <c r="AJ123">
        <v>4344468256.7172461</v>
      </c>
      <c r="AK123">
        <v>5310830589.5447588</v>
      </c>
      <c r="AL123">
        <v>5606401570.3235817</v>
      </c>
      <c r="AM123">
        <v>6236295978.2453127</v>
      </c>
      <c r="AN123">
        <v>6727597031.9634705</v>
      </c>
      <c r="AO123">
        <v>6927503526.0930891</v>
      </c>
      <c r="AP123">
        <v>7245839210.1551485</v>
      </c>
      <c r="AQ123">
        <v>7912270803.9492245</v>
      </c>
      <c r="AR123">
        <v>8149929478.1382236</v>
      </c>
      <c r="AS123">
        <v>8460789844.8519049</v>
      </c>
      <c r="AT123">
        <v>8975812449.1140747</v>
      </c>
      <c r="AU123">
        <v>9582512830.8680878</v>
      </c>
      <c r="AV123">
        <v>10195627644.569817</v>
      </c>
      <c r="AW123">
        <v>11411706629.055008</v>
      </c>
      <c r="AX123">
        <v>12588998589.562765</v>
      </c>
      <c r="AY123">
        <v>15056981664.315939</v>
      </c>
      <c r="AZ123">
        <v>17110442866.62435</v>
      </c>
      <c r="BA123">
        <v>22658730357.236084</v>
      </c>
      <c r="BB123">
        <v>24537876056.338028</v>
      </c>
      <c r="BC123">
        <v>27133804225.352116</v>
      </c>
      <c r="BD123">
        <v>29524149154.929581</v>
      </c>
      <c r="BE123">
        <v>31634561690.140846</v>
      </c>
      <c r="BF123">
        <v>34454440140.84507</v>
      </c>
      <c r="BG123">
        <v>36847643521.126762</v>
      </c>
      <c r="BH123">
        <v>38587017887.323944</v>
      </c>
      <c r="BI123">
        <v>39892551126.760567</v>
      </c>
      <c r="BJ123">
        <v>41608435915.492958</v>
      </c>
      <c r="BK123">
        <v>43370860704.225357</v>
      </c>
      <c r="BL123">
        <v>44503005774.647888</v>
      </c>
      <c r="BM123">
        <v>43579916197.183098</v>
      </c>
      <c r="BN123">
        <v>45116317042.253525</v>
      </c>
      <c r="BO123" s="190">
        <v>47451499859.15493</v>
      </c>
    </row>
    <row r="124" spans="1:67">
      <c r="A124" t="s">
        <v>724</v>
      </c>
      <c r="B124" t="s">
        <v>725</v>
      </c>
      <c r="C124" t="s">
        <v>1018</v>
      </c>
      <c r="D124" t="s">
        <v>1019</v>
      </c>
      <c r="E124">
        <v>44307342906.215729</v>
      </c>
      <c r="F124">
        <v>53508617686.017792</v>
      </c>
      <c r="G124">
        <v>60723018623.178986</v>
      </c>
      <c r="H124">
        <v>69498131728.028244</v>
      </c>
      <c r="I124">
        <v>81749006299.989182</v>
      </c>
      <c r="J124">
        <v>90950278167.080139</v>
      </c>
      <c r="K124">
        <v>105628070237.77644</v>
      </c>
      <c r="L124">
        <v>123781880094.16196</v>
      </c>
      <c r="M124">
        <v>146601072539.31726</v>
      </c>
      <c r="N124">
        <v>172204199309.16302</v>
      </c>
      <c r="O124">
        <v>212609187707.42584</v>
      </c>
      <c r="P124">
        <v>240151811888.73666</v>
      </c>
      <c r="Q124">
        <v>318031297493.4007</v>
      </c>
      <c r="R124">
        <v>432082723461.09595</v>
      </c>
      <c r="S124">
        <v>479625998614.63702</v>
      </c>
      <c r="T124">
        <v>521541905674.7149</v>
      </c>
      <c r="U124">
        <v>586161859001.31763</v>
      </c>
      <c r="V124">
        <v>721411786538.60632</v>
      </c>
      <c r="W124">
        <v>1013612334075.2025</v>
      </c>
      <c r="X124">
        <v>1055012119529.5413</v>
      </c>
      <c r="Y124">
        <v>1105385811262.7253</v>
      </c>
      <c r="Z124">
        <v>1218988750886.4897</v>
      </c>
      <c r="AA124">
        <v>1134518153718.1824</v>
      </c>
      <c r="AB124">
        <v>1243323766554.874</v>
      </c>
      <c r="AC124">
        <v>1318381627007.4597</v>
      </c>
      <c r="AD124">
        <v>1398892549340.8721</v>
      </c>
      <c r="AE124">
        <v>2078952922458.3086</v>
      </c>
      <c r="AF124">
        <v>2532808573157.0308</v>
      </c>
      <c r="AG124">
        <v>3071683812149.6582</v>
      </c>
      <c r="AH124">
        <v>3054913797217.0283</v>
      </c>
      <c r="AI124">
        <v>3132817652848.0415</v>
      </c>
      <c r="AJ124">
        <v>3584420964070.0698</v>
      </c>
      <c r="AK124">
        <v>3908808434705.2642</v>
      </c>
      <c r="AL124">
        <v>4454144444407.9033</v>
      </c>
      <c r="AM124">
        <v>4998797262443.2871</v>
      </c>
      <c r="AN124">
        <v>5545564892181.1465</v>
      </c>
      <c r="AO124">
        <v>4923393495138.7705</v>
      </c>
      <c r="AP124">
        <v>4492449998031.876</v>
      </c>
      <c r="AQ124">
        <v>4098362688659.3354</v>
      </c>
      <c r="AR124">
        <v>4635982020564.9697</v>
      </c>
      <c r="AS124">
        <v>4968359152795.6563</v>
      </c>
      <c r="AT124">
        <v>4374709984220.0146</v>
      </c>
      <c r="AU124">
        <v>4182845406488.6196</v>
      </c>
      <c r="AV124">
        <v>4519563042183.7305</v>
      </c>
      <c r="AW124">
        <v>4893116005656.5586</v>
      </c>
      <c r="AX124">
        <v>4831466523975.9766</v>
      </c>
      <c r="AY124">
        <v>4601662661030.0674</v>
      </c>
      <c r="AZ124">
        <v>4579749785984.8164</v>
      </c>
      <c r="BA124">
        <v>5106679413137.5742</v>
      </c>
      <c r="BB124">
        <v>5289493734900.3945</v>
      </c>
      <c r="BC124">
        <v>5759071769013.1133</v>
      </c>
      <c r="BD124">
        <v>6233147172341.3486</v>
      </c>
      <c r="BE124">
        <v>6272362996105.0342</v>
      </c>
      <c r="BF124">
        <v>5212328181166.1846</v>
      </c>
      <c r="BG124">
        <v>4896994405353.292</v>
      </c>
      <c r="BH124">
        <v>4444930651964.1797</v>
      </c>
      <c r="BI124">
        <v>5003677627544.2402</v>
      </c>
      <c r="BJ124">
        <v>4930837369151.4219</v>
      </c>
      <c r="BK124">
        <v>5040880939324.8594</v>
      </c>
      <c r="BL124">
        <v>5117993853016.5078</v>
      </c>
      <c r="BM124">
        <v>5048789595589.4336</v>
      </c>
      <c r="BN124">
        <v>5005536736792.2939</v>
      </c>
      <c r="BO124" s="190">
        <v>4231141201863.1738</v>
      </c>
    </row>
    <row r="125" spans="1:67">
      <c r="A125" t="s">
        <v>726</v>
      </c>
      <c r="B125" t="s">
        <v>727</v>
      </c>
      <c r="C125" t="s">
        <v>1018</v>
      </c>
      <c r="D125" t="s">
        <v>1019</v>
      </c>
      <c r="AI125">
        <v>26932729102.737148</v>
      </c>
      <c r="AJ125">
        <v>24923076923.076923</v>
      </c>
      <c r="AK125">
        <v>24917355371.900826</v>
      </c>
      <c r="AL125">
        <v>23409260879.942719</v>
      </c>
      <c r="AM125">
        <v>21250792886.105423</v>
      </c>
      <c r="AN125">
        <v>20374302652.381878</v>
      </c>
      <c r="AO125">
        <v>21035357832.697746</v>
      </c>
      <c r="AP125">
        <v>22165932062.96603</v>
      </c>
      <c r="AQ125">
        <v>22135245413.136955</v>
      </c>
      <c r="AR125">
        <v>16870817134.729668</v>
      </c>
      <c r="AS125">
        <v>18291990619.137001</v>
      </c>
      <c r="AT125">
        <v>22152689129.55827</v>
      </c>
      <c r="AU125">
        <v>24636598581.020412</v>
      </c>
      <c r="AV125">
        <v>30833692831.395512</v>
      </c>
      <c r="AW125">
        <v>43151647002.609627</v>
      </c>
      <c r="AX125">
        <v>57123671733.895248</v>
      </c>
      <c r="AY125">
        <v>81003864915.543015</v>
      </c>
      <c r="AZ125">
        <v>104849915343.55528</v>
      </c>
      <c r="BA125">
        <v>133441649221.73155</v>
      </c>
      <c r="BB125">
        <v>115308687201.9704</v>
      </c>
      <c r="BC125">
        <v>148047348240.64334</v>
      </c>
      <c r="BD125">
        <v>192626464179.14734</v>
      </c>
      <c r="BE125">
        <v>207998568865.78925</v>
      </c>
      <c r="BF125">
        <v>236634603927.58295</v>
      </c>
      <c r="BG125">
        <v>221415614007.34738</v>
      </c>
      <c r="BH125">
        <v>184388404428.84338</v>
      </c>
      <c r="BI125">
        <v>137278320084.17114</v>
      </c>
      <c r="BJ125">
        <v>166805788966.78015</v>
      </c>
      <c r="BK125">
        <v>179339977517.06183</v>
      </c>
      <c r="BL125">
        <v>181667185041.47974</v>
      </c>
      <c r="BM125">
        <v>171082365723.32642</v>
      </c>
      <c r="BN125">
        <v>197112255360.61234</v>
      </c>
      <c r="BO125" s="190">
        <v>220623001966.68585</v>
      </c>
    </row>
    <row r="126" spans="1:67">
      <c r="A126" t="s">
        <v>728</v>
      </c>
      <c r="B126" t="s">
        <v>729</v>
      </c>
      <c r="C126" t="s">
        <v>1018</v>
      </c>
      <c r="D126" t="s">
        <v>1019</v>
      </c>
      <c r="E126">
        <v>791265458.81332779</v>
      </c>
      <c r="F126">
        <v>792959472.13426566</v>
      </c>
      <c r="G126">
        <v>868111400.00886381</v>
      </c>
      <c r="H126">
        <v>926589348.5673933</v>
      </c>
      <c r="I126">
        <v>998759333.63733304</v>
      </c>
      <c r="J126">
        <v>997919319.97406101</v>
      </c>
      <c r="K126">
        <v>1164519673.1906433</v>
      </c>
      <c r="L126">
        <v>1232559505.9161959</v>
      </c>
      <c r="M126">
        <v>1353295457.5179822</v>
      </c>
      <c r="N126">
        <v>1458379415.394027</v>
      </c>
      <c r="O126">
        <v>1603447357.2420917</v>
      </c>
      <c r="P126">
        <v>1778391289.2005405</v>
      </c>
      <c r="Q126">
        <v>2107279157.3833563</v>
      </c>
      <c r="R126">
        <v>2509001444.1601958</v>
      </c>
      <c r="S126">
        <v>2969958812.4322696</v>
      </c>
      <c r="T126">
        <v>3259344935.7535672</v>
      </c>
      <c r="U126">
        <v>3474542392.0459652</v>
      </c>
      <c r="V126">
        <v>4494378855.322032</v>
      </c>
      <c r="W126">
        <v>5303734882.5115957</v>
      </c>
      <c r="X126">
        <v>6234390975.298708</v>
      </c>
      <c r="Y126">
        <v>7265315331.6227274</v>
      </c>
      <c r="Z126">
        <v>6854491453.9147072</v>
      </c>
      <c r="AA126">
        <v>6431579357.3027296</v>
      </c>
      <c r="AB126">
        <v>5979198463.8227444</v>
      </c>
      <c r="AC126">
        <v>6191437070.4346657</v>
      </c>
      <c r="AD126">
        <v>6135034338.304307</v>
      </c>
      <c r="AE126">
        <v>7239126716.9321909</v>
      </c>
      <c r="AF126">
        <v>7970820530.7669106</v>
      </c>
      <c r="AG126">
        <v>8355380879.1295481</v>
      </c>
      <c r="AH126">
        <v>8283114648.3811569</v>
      </c>
      <c r="AI126">
        <v>8572359162.868763</v>
      </c>
      <c r="AJ126">
        <v>8151488881.9682999</v>
      </c>
      <c r="AK126">
        <v>8209120678.1134176</v>
      </c>
      <c r="AL126">
        <v>5751786609.503233</v>
      </c>
      <c r="AM126">
        <v>7148148564.0423851</v>
      </c>
      <c r="AN126">
        <v>9046320196.7729549</v>
      </c>
      <c r="AO126">
        <v>12045865466.434301</v>
      </c>
      <c r="AP126">
        <v>13115764432.72324</v>
      </c>
      <c r="AQ126">
        <v>14093998843.733383</v>
      </c>
      <c r="AR126">
        <v>12896010520.495789</v>
      </c>
      <c r="AS126">
        <v>12705350153.401157</v>
      </c>
      <c r="AT126">
        <v>12986007425.878052</v>
      </c>
      <c r="AU126">
        <v>13147736954.169971</v>
      </c>
      <c r="AV126">
        <v>14904517649.847567</v>
      </c>
      <c r="AW126">
        <v>16095337093.836597</v>
      </c>
      <c r="AX126">
        <v>18737895400.780006</v>
      </c>
      <c r="AY126">
        <v>25825512277.891125</v>
      </c>
      <c r="AZ126">
        <v>31958195182.240604</v>
      </c>
      <c r="BA126">
        <v>35895153327.849686</v>
      </c>
      <c r="BB126">
        <v>42347217912.917572</v>
      </c>
      <c r="BC126">
        <v>45405615233.069275</v>
      </c>
      <c r="BD126">
        <v>46869473165.890549</v>
      </c>
      <c r="BE126">
        <v>56396704833.467644</v>
      </c>
      <c r="BF126">
        <v>61671440480.689453</v>
      </c>
      <c r="BG126">
        <v>68285796662.653244</v>
      </c>
      <c r="BH126">
        <v>70120446663.62561</v>
      </c>
      <c r="BI126">
        <v>74815143796.397751</v>
      </c>
      <c r="BJ126">
        <v>82036511258.832397</v>
      </c>
      <c r="BK126">
        <v>92202979940.670959</v>
      </c>
      <c r="BL126">
        <v>100378435824.17841</v>
      </c>
      <c r="BM126">
        <v>100657505600.65482</v>
      </c>
      <c r="BN126">
        <v>109703659312.8718</v>
      </c>
      <c r="BO126" s="190">
        <v>113420008178.79318</v>
      </c>
    </row>
    <row r="127" spans="1:67">
      <c r="A127" t="s">
        <v>730</v>
      </c>
      <c r="B127" t="s">
        <v>731</v>
      </c>
      <c r="C127" t="s">
        <v>1018</v>
      </c>
      <c r="D127" t="s">
        <v>1019</v>
      </c>
      <c r="AI127">
        <v>2675000000</v>
      </c>
      <c r="AJ127">
        <v>2569444444.4444447</v>
      </c>
      <c r="AK127">
        <v>2316562500</v>
      </c>
      <c r="AL127">
        <v>2028295454.5454545</v>
      </c>
      <c r="AM127">
        <v>1681006993.0069928</v>
      </c>
      <c r="AN127">
        <v>1661018518.5185184</v>
      </c>
      <c r="AO127">
        <v>1827570586.1678448</v>
      </c>
      <c r="AP127">
        <v>1767864035.7194295</v>
      </c>
      <c r="AQ127">
        <v>1645963749.8314617</v>
      </c>
      <c r="AR127">
        <v>1249061487.0145676</v>
      </c>
      <c r="AS127">
        <v>1369688498.0677826</v>
      </c>
      <c r="AT127">
        <v>1525116370.279392</v>
      </c>
      <c r="AU127">
        <v>1605643104.730212</v>
      </c>
      <c r="AV127">
        <v>1919008090.4964125</v>
      </c>
      <c r="AW127">
        <v>2211534585.0033989</v>
      </c>
      <c r="AX127">
        <v>2460246796.05234</v>
      </c>
      <c r="AY127">
        <v>2834168893.2726531</v>
      </c>
      <c r="AZ127">
        <v>3802570572.3751597</v>
      </c>
      <c r="BA127">
        <v>5139958956.0238838</v>
      </c>
      <c r="BB127">
        <v>4690061344.1642084</v>
      </c>
      <c r="BC127">
        <v>4794361821.2061129</v>
      </c>
      <c r="BD127">
        <v>6197765941.6797457</v>
      </c>
      <c r="BE127">
        <v>6605142864.3719997</v>
      </c>
      <c r="BF127">
        <v>7335033799.2621193</v>
      </c>
      <c r="BG127">
        <v>7468102369.1365385</v>
      </c>
      <c r="BH127">
        <v>6678177483.4294939</v>
      </c>
      <c r="BI127">
        <v>6813095396.1431713</v>
      </c>
      <c r="BJ127">
        <v>7702938395.184576</v>
      </c>
      <c r="BK127">
        <v>8271106196.0425272</v>
      </c>
      <c r="BL127">
        <v>8871019822.7609825</v>
      </c>
      <c r="BM127">
        <v>7780873258.6688719</v>
      </c>
      <c r="BN127">
        <v>8740681889.2063274</v>
      </c>
      <c r="BO127" s="190">
        <v>10930644915.24011</v>
      </c>
    </row>
    <row r="128" spans="1:67">
      <c r="A128" t="s">
        <v>732</v>
      </c>
      <c r="B128" t="s">
        <v>733</v>
      </c>
      <c r="C128" t="s">
        <v>1018</v>
      </c>
      <c r="D128" t="s">
        <v>1019</v>
      </c>
      <c r="E128">
        <v>637142865.71428573</v>
      </c>
      <c r="F128">
        <v>642857134.28571427</v>
      </c>
      <c r="G128">
        <v>660000008.57142854</v>
      </c>
      <c r="H128">
        <v>728571437.14285719</v>
      </c>
      <c r="I128">
        <v>782857128.57142854</v>
      </c>
      <c r="J128">
        <v>868571428.57142854</v>
      </c>
      <c r="K128">
        <v>914285714.28571427</v>
      </c>
      <c r="L128">
        <v>962857134.28571427</v>
      </c>
      <c r="M128">
        <v>1065714248.5714285</v>
      </c>
      <c r="N128">
        <v>978873232.39436615</v>
      </c>
      <c r="O128">
        <v>718401157.73709762</v>
      </c>
      <c r="P128">
        <v>969911421.39418042</v>
      </c>
      <c r="Q128">
        <v>505549441.37507671</v>
      </c>
      <c r="R128">
        <v>702899155.98203349</v>
      </c>
      <c r="S128">
        <v>588443893.68977308</v>
      </c>
      <c r="AL128">
        <v>2533727592.0416512</v>
      </c>
      <c r="AM128">
        <v>2791435272.26653</v>
      </c>
      <c r="AN128">
        <v>3441205692.9165983</v>
      </c>
      <c r="AO128">
        <v>3506695719.572588</v>
      </c>
      <c r="AP128">
        <v>3443413388.6909003</v>
      </c>
      <c r="AQ128">
        <v>3120425502.5825348</v>
      </c>
      <c r="AR128">
        <v>3517242477.2285037</v>
      </c>
      <c r="AS128">
        <v>3654031716.2688117</v>
      </c>
      <c r="AT128">
        <v>3984000517.0234456</v>
      </c>
      <c r="AU128">
        <v>4284028482.5376568</v>
      </c>
      <c r="AV128">
        <v>4658246918.2709227</v>
      </c>
      <c r="AW128">
        <v>5337833248.0392399</v>
      </c>
      <c r="AX128">
        <v>6293046161.8326206</v>
      </c>
      <c r="AY128">
        <v>7274595706.6715412</v>
      </c>
      <c r="AZ128">
        <v>8639235913.1774597</v>
      </c>
      <c r="BA128">
        <v>10351914178.285706</v>
      </c>
      <c r="BB128">
        <v>10401851766.846521</v>
      </c>
      <c r="BC128">
        <v>11242275288.524256</v>
      </c>
      <c r="BD128">
        <v>12829541141.01269</v>
      </c>
      <c r="BE128">
        <v>14054443213.463923</v>
      </c>
      <c r="BF128">
        <v>15227991395.220064</v>
      </c>
      <c r="BG128">
        <v>16702610842.402477</v>
      </c>
      <c r="BH128">
        <v>18049954289.422901</v>
      </c>
      <c r="BI128">
        <v>20016747858.312168</v>
      </c>
      <c r="BJ128">
        <v>22177200588.674942</v>
      </c>
      <c r="BK128">
        <v>24571753581.784077</v>
      </c>
      <c r="BL128">
        <v>27089390032.891483</v>
      </c>
      <c r="BM128">
        <v>25872797892.028503</v>
      </c>
      <c r="BN128">
        <v>26961061152.297871</v>
      </c>
      <c r="BO128" s="190">
        <v>29956769529.427994</v>
      </c>
    </row>
    <row r="129" spans="1:67">
      <c r="A129" t="s">
        <v>734</v>
      </c>
      <c r="B129" t="s">
        <v>735</v>
      </c>
      <c r="C129" t="s">
        <v>1018</v>
      </c>
      <c r="D129" t="s">
        <v>1019</v>
      </c>
      <c r="O129">
        <v>14295279.544693673</v>
      </c>
      <c r="P129">
        <v>15278632.47863248</v>
      </c>
      <c r="Q129">
        <v>18936526.946107786</v>
      </c>
      <c r="R129">
        <v>31710657.725781139</v>
      </c>
      <c r="S129">
        <v>85637174.372213095</v>
      </c>
      <c r="T129">
        <v>55083890.191028774</v>
      </c>
      <c r="U129">
        <v>41110417.184305608</v>
      </c>
      <c r="V129">
        <v>38746985.322814278</v>
      </c>
      <c r="W129">
        <v>45212135.103259236</v>
      </c>
      <c r="X129">
        <v>42618216.238844655</v>
      </c>
      <c r="Y129">
        <v>42129506.149726957</v>
      </c>
      <c r="Z129">
        <v>43667390.516611934</v>
      </c>
      <c r="AA129">
        <v>40573595.725612544</v>
      </c>
      <c r="AB129">
        <v>37837326.551020466</v>
      </c>
      <c r="AC129">
        <v>42123029.98992306</v>
      </c>
      <c r="AD129">
        <v>32125260.592475444</v>
      </c>
      <c r="AE129">
        <v>31417654.83329156</v>
      </c>
      <c r="AF129">
        <v>35709784.480947778</v>
      </c>
      <c r="AG129">
        <v>44534439.315315664</v>
      </c>
      <c r="AH129">
        <v>44282893.887115411</v>
      </c>
      <c r="AI129">
        <v>42933307.660082579</v>
      </c>
      <c r="AJ129">
        <v>47516824.006642088</v>
      </c>
      <c r="AK129">
        <v>47736260.830929294</v>
      </c>
      <c r="AL129">
        <v>46920900.881296918</v>
      </c>
      <c r="AM129">
        <v>54834548.934046969</v>
      </c>
      <c r="AN129">
        <v>56336670.910448782</v>
      </c>
      <c r="AO129">
        <v>66517285.364371426</v>
      </c>
      <c r="AP129">
        <v>67538482.091169521</v>
      </c>
      <c r="AQ129">
        <v>65333678.149968147</v>
      </c>
      <c r="AR129">
        <v>69034484.983386561</v>
      </c>
      <c r="AS129">
        <v>67253134.614492536</v>
      </c>
      <c r="AT129">
        <v>63099885.30820027</v>
      </c>
      <c r="AU129">
        <v>72197928.622364089</v>
      </c>
      <c r="AV129">
        <v>90231027.775540709</v>
      </c>
      <c r="AW129">
        <v>102370615.24064122</v>
      </c>
      <c r="AX129">
        <v>112136227.79641718</v>
      </c>
      <c r="AY129">
        <v>110237144.4604204</v>
      </c>
      <c r="AZ129">
        <v>132674795.88058466</v>
      </c>
      <c r="BA129">
        <v>141045173.61077172</v>
      </c>
      <c r="BB129">
        <v>132421058.94591902</v>
      </c>
      <c r="BC129">
        <v>155305532.9189994</v>
      </c>
      <c r="BD129">
        <v>180672664.75878701</v>
      </c>
      <c r="BE129">
        <v>189629948.80538616</v>
      </c>
      <c r="BF129">
        <v>184543103.72112373</v>
      </c>
      <c r="BG129">
        <v>177868153.09073338</v>
      </c>
      <c r="BH129">
        <v>170292283.24601296</v>
      </c>
      <c r="BI129">
        <v>178507958.05032915</v>
      </c>
      <c r="BJ129">
        <v>188540699.14568588</v>
      </c>
      <c r="BK129">
        <v>196501504.18518624</v>
      </c>
      <c r="BL129">
        <v>175181684.79221228</v>
      </c>
      <c r="BM129">
        <v>177553260.10882837</v>
      </c>
      <c r="BN129">
        <v>227610034.76430634</v>
      </c>
      <c r="BO129" s="190">
        <v>223352943.18840399</v>
      </c>
    </row>
    <row r="130" spans="1:67">
      <c r="A130" t="s">
        <v>736</v>
      </c>
      <c r="B130" t="s">
        <v>737</v>
      </c>
      <c r="C130" t="s">
        <v>1018</v>
      </c>
      <c r="D130" t="s">
        <v>1019</v>
      </c>
      <c r="E130">
        <v>12366635.744924508</v>
      </c>
      <c r="F130">
        <v>12483302.119876627</v>
      </c>
      <c r="G130">
        <v>12541635.307352684</v>
      </c>
      <c r="H130">
        <v>12833301.24473298</v>
      </c>
      <c r="I130">
        <v>13416633.11949357</v>
      </c>
      <c r="J130">
        <v>13593932.322053676</v>
      </c>
      <c r="K130">
        <v>14469078.179696616</v>
      </c>
      <c r="L130">
        <v>16742338.251986379</v>
      </c>
      <c r="M130">
        <v>14599999.992699999</v>
      </c>
      <c r="N130">
        <v>15849999.992075</v>
      </c>
      <c r="O130">
        <v>16299999.99185</v>
      </c>
      <c r="P130">
        <v>19624746.450304259</v>
      </c>
      <c r="Q130">
        <v>22944849.115504682</v>
      </c>
      <c r="R130">
        <v>24196018.376722816</v>
      </c>
      <c r="S130">
        <v>31514856.307842184</v>
      </c>
      <c r="T130">
        <v>33364055.299539171</v>
      </c>
      <c r="U130">
        <v>30095602.294455066</v>
      </c>
      <c r="V130">
        <v>44496296.296296291</v>
      </c>
      <c r="W130">
        <v>49433333.333333328</v>
      </c>
      <c r="X130">
        <v>58840740.740740739</v>
      </c>
      <c r="Y130">
        <v>68459259.259259254</v>
      </c>
      <c r="Z130">
        <v>80888888.888888881</v>
      </c>
      <c r="AA130">
        <v>86022222.222222224</v>
      </c>
      <c r="AB130">
        <v>86874074.074074075</v>
      </c>
      <c r="AC130">
        <v>98603703.703703701</v>
      </c>
      <c r="AD130">
        <v>111007407.4074074</v>
      </c>
      <c r="AE130">
        <v>130685185.18518518</v>
      </c>
      <c r="AF130">
        <v>147748148.14814815</v>
      </c>
      <c r="AG130">
        <v>172692592.59259257</v>
      </c>
      <c r="AH130">
        <v>192518518.51851848</v>
      </c>
      <c r="AI130">
        <v>217259259.25925925</v>
      </c>
      <c r="AJ130">
        <v>220540740.74074072</v>
      </c>
      <c r="AK130">
        <v>242137037.03703701</v>
      </c>
      <c r="AL130">
        <v>263755555.55555555</v>
      </c>
      <c r="AM130">
        <v>295159259.25925922</v>
      </c>
      <c r="AN130">
        <v>313485185.18518519</v>
      </c>
      <c r="AO130">
        <v>333944444.44444442</v>
      </c>
      <c r="AP130">
        <v>374641307.97464132</v>
      </c>
      <c r="AQ130">
        <v>383257331.40547961</v>
      </c>
      <c r="AR130">
        <v>406595484.37326217</v>
      </c>
      <c r="AS130">
        <v>421695769.84391803</v>
      </c>
      <c r="AT130">
        <v>458643829.01419944</v>
      </c>
      <c r="AU130">
        <v>481077373.66996628</v>
      </c>
      <c r="AV130">
        <v>469869869.86986989</v>
      </c>
      <c r="AW130">
        <v>506899999.99999994</v>
      </c>
      <c r="AX130">
        <v>547203703.70370364</v>
      </c>
      <c r="AY130">
        <v>644414814.81481481</v>
      </c>
      <c r="AZ130">
        <v>689285185.18518519</v>
      </c>
      <c r="BA130">
        <v>777691333.33333325</v>
      </c>
      <c r="BB130">
        <v>774273111.11111116</v>
      </c>
      <c r="BC130">
        <v>778718518.51851845</v>
      </c>
      <c r="BD130">
        <v>836092592.5925926</v>
      </c>
      <c r="BE130">
        <v>825381481.48148143</v>
      </c>
      <c r="BF130">
        <v>874896296.29629624</v>
      </c>
      <c r="BG130">
        <v>953170370.37037027</v>
      </c>
      <c r="BH130">
        <v>957037037.03703701</v>
      </c>
      <c r="BI130">
        <v>1008099999.9999999</v>
      </c>
      <c r="BJ130">
        <v>1058944444.4444444</v>
      </c>
      <c r="BK130">
        <v>1076922222.2222221</v>
      </c>
      <c r="BL130">
        <v>1107844444.4444444</v>
      </c>
      <c r="BM130">
        <v>884522222.22222221</v>
      </c>
      <c r="BN130">
        <v>860844444.44444442</v>
      </c>
      <c r="BO130" s="190">
        <v>961563259.25925922</v>
      </c>
    </row>
    <row r="131" spans="1:67">
      <c r="A131" t="s">
        <v>738</v>
      </c>
      <c r="B131" t="s">
        <v>739</v>
      </c>
      <c r="C131" t="s">
        <v>1018</v>
      </c>
      <c r="D131" t="s">
        <v>1019</v>
      </c>
      <c r="E131">
        <v>3958824423.9981751</v>
      </c>
      <c r="F131">
        <v>2417638423.2221503</v>
      </c>
      <c r="G131">
        <v>2814626210.1008077</v>
      </c>
      <c r="H131">
        <v>3988476878.7572255</v>
      </c>
      <c r="I131">
        <v>3459032883.0246453</v>
      </c>
      <c r="J131">
        <v>3120870870.8708711</v>
      </c>
      <c r="K131">
        <v>3929018943.0235133</v>
      </c>
      <c r="L131">
        <v>4855833210.1138554</v>
      </c>
      <c r="M131">
        <v>6119284294.2345934</v>
      </c>
      <c r="N131">
        <v>7678720155.469183</v>
      </c>
      <c r="O131">
        <v>9005023183.9258118</v>
      </c>
      <c r="P131">
        <v>9903499927.9850216</v>
      </c>
      <c r="Q131">
        <v>10862327878.032019</v>
      </c>
      <c r="R131">
        <v>13876531432.014462</v>
      </c>
      <c r="S131">
        <v>19544094741.266346</v>
      </c>
      <c r="T131">
        <v>21784297520.661156</v>
      </c>
      <c r="U131">
        <v>29902479338.842976</v>
      </c>
      <c r="V131">
        <v>38446487603.305786</v>
      </c>
      <c r="W131">
        <v>51972107438.016525</v>
      </c>
      <c r="X131">
        <v>66946900826.446281</v>
      </c>
      <c r="Y131">
        <v>65398646757.651093</v>
      </c>
      <c r="Z131">
        <v>72933350953.702484</v>
      </c>
      <c r="AA131">
        <v>78358866334.73764</v>
      </c>
      <c r="AB131">
        <v>87760360941.024811</v>
      </c>
      <c r="AC131">
        <v>97510235986.004608</v>
      </c>
      <c r="AD131">
        <v>101296177099.55167</v>
      </c>
      <c r="AE131">
        <v>116836802995.06494</v>
      </c>
      <c r="AF131">
        <v>147948259722.57678</v>
      </c>
      <c r="AG131">
        <v>199590823957.23679</v>
      </c>
      <c r="AH131">
        <v>246927292765.0195</v>
      </c>
      <c r="AI131">
        <v>283367525714.93164</v>
      </c>
      <c r="AJ131">
        <v>330648530715.211</v>
      </c>
      <c r="AK131">
        <v>355525267405.36731</v>
      </c>
      <c r="AL131">
        <v>392666101884.95898</v>
      </c>
      <c r="AM131">
        <v>463617399962.66101</v>
      </c>
      <c r="AN131">
        <v>566583427334.13721</v>
      </c>
      <c r="AO131">
        <v>610169556840.07703</v>
      </c>
      <c r="AP131">
        <v>569754543829.95728</v>
      </c>
      <c r="AQ131">
        <v>383330931042.35645</v>
      </c>
      <c r="AR131">
        <v>497512659612.05231</v>
      </c>
      <c r="AS131">
        <v>576178114168.49402</v>
      </c>
      <c r="AT131">
        <v>547658231279.87048</v>
      </c>
      <c r="AU131">
        <v>627246081417.00439</v>
      </c>
      <c r="AV131">
        <v>702717332012.99084</v>
      </c>
      <c r="AW131">
        <v>793175007858.06592</v>
      </c>
      <c r="AX131">
        <v>934901101762.49146</v>
      </c>
      <c r="AY131">
        <v>1053216892422.0195</v>
      </c>
      <c r="AZ131">
        <v>1172614134912.0508</v>
      </c>
      <c r="BA131">
        <v>1047339041903.8484</v>
      </c>
      <c r="BB131">
        <v>943941876218.74329</v>
      </c>
      <c r="BC131">
        <v>1144066965324.4941</v>
      </c>
      <c r="BD131">
        <v>1253223044718.9871</v>
      </c>
      <c r="BE131">
        <v>1278427634342.5857</v>
      </c>
      <c r="BF131">
        <v>1370795199976.1794</v>
      </c>
      <c r="BG131">
        <v>1484318219633.6272</v>
      </c>
      <c r="BH131">
        <v>1465773245547.1497</v>
      </c>
      <c r="BI131">
        <v>1500111596236.3718</v>
      </c>
      <c r="BJ131">
        <v>1623901496835.7908</v>
      </c>
      <c r="BK131">
        <v>1724845615629.2595</v>
      </c>
      <c r="BL131">
        <v>1651422932447.7681</v>
      </c>
      <c r="BM131">
        <v>1644312785467.1206</v>
      </c>
      <c r="BN131">
        <v>1810955871380.9761</v>
      </c>
      <c r="BO131" s="190">
        <v>1665245538594.9565</v>
      </c>
    </row>
    <row r="132" spans="1:67">
      <c r="A132" t="s">
        <v>740</v>
      </c>
      <c r="B132" t="s">
        <v>741</v>
      </c>
      <c r="C132" t="s">
        <v>1018</v>
      </c>
      <c r="D132" t="s">
        <v>1019</v>
      </c>
      <c r="J132">
        <v>2097199164.8952918</v>
      </c>
      <c r="K132">
        <v>2391199047.8245382</v>
      </c>
      <c r="L132">
        <v>2441599027.7552662</v>
      </c>
      <c r="M132">
        <v>2662798939.673461</v>
      </c>
      <c r="N132">
        <v>2769198897.3049979</v>
      </c>
      <c r="O132">
        <v>2873638855.7170067</v>
      </c>
      <c r="P132">
        <v>3880395313.469759</v>
      </c>
      <c r="Q132">
        <v>4450540660.1460552</v>
      </c>
      <c r="R132">
        <v>5408798851.9972153</v>
      </c>
      <c r="S132">
        <v>13006929853.395758</v>
      </c>
      <c r="T132">
        <v>12022797844.45689</v>
      </c>
      <c r="U132">
        <v>13132234132.735067</v>
      </c>
      <c r="V132">
        <v>14137406789.840408</v>
      </c>
      <c r="W132">
        <v>15503571643.997641</v>
      </c>
      <c r="X132">
        <v>24749056549.386272</v>
      </c>
      <c r="Y132">
        <v>28638824314.718071</v>
      </c>
      <c r="Z132">
        <v>25057990467.186214</v>
      </c>
      <c r="AA132">
        <v>21577153431.363003</v>
      </c>
      <c r="AB132">
        <v>20871105019.971058</v>
      </c>
      <c r="AC132">
        <v>21700088897.564629</v>
      </c>
      <c r="AD132">
        <v>21445952792.819878</v>
      </c>
      <c r="AE132">
        <v>17904010287.497845</v>
      </c>
      <c r="AF132">
        <v>22368684065.80344</v>
      </c>
      <c r="AG132">
        <v>20690303615.122787</v>
      </c>
      <c r="AH132">
        <v>24313821169.114101</v>
      </c>
      <c r="AI132">
        <v>18427777777.777779</v>
      </c>
      <c r="AJ132">
        <v>11010010088.219992</v>
      </c>
      <c r="AK132">
        <v>19858555214.723927</v>
      </c>
      <c r="AL132">
        <v>23941391390.728477</v>
      </c>
      <c r="AM132">
        <v>24848483838.383839</v>
      </c>
      <c r="AN132">
        <v>27187006077.125237</v>
      </c>
      <c r="AO132">
        <v>31492419238.198399</v>
      </c>
      <c r="AP132">
        <v>30350207212.762169</v>
      </c>
      <c r="AQ132">
        <v>25943736430.932011</v>
      </c>
      <c r="AR132">
        <v>30122398833.170509</v>
      </c>
      <c r="AS132">
        <v>37718794714.181084</v>
      </c>
      <c r="AT132">
        <v>34889597791.412338</v>
      </c>
      <c r="AU132">
        <v>38135756834.174088</v>
      </c>
      <c r="AV132">
        <v>47874659167.993912</v>
      </c>
      <c r="AW132">
        <v>59439090600.610786</v>
      </c>
      <c r="AX132">
        <v>80798630136.986313</v>
      </c>
      <c r="AY132">
        <v>101557251976.79445</v>
      </c>
      <c r="AZ132">
        <v>114634060167.40628</v>
      </c>
      <c r="BA132">
        <v>147379536212.13815</v>
      </c>
      <c r="BB132">
        <v>105968538479.91473</v>
      </c>
      <c r="BC132">
        <v>115416745328.98463</v>
      </c>
      <c r="BD132">
        <v>154079870424.8978</v>
      </c>
      <c r="BE132">
        <v>174048271288.15112</v>
      </c>
      <c r="BF132">
        <v>174167626656.76324</v>
      </c>
      <c r="BG132">
        <v>162650191195.35828</v>
      </c>
      <c r="BH132">
        <v>114585567439.67403</v>
      </c>
      <c r="BI132">
        <v>109406169162.83286</v>
      </c>
      <c r="BJ132">
        <v>120687635952.45996</v>
      </c>
      <c r="BK132">
        <v>138202309918.72568</v>
      </c>
      <c r="BL132">
        <v>136191752590.89687</v>
      </c>
      <c r="BM132">
        <v>105948765156.02919</v>
      </c>
      <c r="BN132">
        <v>136797422273.86848</v>
      </c>
      <c r="BO132" s="190">
        <v>184558274288.7373</v>
      </c>
    </row>
    <row r="133" spans="1:67">
      <c r="A133" t="s">
        <v>742</v>
      </c>
      <c r="B133" t="s">
        <v>743</v>
      </c>
      <c r="C133" t="s">
        <v>1018</v>
      </c>
      <c r="D133" t="s">
        <v>1019</v>
      </c>
      <c r="E133">
        <v>68172083254.547585</v>
      </c>
      <c r="F133">
        <v>71358741142.551956</v>
      </c>
      <c r="G133">
        <v>77592630259.609207</v>
      </c>
      <c r="H133">
        <v>78189337825.534729</v>
      </c>
      <c r="I133">
        <v>89672295454.396378</v>
      </c>
      <c r="J133">
        <v>97220145030.430222</v>
      </c>
      <c r="K133">
        <v>107487358657.43286</v>
      </c>
      <c r="L133">
        <v>109346248633.25392</v>
      </c>
      <c r="M133">
        <v>117684655539.16046</v>
      </c>
      <c r="N133">
        <v>131858221954.73367</v>
      </c>
      <c r="O133">
        <v>143400008471.56473</v>
      </c>
      <c r="P133">
        <v>158746442517.71716</v>
      </c>
      <c r="Q133">
        <v>180600747008.55807</v>
      </c>
      <c r="R133">
        <v>241708939206.43329</v>
      </c>
      <c r="S133">
        <v>317535791822.91327</v>
      </c>
      <c r="T133">
        <v>342490337010.10272</v>
      </c>
      <c r="U133">
        <v>372929451128.76141</v>
      </c>
      <c r="V133">
        <v>404811983096.71655</v>
      </c>
      <c r="W133">
        <v>491322209511.27271</v>
      </c>
      <c r="X133">
        <v>540434106785.60284</v>
      </c>
      <c r="Y133">
        <v>652900348679.67139</v>
      </c>
      <c r="Z133">
        <v>746794081743.70435</v>
      </c>
      <c r="AA133">
        <v>688972840488.12256</v>
      </c>
      <c r="AB133">
        <v>595353311198.78955</v>
      </c>
      <c r="AC133">
        <v>639292019906.3512</v>
      </c>
      <c r="AD133">
        <v>629334804009.31897</v>
      </c>
      <c r="AE133">
        <v>638062538337.66345</v>
      </c>
      <c r="AF133">
        <v>699109189467.02417</v>
      </c>
      <c r="AG133">
        <v>759914669809.62451</v>
      </c>
      <c r="AH133">
        <v>863824214500.63342</v>
      </c>
      <c r="AI133">
        <v>1037525767088.1782</v>
      </c>
      <c r="AJ133">
        <v>1096033508686.7308</v>
      </c>
      <c r="AK133">
        <v>1181392530141.9382</v>
      </c>
      <c r="AL133">
        <v>1388822926019.8818</v>
      </c>
      <c r="AM133">
        <v>1587966516149.9775</v>
      </c>
      <c r="AN133">
        <v>1677764154596.9717</v>
      </c>
      <c r="AO133">
        <v>1831882512080.0522</v>
      </c>
      <c r="AP133">
        <v>1998857548431.9089</v>
      </c>
      <c r="AQ133">
        <v>2007868542123.3667</v>
      </c>
      <c r="AR133">
        <v>1779289107461.967</v>
      </c>
      <c r="AS133">
        <v>1968111942216.415</v>
      </c>
      <c r="AT133">
        <v>1913381580564.6938</v>
      </c>
      <c r="AU133">
        <v>1720013397494.8208</v>
      </c>
      <c r="AV133">
        <v>1759192766236.8208</v>
      </c>
      <c r="AW133">
        <v>2007862301447.1653</v>
      </c>
      <c r="AX133">
        <v>2431628661931.7783</v>
      </c>
      <c r="AY133">
        <v>2837320247592.5044</v>
      </c>
      <c r="AZ133">
        <v>3353094482458.8389</v>
      </c>
      <c r="BA133">
        <v>3880462417139.7358</v>
      </c>
      <c r="BB133">
        <v>3602278080284.8745</v>
      </c>
      <c r="BC133">
        <v>4510085308198.2646</v>
      </c>
      <c r="BD133">
        <v>5272190542589.3213</v>
      </c>
      <c r="BE133">
        <v>5244059018780.5908</v>
      </c>
      <c r="BF133">
        <v>5382355778791.4131</v>
      </c>
      <c r="BG133">
        <v>5407158752447.377</v>
      </c>
      <c r="BH133">
        <v>4595236035713.8613</v>
      </c>
      <c r="BI133">
        <v>4465515336167.2979</v>
      </c>
      <c r="BJ133">
        <v>4980919738935.9121</v>
      </c>
      <c r="BK133">
        <v>4836605850788.7471</v>
      </c>
      <c r="BL133">
        <v>4769077474514.3105</v>
      </c>
      <c r="BM133">
        <v>4020603113235.6113</v>
      </c>
      <c r="BN133">
        <v>4624162365921.0322</v>
      </c>
      <c r="BO133" s="190">
        <v>5300574665731.3691</v>
      </c>
    </row>
    <row r="134" spans="1:67">
      <c r="A134" t="s">
        <v>744</v>
      </c>
      <c r="B134" t="s">
        <v>745</v>
      </c>
      <c r="C134" t="s">
        <v>1018</v>
      </c>
      <c r="D134" t="s">
        <v>1019</v>
      </c>
      <c r="AC134">
        <v>1757142852.6512213</v>
      </c>
      <c r="AD134">
        <v>2366666615.5555553</v>
      </c>
      <c r="AE134">
        <v>1776842088.515774</v>
      </c>
      <c r="AF134">
        <v>1087273103.6963859</v>
      </c>
      <c r="AG134">
        <v>598961269.29787862</v>
      </c>
      <c r="AH134">
        <v>714046821.09379697</v>
      </c>
      <c r="AI134">
        <v>865559879.28480244</v>
      </c>
      <c r="AJ134">
        <v>1028087972.3108478</v>
      </c>
      <c r="AK134">
        <v>1127806944.6151268</v>
      </c>
      <c r="AL134">
        <v>1327748690.126611</v>
      </c>
      <c r="AM134">
        <v>1543606345.1168365</v>
      </c>
      <c r="AN134">
        <v>1763536304.5396364</v>
      </c>
      <c r="AO134">
        <v>1873671550.3463552</v>
      </c>
      <c r="AP134">
        <v>1747011857.3310688</v>
      </c>
      <c r="AQ134">
        <v>1280177838.7190535</v>
      </c>
      <c r="AR134">
        <v>1454430642.4918334</v>
      </c>
      <c r="AS134">
        <v>1731198022.4549377</v>
      </c>
      <c r="AT134">
        <v>1768619058.3464744</v>
      </c>
      <c r="AU134">
        <v>1758176653.0774584</v>
      </c>
      <c r="AV134">
        <v>2023324407.3031571</v>
      </c>
      <c r="AW134">
        <v>2366398119.882102</v>
      </c>
      <c r="AX134">
        <v>2735558734.8140879</v>
      </c>
      <c r="AY134">
        <v>3455031447.6019382</v>
      </c>
      <c r="AZ134">
        <v>4223152219.2439027</v>
      </c>
      <c r="BA134">
        <v>5446434031.690423</v>
      </c>
      <c r="BB134">
        <v>5836138127.0656242</v>
      </c>
      <c r="BC134">
        <v>7131773632.713686</v>
      </c>
      <c r="BD134">
        <v>8750107401.5787239</v>
      </c>
      <c r="BE134">
        <v>10192848926.258152</v>
      </c>
      <c r="BF134">
        <v>11983252626.831318</v>
      </c>
      <c r="BG134">
        <v>13279248478.816078</v>
      </c>
      <c r="BH134">
        <v>14426381187.089439</v>
      </c>
      <c r="BI134">
        <v>15912495368.871679</v>
      </c>
      <c r="BJ134">
        <v>17071162084.406733</v>
      </c>
      <c r="BK134">
        <v>18141651381.388424</v>
      </c>
      <c r="BL134">
        <v>18740559554.163242</v>
      </c>
      <c r="BM134">
        <v>18981800705.079376</v>
      </c>
      <c r="BN134">
        <v>18827148530.015141</v>
      </c>
      <c r="BO134" s="190">
        <v>15724383783.238453</v>
      </c>
    </row>
    <row r="135" spans="1:67">
      <c r="A135" t="s">
        <v>746</v>
      </c>
      <c r="B135" t="s">
        <v>747</v>
      </c>
      <c r="C135" t="s">
        <v>1018</v>
      </c>
      <c r="D135" t="s">
        <v>1019</v>
      </c>
      <c r="AG135">
        <v>3313540067.9324584</v>
      </c>
      <c r="AH135">
        <v>2717998687.7100158</v>
      </c>
      <c r="AI135">
        <v>2838485353.9618664</v>
      </c>
      <c r="AJ135">
        <v>4690415092.5366325</v>
      </c>
      <c r="AK135">
        <v>5843579160.9012194</v>
      </c>
      <c r="AL135">
        <v>7941744492.1211014</v>
      </c>
      <c r="AM135">
        <v>9599127049.9375038</v>
      </c>
      <c r="AN135">
        <v>11718795528.493893</v>
      </c>
      <c r="AO135">
        <v>13690217333.269695</v>
      </c>
      <c r="AP135">
        <v>15751867489.444624</v>
      </c>
      <c r="AQ135">
        <v>17247179005.521946</v>
      </c>
      <c r="AR135">
        <v>17391056369.226524</v>
      </c>
      <c r="AS135">
        <v>17260364842.454395</v>
      </c>
      <c r="AT135">
        <v>17649751243.781094</v>
      </c>
      <c r="AU135">
        <v>19152238805.97015</v>
      </c>
      <c r="AV135">
        <v>20082918739.635159</v>
      </c>
      <c r="AW135">
        <v>21159827992.039803</v>
      </c>
      <c r="AX135">
        <v>21497336498.971809</v>
      </c>
      <c r="AY135">
        <v>22022709851.54229</v>
      </c>
      <c r="AZ135">
        <v>24827355014.660034</v>
      </c>
      <c r="BA135">
        <v>29118916105.605309</v>
      </c>
      <c r="BB135">
        <v>35399582928.62355</v>
      </c>
      <c r="BC135">
        <v>38443907042.321724</v>
      </c>
      <c r="BD135">
        <v>39927125961.194031</v>
      </c>
      <c r="BE135">
        <v>44016799515.820892</v>
      </c>
      <c r="BF135">
        <v>46880103080.663353</v>
      </c>
      <c r="BG135">
        <v>48095213746.467659</v>
      </c>
      <c r="BH135">
        <v>49929337837.081261</v>
      </c>
      <c r="BI135">
        <v>51147308773.930351</v>
      </c>
      <c r="BJ135">
        <v>53027680685.837479</v>
      </c>
      <c r="BK135">
        <v>54901519155.621887</v>
      </c>
      <c r="BL135">
        <v>51605959131.365379</v>
      </c>
      <c r="BM135">
        <v>31712128253.796097</v>
      </c>
      <c r="BN135">
        <v>23131941556.784348</v>
      </c>
    </row>
    <row r="136" spans="1:67">
      <c r="A136" t="s">
        <v>748</v>
      </c>
      <c r="B136" t="s">
        <v>749</v>
      </c>
      <c r="C136" t="s">
        <v>1018</v>
      </c>
      <c r="D136" t="s">
        <v>1019</v>
      </c>
      <c r="AS136">
        <v>874000000</v>
      </c>
      <c r="AT136">
        <v>906000000</v>
      </c>
      <c r="AU136">
        <v>927000000</v>
      </c>
      <c r="AV136">
        <v>748000000</v>
      </c>
      <c r="AW136">
        <v>897000000</v>
      </c>
      <c r="AX136">
        <v>949000000</v>
      </c>
      <c r="AY136">
        <v>1119000000</v>
      </c>
      <c r="AZ136">
        <v>1373000000</v>
      </c>
      <c r="BA136">
        <v>1726000000</v>
      </c>
      <c r="BB136">
        <v>1768000000</v>
      </c>
      <c r="BC136">
        <v>1998000000</v>
      </c>
      <c r="BD136">
        <v>2398000000</v>
      </c>
      <c r="BE136">
        <v>2791614000</v>
      </c>
      <c r="BF136">
        <v>3177198100</v>
      </c>
      <c r="BG136">
        <v>3225652000</v>
      </c>
      <c r="BH136">
        <v>3227075700</v>
      </c>
      <c r="BI136">
        <v>3398419600</v>
      </c>
      <c r="BJ136">
        <v>3390703400</v>
      </c>
      <c r="BK136">
        <v>3422754800</v>
      </c>
      <c r="BL136">
        <v>3319596500</v>
      </c>
      <c r="BM136">
        <v>3039982500</v>
      </c>
      <c r="BN136">
        <v>3509000000</v>
      </c>
      <c r="BO136" s="190">
        <v>4001047150</v>
      </c>
    </row>
    <row r="137" spans="1:67">
      <c r="A137" t="s">
        <v>750</v>
      </c>
      <c r="B137" t="s">
        <v>751</v>
      </c>
      <c r="C137" t="s">
        <v>1018</v>
      </c>
      <c r="D137" t="s">
        <v>1019</v>
      </c>
      <c r="AI137">
        <v>28904164239.303799</v>
      </c>
      <c r="AJ137">
        <v>31991785107.628769</v>
      </c>
      <c r="AK137">
        <v>33887005287.737598</v>
      </c>
      <c r="AL137">
        <v>30660029871.151478</v>
      </c>
      <c r="AM137">
        <v>28610532505.414921</v>
      </c>
      <c r="AN137">
        <v>25541383196.730171</v>
      </c>
      <c r="AO137">
        <v>27884630117.575768</v>
      </c>
      <c r="AP137">
        <v>30700890193.316254</v>
      </c>
      <c r="AQ137">
        <v>27251275902.549061</v>
      </c>
      <c r="AR137">
        <v>35975878804.296951</v>
      </c>
      <c r="AS137">
        <v>38270983031.82457</v>
      </c>
      <c r="AT137">
        <v>34112079628.569321</v>
      </c>
      <c r="AU137">
        <v>20481889763.779526</v>
      </c>
      <c r="AV137">
        <v>26265625000</v>
      </c>
      <c r="AW137">
        <v>33122307692.30769</v>
      </c>
      <c r="AX137">
        <v>47334697611.854836</v>
      </c>
      <c r="AY137">
        <v>60094248771.991806</v>
      </c>
      <c r="AZ137">
        <v>68032985520.267586</v>
      </c>
      <c r="BA137">
        <v>86710739534.552551</v>
      </c>
      <c r="BB137">
        <v>60808538330.341743</v>
      </c>
      <c r="BC137">
        <v>75380800664.419815</v>
      </c>
      <c r="BD137">
        <v>48169243831.914116</v>
      </c>
      <c r="BE137">
        <v>92540964665.557846</v>
      </c>
      <c r="BF137">
        <v>75351117628.307968</v>
      </c>
      <c r="BG137">
        <v>57372352562.488808</v>
      </c>
      <c r="BH137">
        <v>48717506272.698112</v>
      </c>
      <c r="BI137">
        <v>49912085228.348671</v>
      </c>
      <c r="BJ137">
        <v>67157451660.27272</v>
      </c>
      <c r="BK137">
        <v>76686048499.352661</v>
      </c>
      <c r="BL137">
        <v>69254143968.339767</v>
      </c>
      <c r="BM137">
        <v>46808208747.275436</v>
      </c>
      <c r="BN137">
        <v>39798423941.033463</v>
      </c>
      <c r="BO137" s="190">
        <v>45752336035.984558</v>
      </c>
    </row>
    <row r="138" spans="1:67">
      <c r="A138" t="s">
        <v>752</v>
      </c>
      <c r="B138" t="s">
        <v>753</v>
      </c>
      <c r="C138" t="s">
        <v>1018</v>
      </c>
      <c r="D138" t="s">
        <v>1019</v>
      </c>
      <c r="Y138">
        <v>170370370.37037036</v>
      </c>
      <c r="Z138">
        <v>194444444.44444442</v>
      </c>
      <c r="AA138">
        <v>183333333.33333331</v>
      </c>
      <c r="AB138">
        <v>197037037.03703701</v>
      </c>
      <c r="AC138">
        <v>251481481.48148146</v>
      </c>
      <c r="AD138">
        <v>284444444.44444442</v>
      </c>
      <c r="AE138">
        <v>340000000</v>
      </c>
      <c r="AF138">
        <v>375555555.55555552</v>
      </c>
      <c r="AG138">
        <v>429629629.62962961</v>
      </c>
      <c r="AH138">
        <v>486666666.66666663</v>
      </c>
      <c r="AI138">
        <v>579629629.62962961</v>
      </c>
      <c r="AJ138">
        <v>613703703.70370364</v>
      </c>
      <c r="AK138">
        <v>674074074.07407403</v>
      </c>
      <c r="AL138">
        <v>684814814.81481481</v>
      </c>
      <c r="AM138">
        <v>713703703.70370364</v>
      </c>
      <c r="AN138">
        <v>762962962.96296287</v>
      </c>
      <c r="AO138">
        <v>788888888.88888884</v>
      </c>
      <c r="AP138">
        <v>805925925.92592585</v>
      </c>
      <c r="AQ138">
        <v>877407407.4074074</v>
      </c>
      <c r="AR138">
        <v>921851851.85185182</v>
      </c>
      <c r="AS138">
        <v>932592592.59259248</v>
      </c>
      <c r="AT138">
        <v>892592592.59259248</v>
      </c>
      <c r="AU138">
        <v>900000000</v>
      </c>
      <c r="AV138">
        <v>987407407.40740728</v>
      </c>
      <c r="AW138">
        <v>1066666666.6666666</v>
      </c>
      <c r="AX138">
        <v>1135555555.5555556</v>
      </c>
      <c r="AY138">
        <v>1268319185.1851852</v>
      </c>
      <c r="AZ138">
        <v>1336088814.8148148</v>
      </c>
      <c r="BA138">
        <v>1437731111.1111109</v>
      </c>
      <c r="BB138">
        <v>1401507888.8888888</v>
      </c>
      <c r="BC138">
        <v>1482370370.3703704</v>
      </c>
      <c r="BD138">
        <v>1568370370.3703704</v>
      </c>
      <c r="BE138">
        <v>1598222222.2222221</v>
      </c>
      <c r="BF138">
        <v>1660222222.2222221</v>
      </c>
      <c r="BG138">
        <v>1749296296.2962961</v>
      </c>
      <c r="BH138">
        <v>1807222222.2222221</v>
      </c>
      <c r="BI138">
        <v>1865444444.4444444</v>
      </c>
      <c r="BJ138">
        <v>1996703703.7037036</v>
      </c>
      <c r="BK138">
        <v>2057074074.074074</v>
      </c>
      <c r="BL138">
        <v>2094185185.185185</v>
      </c>
      <c r="BM138">
        <v>1516000000</v>
      </c>
      <c r="BN138">
        <v>1691259259.2592592</v>
      </c>
      <c r="BO138" s="190">
        <v>2065027555.5555553</v>
      </c>
    </row>
    <row r="139" spans="1:67">
      <c r="A139" t="s">
        <v>754</v>
      </c>
      <c r="B139" t="s">
        <v>755</v>
      </c>
      <c r="C139" t="s">
        <v>1018</v>
      </c>
      <c r="D139" t="s">
        <v>1019</v>
      </c>
      <c r="E139">
        <v>84318575227.748138</v>
      </c>
      <c r="F139">
        <v>89675894612.835388</v>
      </c>
      <c r="G139">
        <v>98223077655.422775</v>
      </c>
      <c r="H139">
        <v>99825291120.700882</v>
      </c>
      <c r="I139">
        <v>111007004326.04742</v>
      </c>
      <c r="J139">
        <v>119321358656.63626</v>
      </c>
      <c r="K139">
        <v>131372225704.13092</v>
      </c>
      <c r="L139">
        <v>133988765349.1393</v>
      </c>
      <c r="M139">
        <v>143800251072.14468</v>
      </c>
      <c r="N139">
        <v>160632293252.97604</v>
      </c>
      <c r="O139">
        <v>175240043825.85971</v>
      </c>
      <c r="P139">
        <v>195438627761.00266</v>
      </c>
      <c r="Q139">
        <v>219799370310.71463</v>
      </c>
      <c r="R139">
        <v>292374754566.07312</v>
      </c>
      <c r="S139">
        <v>379037627171.51422</v>
      </c>
      <c r="T139">
        <v>397575551770.33472</v>
      </c>
      <c r="U139">
        <v>436013451488.33276</v>
      </c>
      <c r="V139">
        <v>478835118003.80341</v>
      </c>
      <c r="W139">
        <v>574135939798.51514</v>
      </c>
      <c r="X139">
        <v>644210824206.37476</v>
      </c>
      <c r="Y139">
        <v>783195794768.86511</v>
      </c>
      <c r="Z139">
        <v>894234459001.92627</v>
      </c>
      <c r="AA139">
        <v>829114297208.29382</v>
      </c>
      <c r="AB139">
        <v>726344898907.75049</v>
      </c>
      <c r="AC139">
        <v>764325858454.20349</v>
      </c>
      <c r="AD139">
        <v>755896507938.20825</v>
      </c>
      <c r="AE139">
        <v>765359263970.31702</v>
      </c>
      <c r="AF139">
        <v>821438499128.09119</v>
      </c>
      <c r="AG139">
        <v>900990448826.75513</v>
      </c>
      <c r="AH139">
        <v>994835204858.41504</v>
      </c>
      <c r="AI139">
        <v>1182388726802.3533</v>
      </c>
      <c r="AJ139">
        <v>1255265130869.1995</v>
      </c>
      <c r="AK139">
        <v>1361340161546.9927</v>
      </c>
      <c r="AL139">
        <v>1577325564649.2556</v>
      </c>
      <c r="AM139">
        <v>1790101644829.4219</v>
      </c>
      <c r="AN139">
        <v>1921600530928.8235</v>
      </c>
      <c r="AO139">
        <v>2079817890114.0916</v>
      </c>
      <c r="AP139">
        <v>2280268567139.3813</v>
      </c>
      <c r="AQ139">
        <v>2300623733039.0996</v>
      </c>
      <c r="AR139">
        <v>2076139362655.009</v>
      </c>
      <c r="AS139">
        <v>2292616638222.3467</v>
      </c>
      <c r="AT139">
        <v>2243442747463.7646</v>
      </c>
      <c r="AU139">
        <v>2014495003952.9292</v>
      </c>
      <c r="AV139">
        <v>2055791160220.7847</v>
      </c>
      <c r="AW139">
        <v>2368190257952.2773</v>
      </c>
      <c r="AX139">
        <v>2862846929424.8638</v>
      </c>
      <c r="AY139">
        <v>3351829873357.0137</v>
      </c>
      <c r="AZ139">
        <v>3948805125189.7266</v>
      </c>
      <c r="BA139">
        <v>4591296955065.0615</v>
      </c>
      <c r="BB139">
        <v>4314362221813.6724</v>
      </c>
      <c r="BC139">
        <v>5349060248474.0283</v>
      </c>
      <c r="BD139">
        <v>6088730809328.627</v>
      </c>
      <c r="BE139">
        <v>6155024383504.0977</v>
      </c>
      <c r="BF139">
        <v>6307751441599.8662</v>
      </c>
      <c r="BG139">
        <v>6432625813025.4443</v>
      </c>
      <c r="BH139">
        <v>5376540613253.8408</v>
      </c>
      <c r="BI139">
        <v>5249746391043.5674</v>
      </c>
      <c r="BJ139">
        <v>5832610432359.3994</v>
      </c>
      <c r="BK139">
        <v>5706087467774.4619</v>
      </c>
      <c r="BL139">
        <v>5622813152782.543</v>
      </c>
      <c r="BM139">
        <v>4777568569259.7207</v>
      </c>
      <c r="BN139">
        <v>5510523909432.7813</v>
      </c>
      <c r="BO139" s="190">
        <v>6246621760429.0527</v>
      </c>
    </row>
    <row r="140" spans="1:67">
      <c r="A140" t="s">
        <v>756</v>
      </c>
      <c r="B140" t="s">
        <v>757</v>
      </c>
      <c r="C140" t="s">
        <v>1018</v>
      </c>
      <c r="D140" t="s">
        <v>1019</v>
      </c>
      <c r="Y140">
        <v>114388369068.08511</v>
      </c>
      <c r="Z140">
        <v>114943011933.73721</v>
      </c>
      <c r="AA140">
        <v>112848745156.73024</v>
      </c>
      <c r="AB140">
        <v>107374274962.50902</v>
      </c>
      <c r="AC140">
        <v>107081110481.50624</v>
      </c>
      <c r="AD140">
        <v>112104592681.8268</v>
      </c>
      <c r="AE140">
        <v>120734699670.91037</v>
      </c>
      <c r="AF140">
        <v>132694713024.30345</v>
      </c>
      <c r="AG140">
        <v>146223434472.68729</v>
      </c>
      <c r="AH140">
        <v>157936434389.62595</v>
      </c>
      <c r="AI140">
        <v>183320992524.6969</v>
      </c>
      <c r="AJ140">
        <v>199242726122.47333</v>
      </c>
      <c r="AK140">
        <v>155907494888.32129</v>
      </c>
      <c r="AL140">
        <v>154503526457.34546</v>
      </c>
      <c r="AM140">
        <v>136273002895.92323</v>
      </c>
      <c r="AN140">
        <v>157454198833.33267</v>
      </c>
      <c r="AO140">
        <v>173942915415.89221</v>
      </c>
      <c r="AP140">
        <v>183070947764.70966</v>
      </c>
      <c r="AQ140">
        <v>185798413620.16913</v>
      </c>
      <c r="AR140">
        <v>190711896125.82333</v>
      </c>
      <c r="AS140">
        <v>218551115853.24545</v>
      </c>
      <c r="AT140">
        <v>213552754871.93869</v>
      </c>
      <c r="AU140">
        <v>232634513018.35971</v>
      </c>
      <c r="AV140">
        <v>260880555873.82483</v>
      </c>
      <c r="AW140">
        <v>301221296680.88361</v>
      </c>
      <c r="AX140">
        <v>355554375620.8811</v>
      </c>
      <c r="AY140">
        <v>412394708354.56451</v>
      </c>
      <c r="AZ140">
        <v>494316747340.85596</v>
      </c>
      <c r="BA140">
        <v>603522585096.70972</v>
      </c>
      <c r="BB140">
        <v>607850693730.48462</v>
      </c>
      <c r="BC140">
        <v>690376684490.48083</v>
      </c>
      <c r="BD140">
        <v>801926397361.64111</v>
      </c>
      <c r="BE140">
        <v>841893938607.49817</v>
      </c>
      <c r="BF140">
        <v>917315427880.03052</v>
      </c>
      <c r="BG140">
        <v>985868650324.88464</v>
      </c>
      <c r="BH140">
        <v>954995951520.47485</v>
      </c>
      <c r="BI140">
        <v>990949126516.12451</v>
      </c>
      <c r="BJ140">
        <v>1104009004406.9875</v>
      </c>
      <c r="BK140">
        <v>1088187940163.632</v>
      </c>
      <c r="BL140">
        <v>1142396570094.3857</v>
      </c>
      <c r="BM140">
        <v>1162434896497.1387</v>
      </c>
      <c r="BN140">
        <v>1266463101991.606</v>
      </c>
      <c r="BO140" s="190">
        <v>1416759808404.4651</v>
      </c>
    </row>
    <row r="141" spans="1:67">
      <c r="A141" t="s">
        <v>758</v>
      </c>
      <c r="B141" t="s">
        <v>759</v>
      </c>
      <c r="C141" t="s">
        <v>1018</v>
      </c>
      <c r="D141" t="s">
        <v>1019</v>
      </c>
      <c r="Y141">
        <v>79273100613.31955</v>
      </c>
      <c r="Z141">
        <v>82152079439.370178</v>
      </c>
      <c r="AA141">
        <v>83082665445.089661</v>
      </c>
      <c r="AB141">
        <v>80808247585.44487</v>
      </c>
      <c r="AC141">
        <v>79897230355.153961</v>
      </c>
      <c r="AD141">
        <v>80959127303.036575</v>
      </c>
      <c r="AE141">
        <v>93711044717.623947</v>
      </c>
      <c r="AF141">
        <v>108569520029.56805</v>
      </c>
      <c r="AG141">
        <v>96499580054.631439</v>
      </c>
      <c r="AH141">
        <v>106972330651.24391</v>
      </c>
      <c r="AI141">
        <v>133152119892.90678</v>
      </c>
      <c r="AJ141">
        <v>150296897634.33176</v>
      </c>
      <c r="AK141">
        <v>109064524068.69798</v>
      </c>
      <c r="AL141">
        <v>114396664382.04951</v>
      </c>
      <c r="AM141">
        <v>112060501889.70161</v>
      </c>
      <c r="AN141">
        <v>126699296198.00392</v>
      </c>
      <c r="AO141">
        <v>141129843390.5625</v>
      </c>
      <c r="AP141">
        <v>152153404915.86682</v>
      </c>
      <c r="AQ141">
        <v>155897783697.89694</v>
      </c>
      <c r="AR141">
        <v>158734615370.08652</v>
      </c>
      <c r="AS141">
        <v>186507132817.43741</v>
      </c>
      <c r="AT141">
        <v>186458183385.33929</v>
      </c>
      <c r="AU141">
        <v>200866631978.46201</v>
      </c>
      <c r="AV141">
        <v>219319364793.51367</v>
      </c>
      <c r="AW141">
        <v>257456872752.60907</v>
      </c>
      <c r="AX141">
        <v>308114007902.30591</v>
      </c>
      <c r="AY141">
        <v>356075978932.66718</v>
      </c>
      <c r="AZ141">
        <v>427293203252.47919</v>
      </c>
      <c r="BA141">
        <v>512642412198.41461</v>
      </c>
      <c r="BB141">
        <v>526007753879.31073</v>
      </c>
      <c r="BC141">
        <v>591637362905.20044</v>
      </c>
      <c r="BD141">
        <v>430766376180.91705</v>
      </c>
      <c r="BE141">
        <v>408599413746.52893</v>
      </c>
      <c r="BF141">
        <v>416884104097.29559</v>
      </c>
      <c r="BG141">
        <v>448530521691.19739</v>
      </c>
      <c r="BH141">
        <v>449577756120.78149</v>
      </c>
      <c r="BI141">
        <v>444439642488.11084</v>
      </c>
      <c r="BJ141">
        <v>491499092098.70868</v>
      </c>
      <c r="BK141">
        <v>415816146816.48993</v>
      </c>
      <c r="BL141">
        <v>442286990942.0813</v>
      </c>
      <c r="BM141">
        <v>436035519309.05981</v>
      </c>
      <c r="BN141">
        <v>467876851996.68066</v>
      </c>
      <c r="BO141" s="190">
        <v>521634375508.57849</v>
      </c>
    </row>
    <row r="142" spans="1:67">
      <c r="A142" t="s">
        <v>760</v>
      </c>
      <c r="B142" t="s">
        <v>761</v>
      </c>
      <c r="C142" t="s">
        <v>1018</v>
      </c>
      <c r="D142" t="s">
        <v>1019</v>
      </c>
      <c r="O142">
        <v>90099360.773871034</v>
      </c>
      <c r="P142">
        <v>104889791.06320335</v>
      </c>
      <c r="Q142">
        <v>124940289.35653342</v>
      </c>
      <c r="R142">
        <v>165928864.12726343</v>
      </c>
      <c r="S142">
        <v>193980464.94721171</v>
      </c>
      <c r="T142">
        <v>246389070.12371978</v>
      </c>
      <c r="U142">
        <v>272489336.90486914</v>
      </c>
      <c r="V142">
        <v>303493119.56494308</v>
      </c>
      <c r="W142">
        <v>436912067.96755308</v>
      </c>
      <c r="X142">
        <v>503173104.66928911</v>
      </c>
      <c r="Y142">
        <v>534699256.77262425</v>
      </c>
      <c r="Z142">
        <v>511647837.14685524</v>
      </c>
      <c r="AA142">
        <v>522096760.52682042</v>
      </c>
      <c r="AB142">
        <v>524023708.33174914</v>
      </c>
      <c r="AC142">
        <v>502620920.65653336</v>
      </c>
      <c r="AD142">
        <v>529073612.45357889</v>
      </c>
      <c r="AE142">
        <v>779357946.98469985</v>
      </c>
      <c r="AF142">
        <v>1052849231.319468</v>
      </c>
      <c r="AG142">
        <v>1161757671.0175631</v>
      </c>
      <c r="AH142">
        <v>1119983801.2133808</v>
      </c>
      <c r="AI142">
        <v>1421508875.2781994</v>
      </c>
      <c r="AJ142">
        <v>1484160643.6946738</v>
      </c>
      <c r="AK142">
        <v>1631176646.6591287</v>
      </c>
      <c r="AL142">
        <v>1673085618.3424082</v>
      </c>
      <c r="AM142">
        <v>1948128910.5555525</v>
      </c>
      <c r="AN142">
        <v>2428524711.5575957</v>
      </c>
      <c r="AO142">
        <v>2504012993.4223833</v>
      </c>
      <c r="AP142">
        <v>2298390594.7202964</v>
      </c>
      <c r="AQ142">
        <v>2479698575.8118057</v>
      </c>
      <c r="AR142">
        <v>2664105901.1886258</v>
      </c>
      <c r="AS142">
        <v>2483890593.705452</v>
      </c>
      <c r="AT142">
        <v>2491800558.7767353</v>
      </c>
      <c r="AU142">
        <v>2688617884.8748002</v>
      </c>
      <c r="AV142">
        <v>3070803439.0770769</v>
      </c>
      <c r="AW142">
        <v>3454374269.9965467</v>
      </c>
      <c r="AX142">
        <v>3659320086.6829605</v>
      </c>
      <c r="AY142">
        <v>4000101033.3563762</v>
      </c>
      <c r="AZ142">
        <v>4601430548.885251</v>
      </c>
      <c r="BA142">
        <v>5081479840.0871572</v>
      </c>
      <c r="BB142">
        <v>4504376589.9239044</v>
      </c>
      <c r="BC142">
        <v>5082338964.8730526</v>
      </c>
      <c r="BD142">
        <v>5739705822.4816866</v>
      </c>
      <c r="BE142">
        <v>5456099685.1858158</v>
      </c>
      <c r="BF142">
        <v>6391711429.2314634</v>
      </c>
      <c r="BG142">
        <v>6657526636.1173115</v>
      </c>
      <c r="BH142">
        <v>6268513139.702879</v>
      </c>
      <c r="BI142">
        <v>6237299538.029336</v>
      </c>
      <c r="BJ142">
        <v>6474310909.5063581</v>
      </c>
      <c r="BK142">
        <v>6692618410.5125036</v>
      </c>
      <c r="BL142">
        <v>6436467007.119318</v>
      </c>
      <c r="BM142">
        <v>6405765970.4778023</v>
      </c>
      <c r="BN142">
        <v>7186428783.1189642</v>
      </c>
    </row>
    <row r="143" spans="1:67">
      <c r="A143" t="s">
        <v>762</v>
      </c>
      <c r="B143" t="s">
        <v>763</v>
      </c>
      <c r="C143" t="s">
        <v>1018</v>
      </c>
      <c r="D143" t="s">
        <v>1019</v>
      </c>
      <c r="E143">
        <v>1409873949.5798321</v>
      </c>
      <c r="F143">
        <v>1444327731.092437</v>
      </c>
      <c r="G143">
        <v>1434156378.6008229</v>
      </c>
      <c r="H143">
        <v>1240672268.907563</v>
      </c>
      <c r="I143">
        <v>1309747899.1596639</v>
      </c>
      <c r="J143">
        <v>1698319327.7310925</v>
      </c>
      <c r="K143">
        <v>1751470588.2352941</v>
      </c>
      <c r="L143">
        <v>1859465020.5761316</v>
      </c>
      <c r="M143">
        <v>1801344537.8151259</v>
      </c>
      <c r="N143">
        <v>1965546218.4873948</v>
      </c>
      <c r="O143">
        <v>2296470588.2352939</v>
      </c>
      <c r="P143">
        <v>2369308600.3372684</v>
      </c>
      <c r="Q143">
        <v>2553936348.4087105</v>
      </c>
      <c r="R143">
        <v>2875625000</v>
      </c>
      <c r="S143">
        <v>3574586466.1654134</v>
      </c>
      <c r="T143">
        <v>3791298145.5064197</v>
      </c>
      <c r="U143">
        <v>3591319857.3127227</v>
      </c>
      <c r="V143">
        <v>4104509582.8635855</v>
      </c>
      <c r="W143">
        <v>2733183856.5022421</v>
      </c>
      <c r="X143">
        <v>3364611432.2414899</v>
      </c>
      <c r="Y143">
        <v>4024621899.5765271</v>
      </c>
      <c r="Z143">
        <v>4415844155.8441563</v>
      </c>
      <c r="AA143">
        <v>4768765016.8188372</v>
      </c>
      <c r="AB143">
        <v>5167913302.1674452</v>
      </c>
      <c r="AC143">
        <v>6043474842.7672949</v>
      </c>
      <c r="AD143">
        <v>5978460972.0176735</v>
      </c>
      <c r="AE143">
        <v>6405210563.8829412</v>
      </c>
      <c r="AF143">
        <v>6682167119.565217</v>
      </c>
      <c r="AG143">
        <v>6978371581.2637539</v>
      </c>
      <c r="AH143">
        <v>6987267683.7725391</v>
      </c>
      <c r="AI143">
        <v>8032551173.240139</v>
      </c>
      <c r="AJ143">
        <v>9000362581.5808563</v>
      </c>
      <c r="AK143">
        <v>9703011635.8658466</v>
      </c>
      <c r="AL143">
        <v>10338679635.761589</v>
      </c>
      <c r="AM143">
        <v>11717604208.822338</v>
      </c>
      <c r="AN143">
        <v>13029697560.975609</v>
      </c>
      <c r="AO143">
        <v>13897738375.248777</v>
      </c>
      <c r="AP143">
        <v>15091913883.709103</v>
      </c>
      <c r="AQ143">
        <v>15794972847.168346</v>
      </c>
      <c r="AR143">
        <v>15656327859.569649</v>
      </c>
      <c r="AS143">
        <v>16330814179.976625</v>
      </c>
      <c r="AT143">
        <v>15749753804.834377</v>
      </c>
      <c r="AU143">
        <v>16536535647.083422</v>
      </c>
      <c r="AV143">
        <v>18881765437.215084</v>
      </c>
      <c r="AW143">
        <v>20662525941.29855</v>
      </c>
      <c r="AX143">
        <v>24405791044.776119</v>
      </c>
      <c r="AY143">
        <v>28279802451.2714</v>
      </c>
      <c r="AZ143">
        <v>32350238662.945221</v>
      </c>
      <c r="BA143">
        <v>40713826320.502251</v>
      </c>
      <c r="BB143">
        <v>42066223971.01693</v>
      </c>
      <c r="BC143">
        <v>58636160848.94973</v>
      </c>
      <c r="BD143">
        <v>67753284134.991264</v>
      </c>
      <c r="BE143">
        <v>70447217163.616745</v>
      </c>
      <c r="BF143">
        <v>77000578207.390915</v>
      </c>
      <c r="BG143">
        <v>82528535572.542938</v>
      </c>
      <c r="BH143">
        <v>85140955516.750458</v>
      </c>
      <c r="BI143">
        <v>88012281909.752197</v>
      </c>
      <c r="BJ143">
        <v>94376237831.577835</v>
      </c>
      <c r="BK143">
        <v>94493871351.421692</v>
      </c>
      <c r="BL143">
        <v>89014978319.070267</v>
      </c>
      <c r="BM143">
        <v>84440535698.820724</v>
      </c>
      <c r="BN143">
        <v>88496535599.3564</v>
      </c>
      <c r="BO143" s="190">
        <v>74403578363.435471</v>
      </c>
    </row>
    <row r="144" spans="1:67">
      <c r="A144" t="s">
        <v>764</v>
      </c>
      <c r="B144" t="s">
        <v>765</v>
      </c>
      <c r="C144" t="s">
        <v>1018</v>
      </c>
      <c r="D144" t="s">
        <v>1019</v>
      </c>
      <c r="E144">
        <v>88132926255.984421</v>
      </c>
      <c r="F144">
        <v>93268101022.508728</v>
      </c>
      <c r="G144">
        <v>94753315348.156601</v>
      </c>
      <c r="H144">
        <v>105425780799.22092</v>
      </c>
      <c r="I144">
        <v>118413401901.66972</v>
      </c>
      <c r="J144">
        <v>127851800754.59087</v>
      </c>
      <c r="K144">
        <v>117578193580.32449</v>
      </c>
      <c r="L144">
        <v>125596732205.05663</v>
      </c>
      <c r="M144">
        <v>134304853998.19078</v>
      </c>
      <c r="N144">
        <v>148999995284.72397</v>
      </c>
      <c r="O144">
        <v>164717108993.53558</v>
      </c>
      <c r="P144">
        <v>173885669458.29105</v>
      </c>
      <c r="Q144">
        <v>188492876223.36102</v>
      </c>
      <c r="R144">
        <v>229847388939.66202</v>
      </c>
      <c r="S144">
        <v>301181598425.33984</v>
      </c>
      <c r="T144">
        <v>332573013999.11511</v>
      </c>
      <c r="U144">
        <v>366594522953.83099</v>
      </c>
      <c r="V144">
        <v>418185902076.75519</v>
      </c>
      <c r="W144">
        <v>460594088379.21704</v>
      </c>
      <c r="X144">
        <v>538549797506.08893</v>
      </c>
      <c r="Y144">
        <v>643335562350.07275</v>
      </c>
      <c r="Z144">
        <v>776012683487.32031</v>
      </c>
      <c r="AA144">
        <v>796818086583.59521</v>
      </c>
      <c r="AB144">
        <v>796475352892.60181</v>
      </c>
      <c r="AC144">
        <v>780993433162.38428</v>
      </c>
      <c r="AD144">
        <v>836784764508.3938</v>
      </c>
      <c r="AE144">
        <v>902375564002.8396</v>
      </c>
      <c r="AF144">
        <v>886692535665.64319</v>
      </c>
      <c r="AG144">
        <v>896894243934.22375</v>
      </c>
      <c r="AH144">
        <v>884736574447.04382</v>
      </c>
      <c r="AI144">
        <v>948098011389.76526</v>
      </c>
      <c r="AJ144">
        <v>881412281443.79517</v>
      </c>
      <c r="AK144">
        <v>923357143412.34937</v>
      </c>
      <c r="AL144">
        <v>897000718772.0144</v>
      </c>
      <c r="AM144">
        <v>952834991834.09473</v>
      </c>
      <c r="AN144">
        <v>1080682109013.7697</v>
      </c>
      <c r="AO144">
        <v>1206368113838.5383</v>
      </c>
      <c r="AP144">
        <v>1250994289523.6699</v>
      </c>
      <c r="AQ144">
        <v>1247921706311.4744</v>
      </c>
      <c r="AR144">
        <v>1309601706378.8369</v>
      </c>
      <c r="AS144">
        <v>1358443640078.6094</v>
      </c>
      <c r="AT144">
        <v>1397363668383.9688</v>
      </c>
      <c r="AU144">
        <v>1471118317178.7839</v>
      </c>
      <c r="AV144">
        <v>1679995095258.5596</v>
      </c>
      <c r="AW144">
        <v>1962071316276.5471</v>
      </c>
      <c r="AX144">
        <v>2288548759444.8213</v>
      </c>
      <c r="AY144">
        <v>2691387582865.3105</v>
      </c>
      <c r="AZ144">
        <v>3319083827275.0923</v>
      </c>
      <c r="BA144">
        <v>3741331283478.2583</v>
      </c>
      <c r="BB144">
        <v>3785725583242.6743</v>
      </c>
      <c r="BC144">
        <v>4533254174586.71</v>
      </c>
      <c r="BD144">
        <v>5187185590945.9023</v>
      </c>
      <c r="BE144">
        <v>5461792142964.6025</v>
      </c>
      <c r="BF144">
        <v>5578818648329.0811</v>
      </c>
      <c r="BG144">
        <v>5868162623218.5801</v>
      </c>
      <c r="BH144">
        <v>5716557622624.5605</v>
      </c>
      <c r="BI144">
        <v>5997917461749.4004</v>
      </c>
      <c r="BJ144">
        <v>6447085710234.6592</v>
      </c>
      <c r="BK144">
        <v>6606760498754.6523</v>
      </c>
      <c r="BL144">
        <v>6874526773448.2451</v>
      </c>
      <c r="BM144">
        <v>6619062047763.5361</v>
      </c>
      <c r="BN144">
        <v>7592013359834.7227</v>
      </c>
      <c r="BO144" s="190">
        <v>8109649831658.5381</v>
      </c>
    </row>
    <row r="145" spans="1:67">
      <c r="A145" t="s">
        <v>766</v>
      </c>
      <c r="B145" t="s">
        <v>767</v>
      </c>
      <c r="C145" t="s">
        <v>1018</v>
      </c>
      <c r="D145" t="s">
        <v>1019</v>
      </c>
      <c r="E145">
        <v>328460411085.2309</v>
      </c>
      <c r="F145">
        <v>325549054205.9046</v>
      </c>
      <c r="G145">
        <v>334089795902.26239</v>
      </c>
      <c r="H145">
        <v>361346791000.70673</v>
      </c>
      <c r="I145">
        <v>404761663132.83459</v>
      </c>
      <c r="J145">
        <v>447569924976.62097</v>
      </c>
      <c r="K145">
        <v>464111355231.45221</v>
      </c>
      <c r="L145">
        <v>475529679883.88184</v>
      </c>
      <c r="M145">
        <v>502151386401.70374</v>
      </c>
      <c r="N145">
        <v>561543483498.25537</v>
      </c>
      <c r="O145">
        <v>616281204931.7959</v>
      </c>
      <c r="P145">
        <v>663112078289.55188</v>
      </c>
      <c r="Q145">
        <v>742014297845.547</v>
      </c>
      <c r="R145">
        <v>946087039548.5741</v>
      </c>
      <c r="S145">
        <v>1199867355110.2478</v>
      </c>
      <c r="T145">
        <v>1328202014396.5044</v>
      </c>
      <c r="U145">
        <v>1426391221074.4597</v>
      </c>
      <c r="V145">
        <v>1602568048403.5813</v>
      </c>
      <c r="W145">
        <v>1781918482843.5439</v>
      </c>
      <c r="X145">
        <v>2063662372115.5876</v>
      </c>
      <c r="Y145">
        <v>2431398652800.5537</v>
      </c>
      <c r="Z145">
        <v>2730636435848.5103</v>
      </c>
      <c r="AA145">
        <v>2691172713846.3438</v>
      </c>
      <c r="AB145">
        <v>2600394883336.0996</v>
      </c>
      <c r="AC145">
        <v>2677911888320.8965</v>
      </c>
      <c r="AD145">
        <v>2775874534098.3682</v>
      </c>
      <c r="AE145">
        <v>2891559004748.6699</v>
      </c>
      <c r="AF145">
        <v>3007726506256.3057</v>
      </c>
      <c r="AG145">
        <v>3180356207103.7231</v>
      </c>
      <c r="AH145">
        <v>3321322715298.6289</v>
      </c>
      <c r="AI145">
        <v>3826579677452.6572</v>
      </c>
      <c r="AJ145">
        <v>3697670722944.6108</v>
      </c>
      <c r="AK145">
        <v>3819310056693.5103</v>
      </c>
      <c r="AL145">
        <v>4078054469337.4824</v>
      </c>
      <c r="AM145">
        <v>4409141222652.7734</v>
      </c>
      <c r="AN145">
        <v>4950449206237.6348</v>
      </c>
      <c r="AO145">
        <v>5428042349965.1045</v>
      </c>
      <c r="AP145">
        <v>5746357231856.665</v>
      </c>
      <c r="AQ145">
        <v>5566939484996.4072</v>
      </c>
      <c r="AR145">
        <v>5452082318949.5752</v>
      </c>
      <c r="AS145">
        <v>5957805404623.124</v>
      </c>
      <c r="AT145">
        <v>6012683195857.0391</v>
      </c>
      <c r="AU145">
        <v>6164611646170.8555</v>
      </c>
      <c r="AV145">
        <v>6945043770585.4473</v>
      </c>
      <c r="AW145">
        <v>8241824349157.0918</v>
      </c>
      <c r="AX145">
        <v>9810101604943.6602</v>
      </c>
      <c r="AY145">
        <v>11639461030836.99</v>
      </c>
      <c r="AZ145">
        <v>14370508850888.75</v>
      </c>
      <c r="BA145">
        <v>17192974516974.992</v>
      </c>
      <c r="BB145">
        <v>16816751222178.828</v>
      </c>
      <c r="BC145">
        <v>20465368009772.57</v>
      </c>
      <c r="BD145">
        <v>24151876656634.223</v>
      </c>
      <c r="BE145">
        <v>25698108062037.785</v>
      </c>
      <c r="BF145">
        <v>27210105126960.859</v>
      </c>
      <c r="BG145">
        <v>28140117982872.93</v>
      </c>
      <c r="BH145">
        <v>26681765753333.836</v>
      </c>
      <c r="BI145">
        <v>26916084709959.285</v>
      </c>
      <c r="BJ145">
        <v>29590502584084.777</v>
      </c>
      <c r="BK145">
        <v>31364367229265.605</v>
      </c>
      <c r="BL145">
        <v>32110421084434.41</v>
      </c>
      <c r="BM145">
        <v>30983506895431.512</v>
      </c>
      <c r="BN145">
        <v>36537287030968.563</v>
      </c>
      <c r="BO145" s="190">
        <v>38687654409587.602</v>
      </c>
    </row>
    <row r="146" spans="1:67">
      <c r="A146" t="s">
        <v>768</v>
      </c>
      <c r="B146" t="s">
        <v>769</v>
      </c>
      <c r="C146" t="s">
        <v>1018</v>
      </c>
      <c r="D146" t="s">
        <v>1019</v>
      </c>
      <c r="E146">
        <v>34579986.181837507</v>
      </c>
      <c r="F146">
        <v>35699985.73428569</v>
      </c>
      <c r="G146">
        <v>41859983.272750668</v>
      </c>
      <c r="H146">
        <v>47039981.202823497</v>
      </c>
      <c r="I146">
        <v>51939979.244784273</v>
      </c>
      <c r="J146">
        <v>54879978.069960743</v>
      </c>
      <c r="K146">
        <v>56699977.342689037</v>
      </c>
      <c r="L146">
        <v>59261976.318914242</v>
      </c>
      <c r="M146">
        <v>61445975.446188189</v>
      </c>
      <c r="N146">
        <v>65967973.639197707</v>
      </c>
      <c r="O146">
        <v>68739972.531506956</v>
      </c>
      <c r="P146">
        <v>76480293.952411234</v>
      </c>
      <c r="Q146">
        <v>80913175.462897971</v>
      </c>
      <c r="R146">
        <v>121188698.64206879</v>
      </c>
      <c r="S146">
        <v>150851315.73463553</v>
      </c>
      <c r="T146">
        <v>149558945.40373051</v>
      </c>
      <c r="U146">
        <v>147659999.8716</v>
      </c>
      <c r="V146">
        <v>193314999.8319</v>
      </c>
      <c r="W146">
        <v>266569999.76820001</v>
      </c>
      <c r="X146">
        <v>290134729.68374699</v>
      </c>
      <c r="Y146">
        <v>431542682.23601174</v>
      </c>
      <c r="Z146">
        <v>434188034.18803424</v>
      </c>
      <c r="AA146">
        <v>348741737.28404212</v>
      </c>
      <c r="AB146">
        <v>386699308.94594276</v>
      </c>
      <c r="AC146">
        <v>333163557.42108917</v>
      </c>
      <c r="AD146">
        <v>268629925.92311567</v>
      </c>
      <c r="AE146">
        <v>318858469.53822535</v>
      </c>
      <c r="AF146">
        <v>402768258.54193676</v>
      </c>
      <c r="AG146">
        <v>470395904.05404949</v>
      </c>
      <c r="AH146">
        <v>495409138.18035197</v>
      </c>
      <c r="AI146">
        <v>596410302.16263044</v>
      </c>
      <c r="AJ146">
        <v>704325366.71839321</v>
      </c>
      <c r="AK146">
        <v>831029813.14082909</v>
      </c>
      <c r="AL146">
        <v>835582169.020455</v>
      </c>
      <c r="AM146">
        <v>878250862.83413339</v>
      </c>
      <c r="AN146">
        <v>1001894000.2784605</v>
      </c>
      <c r="AO146">
        <v>946112456.16826808</v>
      </c>
      <c r="AP146">
        <v>998004330.90987015</v>
      </c>
      <c r="AQ146">
        <v>928460865.11773264</v>
      </c>
      <c r="AR146">
        <v>912773656.15018463</v>
      </c>
      <c r="AS146">
        <v>887291645.30246592</v>
      </c>
      <c r="AT146">
        <v>825706961.2386893</v>
      </c>
      <c r="AU146">
        <v>775777263.09078431</v>
      </c>
      <c r="AV146">
        <v>1157825409.2804792</v>
      </c>
      <c r="AW146">
        <v>1511236655.5204656</v>
      </c>
      <c r="AX146">
        <v>1682343439.3097601</v>
      </c>
      <c r="AY146">
        <v>1800092519.4493275</v>
      </c>
      <c r="AZ146">
        <v>1682025303.1603045</v>
      </c>
      <c r="BA146">
        <v>1766820422.4798028</v>
      </c>
      <c r="BB146">
        <v>1740835819.8007951</v>
      </c>
      <c r="BC146">
        <v>2234731973.5511899</v>
      </c>
      <c r="BD146">
        <v>2579421686.2491217</v>
      </c>
      <c r="BE146">
        <v>2477702252.8007793</v>
      </c>
      <c r="BF146">
        <v>2367113170.0037308</v>
      </c>
      <c r="BG146">
        <v>2441063169.4792218</v>
      </c>
      <c r="BH146">
        <v>2359754087.5816941</v>
      </c>
      <c r="BI146">
        <v>2114426468.6568105</v>
      </c>
      <c r="BJ146">
        <v>2306741598.7967725</v>
      </c>
      <c r="BK146">
        <v>2556247155.5694456</v>
      </c>
      <c r="BL146">
        <v>2436029587.6100879</v>
      </c>
      <c r="BM146">
        <v>2117736527.7988636</v>
      </c>
      <c r="BN146">
        <v>2373416268.5110688</v>
      </c>
      <c r="BO146" s="190">
        <v>2553459762.7991991</v>
      </c>
    </row>
    <row r="147" spans="1:67">
      <c r="A147" t="s">
        <v>770</v>
      </c>
      <c r="B147" t="s">
        <v>771</v>
      </c>
      <c r="C147" t="s">
        <v>1018</v>
      </c>
      <c r="D147" t="s">
        <v>1019</v>
      </c>
      <c r="E147">
        <v>187879636913.39807</v>
      </c>
      <c r="F147">
        <v>174494200572.47028</v>
      </c>
      <c r="G147">
        <v>177739054287.77054</v>
      </c>
      <c r="H147">
        <v>193962516262.90179</v>
      </c>
      <c r="I147">
        <v>213074603900.14984</v>
      </c>
      <c r="J147">
        <v>239635727703.07535</v>
      </c>
      <c r="K147">
        <v>266930865057.17987</v>
      </c>
      <c r="L147">
        <v>268220607339.32132</v>
      </c>
      <c r="M147">
        <v>272945950308.17398</v>
      </c>
      <c r="N147">
        <v>304305496423.19745</v>
      </c>
      <c r="O147">
        <v>346354817312.08673</v>
      </c>
      <c r="P147">
        <v>384985432823.90625</v>
      </c>
      <c r="Q147">
        <v>442281525192.43561</v>
      </c>
      <c r="R147">
        <v>570027356655.58862</v>
      </c>
      <c r="S147">
        <v>670590593319.99854</v>
      </c>
      <c r="T147">
        <v>737575791537.2334</v>
      </c>
      <c r="U147">
        <v>795110050384.08374</v>
      </c>
      <c r="V147">
        <v>922284640069.31677</v>
      </c>
      <c r="W147">
        <v>959681796280.20642</v>
      </c>
      <c r="X147">
        <v>1141426067178.4426</v>
      </c>
      <c r="Y147">
        <v>1305127873819.6057</v>
      </c>
      <c r="Z147">
        <v>1369362066137.7671</v>
      </c>
      <c r="AA147">
        <v>1392844983995.2627</v>
      </c>
      <c r="AB147">
        <v>1279910481204.3574</v>
      </c>
      <c r="AC147">
        <v>1336604317430.2288</v>
      </c>
      <c r="AD147">
        <v>1446300965545.5244</v>
      </c>
      <c r="AE147">
        <v>1540156977218.7644</v>
      </c>
      <c r="AF147">
        <v>1625958434413.4653</v>
      </c>
      <c r="AG147">
        <v>1773983340014.2544</v>
      </c>
      <c r="AH147">
        <v>1891766247083.543</v>
      </c>
      <c r="AI147">
        <v>2036712896681.0618</v>
      </c>
      <c r="AJ147">
        <v>2039346669796.4119</v>
      </c>
      <c r="AK147">
        <v>2075918077864.6899</v>
      </c>
      <c r="AL147">
        <v>2166490210483.8291</v>
      </c>
      <c r="AM147">
        <v>2456582443329.8716</v>
      </c>
      <c r="AN147">
        <v>3018344023471.2964</v>
      </c>
      <c r="AO147">
        <v>3329641134915.4888</v>
      </c>
      <c r="AP147">
        <v>3486552209715.3271</v>
      </c>
      <c r="AQ147">
        <v>3361132425309.6689</v>
      </c>
      <c r="AR147">
        <v>3106308288146.5176</v>
      </c>
      <c r="AS147">
        <v>3410160195631.0225</v>
      </c>
      <c r="AT147">
        <v>3524971410363.0181</v>
      </c>
      <c r="AU147">
        <v>3736762127352.2222</v>
      </c>
      <c r="AV147">
        <v>4257884246629.2329</v>
      </c>
      <c r="AW147">
        <v>5117207890045.2842</v>
      </c>
      <c r="AX147">
        <v>6172838531832.8818</v>
      </c>
      <c r="AY147">
        <v>7448570230979.502</v>
      </c>
      <c r="AZ147">
        <v>9382521778909.0723</v>
      </c>
      <c r="BA147">
        <v>11663323670463.297</v>
      </c>
      <c r="BB147">
        <v>11268891687538.113</v>
      </c>
      <c r="BC147">
        <v>13553728682871.02</v>
      </c>
      <c r="BD147">
        <v>16519537910748.432</v>
      </c>
      <c r="BE147">
        <v>17680702314004.121</v>
      </c>
      <c r="BF147">
        <v>19042110155027.328</v>
      </c>
      <c r="BG147">
        <v>19775313806693.086</v>
      </c>
      <c r="BH147">
        <v>18549854155934.094</v>
      </c>
      <c r="BI147">
        <v>18593432462844.867</v>
      </c>
      <c r="BJ147">
        <v>20629823637317.137</v>
      </c>
      <c r="BK147">
        <v>22621357448474.074</v>
      </c>
      <c r="BL147">
        <v>23047283010403.602</v>
      </c>
      <c r="BM147">
        <v>22525940505680.465</v>
      </c>
      <c r="BN147">
        <v>26827496302511.371</v>
      </c>
      <c r="BO147" s="190">
        <v>28078790059154.914</v>
      </c>
    </row>
    <row r="148" spans="1:67">
      <c r="A148" t="s">
        <v>772</v>
      </c>
      <c r="B148" t="s">
        <v>773</v>
      </c>
      <c r="C148" t="s">
        <v>1018</v>
      </c>
      <c r="D148" t="s">
        <v>1019</v>
      </c>
      <c r="AN148">
        <v>7867140395.3370495</v>
      </c>
      <c r="AO148">
        <v>8382519637.4622355</v>
      </c>
      <c r="AP148">
        <v>10118631851.532152</v>
      </c>
      <c r="AQ148">
        <v>11239547690.979713</v>
      </c>
      <c r="AR148">
        <v>10971583944.756149</v>
      </c>
      <c r="AS148">
        <v>11524776866.637894</v>
      </c>
      <c r="AT148">
        <v>12237388001.72637</v>
      </c>
      <c r="AU148">
        <v>14259781159.011929</v>
      </c>
      <c r="AV148">
        <v>18781721376.198536</v>
      </c>
      <c r="AW148">
        <v>22627507451.564827</v>
      </c>
      <c r="AX148">
        <v>26097677571.837296</v>
      </c>
      <c r="AY148">
        <v>30183575103.526161</v>
      </c>
      <c r="AZ148">
        <v>39697891351.943077</v>
      </c>
      <c r="BA148">
        <v>47797551587.882332</v>
      </c>
      <c r="BB148">
        <v>37388122046.149567</v>
      </c>
      <c r="BC148">
        <v>37128694028.242989</v>
      </c>
      <c r="BD148">
        <v>43535051482.386894</v>
      </c>
      <c r="BE148">
        <v>42927454291.477997</v>
      </c>
      <c r="BF148">
        <v>46523420074.437225</v>
      </c>
      <c r="BG148">
        <v>48533659592.172791</v>
      </c>
      <c r="BH148">
        <v>41435533340.38826</v>
      </c>
      <c r="BI148">
        <v>43047309305.73748</v>
      </c>
      <c r="BJ148">
        <v>47758736931.78051</v>
      </c>
      <c r="BK148">
        <v>53751411409.44371</v>
      </c>
      <c r="BL148">
        <v>54760617012.91658</v>
      </c>
      <c r="BM148">
        <v>56914826860.691788</v>
      </c>
      <c r="BN148">
        <v>66414994991.793503</v>
      </c>
      <c r="BO148" s="190">
        <v>70334299008.379654</v>
      </c>
    </row>
    <row r="149" spans="1:67">
      <c r="A149" t="s">
        <v>774</v>
      </c>
      <c r="B149" t="s">
        <v>775</v>
      </c>
      <c r="C149" t="s">
        <v>1018</v>
      </c>
      <c r="D149" t="s">
        <v>1019</v>
      </c>
      <c r="E149">
        <v>703925705.94295776</v>
      </c>
      <c r="F149">
        <v>704145671.35021305</v>
      </c>
      <c r="G149">
        <v>741509480.7962842</v>
      </c>
      <c r="H149">
        <v>791140595.77275527</v>
      </c>
      <c r="I149">
        <v>903158753.94362235</v>
      </c>
      <c r="J149">
        <v>921600736.30402601</v>
      </c>
      <c r="K149">
        <v>968440149.47095072</v>
      </c>
      <c r="L149">
        <v>974721762.53532672</v>
      </c>
      <c r="M149">
        <v>1066447130.8205178</v>
      </c>
      <c r="N149">
        <v>1234878980.5019953</v>
      </c>
      <c r="O149">
        <v>1457768455.0221863</v>
      </c>
      <c r="P149">
        <v>1518773421.3784564</v>
      </c>
      <c r="Q149">
        <v>1901697369.626982</v>
      </c>
      <c r="R149">
        <v>2609875802.1113644</v>
      </c>
      <c r="S149">
        <v>3183637116.8185582</v>
      </c>
      <c r="T149">
        <v>3123333333.3333335</v>
      </c>
      <c r="U149">
        <v>3423586206.8965521</v>
      </c>
      <c r="V149">
        <v>3789321328.0810356</v>
      </c>
      <c r="W149">
        <v>4718539771.9994879</v>
      </c>
      <c r="X149">
        <v>5516982663.7314253</v>
      </c>
      <c r="Y149">
        <v>6019805490.4124708</v>
      </c>
      <c r="Z149">
        <v>5053665797.4793568</v>
      </c>
      <c r="AA149">
        <v>4602316793.219142</v>
      </c>
      <c r="AB149">
        <v>4524217751.47929</v>
      </c>
      <c r="AC149">
        <v>4438435492.8790846</v>
      </c>
      <c r="AD149">
        <v>4577211767.1037436</v>
      </c>
      <c r="AE149">
        <v>6685595087.5925598</v>
      </c>
      <c r="AF149">
        <v>8320902215.0189085</v>
      </c>
      <c r="AG149">
        <v>9418167855.1837635</v>
      </c>
      <c r="AH149">
        <v>10037674037.674038</v>
      </c>
      <c r="AI149">
        <v>12778792853.693867</v>
      </c>
      <c r="AJ149">
        <v>13834219728.292971</v>
      </c>
      <c r="AK149">
        <v>15518702634.880802</v>
      </c>
      <c r="AL149">
        <v>15925521222.014925</v>
      </c>
      <c r="AM149">
        <v>17701798890.764408</v>
      </c>
      <c r="AN149">
        <v>20853093869.7318</v>
      </c>
      <c r="AO149">
        <v>20895314657.980457</v>
      </c>
      <c r="AP149">
        <v>19563836265.223274</v>
      </c>
      <c r="AQ149">
        <v>20150053345.187817</v>
      </c>
      <c r="AR149">
        <v>21899317598.841362</v>
      </c>
      <c r="AS149">
        <v>21230182989.303574</v>
      </c>
      <c r="AT149">
        <v>21387533703.232704</v>
      </c>
      <c r="AU149">
        <v>23649833332.165531</v>
      </c>
      <c r="AV149">
        <v>29667268248.130527</v>
      </c>
      <c r="AW149">
        <v>35064843792.899323</v>
      </c>
      <c r="AX149">
        <v>37672280120.479362</v>
      </c>
      <c r="AY149">
        <v>42910146296.064644</v>
      </c>
      <c r="AZ149">
        <v>51587401415.787224</v>
      </c>
      <c r="BA149">
        <v>58844277701.525764</v>
      </c>
      <c r="BB149">
        <v>54467289897.558167</v>
      </c>
      <c r="BC149">
        <v>56213985987.418114</v>
      </c>
      <c r="BD149">
        <v>61696281326.245689</v>
      </c>
      <c r="BE149">
        <v>59776383527.360168</v>
      </c>
      <c r="BF149">
        <v>65203276466.976784</v>
      </c>
      <c r="BG149">
        <v>68804811897.643372</v>
      </c>
      <c r="BH149">
        <v>60071584216.137466</v>
      </c>
      <c r="BI149">
        <v>62216885435.950508</v>
      </c>
      <c r="BJ149">
        <v>65712180342.984238</v>
      </c>
      <c r="BK149">
        <v>71000359760.459854</v>
      </c>
      <c r="BL149">
        <v>69825641851.010406</v>
      </c>
      <c r="BM149">
        <v>73992591285.301666</v>
      </c>
      <c r="BN149">
        <v>85506243833.78157</v>
      </c>
      <c r="BO149" s="190">
        <v>82274812250.91861</v>
      </c>
    </row>
    <row r="150" spans="1:67">
      <c r="A150" t="s">
        <v>776</v>
      </c>
      <c r="B150" t="s">
        <v>777</v>
      </c>
      <c r="C150" t="s">
        <v>1018</v>
      </c>
      <c r="D150" t="s">
        <v>1019</v>
      </c>
      <c r="AN150">
        <v>5789128636.6229315</v>
      </c>
      <c r="AO150">
        <v>5975248851.4548244</v>
      </c>
      <c r="AP150">
        <v>6527926445.6811037</v>
      </c>
      <c r="AQ150">
        <v>7166275467.6516142</v>
      </c>
      <c r="AR150">
        <v>7533788133.5575304</v>
      </c>
      <c r="AS150">
        <v>7958852838.9339514</v>
      </c>
      <c r="AT150">
        <v>8362398701.5894337</v>
      </c>
      <c r="AU150">
        <v>9557031605.2751236</v>
      </c>
      <c r="AV150">
        <v>11771975156.80728</v>
      </c>
      <c r="AW150">
        <v>14435700533.368023</v>
      </c>
      <c r="AX150">
        <v>17003459863.098942</v>
      </c>
      <c r="AY150">
        <v>21570076498.620518</v>
      </c>
      <c r="AZ150">
        <v>31054350977.97839</v>
      </c>
      <c r="BA150">
        <v>35854274228.913902</v>
      </c>
      <c r="BB150">
        <v>26410909090.909088</v>
      </c>
      <c r="BC150">
        <v>23956163076.55748</v>
      </c>
      <c r="BD150">
        <v>27474380566.265041</v>
      </c>
      <c r="BE150">
        <v>28169902669.378365</v>
      </c>
      <c r="BF150">
        <v>30204783461.848808</v>
      </c>
      <c r="BG150">
        <v>31386896487.040173</v>
      </c>
      <c r="BH150">
        <v>27263090547.061707</v>
      </c>
      <c r="BI150">
        <v>28083597512.484894</v>
      </c>
      <c r="BJ150">
        <v>30483806017.832092</v>
      </c>
      <c r="BK150">
        <v>34429023435.020538</v>
      </c>
      <c r="BL150">
        <v>34343961072.822861</v>
      </c>
      <c r="BM150">
        <v>34601740323.338028</v>
      </c>
      <c r="BN150">
        <v>39725383601.21254</v>
      </c>
      <c r="BO150" s="190">
        <v>41153912662.86203</v>
      </c>
    </row>
    <row r="151" spans="1:67">
      <c r="A151" t="s">
        <v>778</v>
      </c>
      <c r="B151" t="s">
        <v>779</v>
      </c>
      <c r="C151" t="s">
        <v>1018</v>
      </c>
      <c r="D151" t="s">
        <v>1019</v>
      </c>
      <c r="AA151">
        <v>1142497657.7623475</v>
      </c>
      <c r="AB151">
        <v>1133013285.7995324</v>
      </c>
      <c r="AC151">
        <v>1304361353.2702372</v>
      </c>
      <c r="AD151">
        <v>1362072216.7063768</v>
      </c>
      <c r="AE151">
        <v>1532105006.4529285</v>
      </c>
      <c r="AF151">
        <v>1957724747.8872266</v>
      </c>
      <c r="AG151">
        <v>2288761917.3962107</v>
      </c>
      <c r="AH151">
        <v>2705665379.7561588</v>
      </c>
      <c r="AI151">
        <v>3246481368.1600037</v>
      </c>
      <c r="AJ151">
        <v>3765249711.0909824</v>
      </c>
      <c r="AK151">
        <v>4914365394.5254459</v>
      </c>
      <c r="AL151">
        <v>5665606114.8031702</v>
      </c>
      <c r="AM151">
        <v>6311207515.6453838</v>
      </c>
      <c r="AN151">
        <v>7046147442.1392078</v>
      </c>
      <c r="AO151">
        <v>7176892950.3916445</v>
      </c>
      <c r="AP151">
        <v>7267571196.4557171</v>
      </c>
      <c r="AQ151">
        <v>6797792474.1919155</v>
      </c>
      <c r="AR151">
        <v>6547670439.2599955</v>
      </c>
      <c r="AS151">
        <v>6774193548.3870964</v>
      </c>
      <c r="AT151">
        <v>6860272608.4521065</v>
      </c>
      <c r="AU151">
        <v>7371692468.558486</v>
      </c>
      <c r="AV151">
        <v>8246479394.595767</v>
      </c>
      <c r="AW151">
        <v>10643253442.623232</v>
      </c>
      <c r="AX151">
        <v>12160056754.837261</v>
      </c>
      <c r="AY151">
        <v>14874098382.086336</v>
      </c>
      <c r="AZ151">
        <v>18439981803.634697</v>
      </c>
      <c r="BA151">
        <v>21027018551.148487</v>
      </c>
      <c r="BB151">
        <v>21587786004.588188</v>
      </c>
      <c r="BC151">
        <v>28241799668.008648</v>
      </c>
      <c r="BD151">
        <v>36845887225.429634</v>
      </c>
      <c r="BE151">
        <v>43189724079.766815</v>
      </c>
      <c r="BF151">
        <v>51536592939.033226</v>
      </c>
      <c r="BG151">
        <v>54902831793.50177</v>
      </c>
      <c r="BH151">
        <v>45048188247.645752</v>
      </c>
      <c r="BI151">
        <v>45070807279.628799</v>
      </c>
      <c r="BJ151">
        <v>50440935654.007515</v>
      </c>
      <c r="BK151">
        <v>55284309690.269791</v>
      </c>
      <c r="BL151">
        <v>55204960999.588196</v>
      </c>
      <c r="BM151">
        <v>25459685019.548019</v>
      </c>
      <c r="BN151">
        <v>30123795336.893147</v>
      </c>
      <c r="BO151" s="190">
        <v>21979475560.621407</v>
      </c>
    </row>
    <row r="152" spans="1:67">
      <c r="A152" t="s">
        <v>780</v>
      </c>
      <c r="B152" t="s">
        <v>781</v>
      </c>
      <c r="C152" t="s">
        <v>1018</v>
      </c>
      <c r="D152" t="s">
        <v>1019</v>
      </c>
      <c r="BD152">
        <v>775875857.97665524</v>
      </c>
      <c r="BG152">
        <v>772921756.31372273</v>
      </c>
    </row>
    <row r="153" spans="1:67">
      <c r="A153" t="s">
        <v>782</v>
      </c>
      <c r="B153" t="s">
        <v>783</v>
      </c>
      <c r="C153" t="s">
        <v>1018</v>
      </c>
      <c r="D153" t="s">
        <v>1019</v>
      </c>
      <c r="E153">
        <v>2037154740.2975113</v>
      </c>
      <c r="F153">
        <v>2025693537.9330244</v>
      </c>
      <c r="G153">
        <v>2379611122.7050366</v>
      </c>
      <c r="H153">
        <v>2657252576.1754794</v>
      </c>
      <c r="I153">
        <v>2798345296.3324394</v>
      </c>
      <c r="J153">
        <v>2948331088.1018105</v>
      </c>
      <c r="K153">
        <v>2876401294.7995944</v>
      </c>
      <c r="L153">
        <v>3046345311.9421921</v>
      </c>
      <c r="M153">
        <v>3271422329.9950047</v>
      </c>
      <c r="N153">
        <v>3651622666.0210023</v>
      </c>
      <c r="O153">
        <v>3956336240.9441252</v>
      </c>
      <c r="P153">
        <v>4356669160.6339693</v>
      </c>
      <c r="Q153">
        <v>5074117544.7748222</v>
      </c>
      <c r="R153">
        <v>6242146134.926836</v>
      </c>
      <c r="S153">
        <v>7675467036.6096077</v>
      </c>
      <c r="T153">
        <v>8984851898.7374687</v>
      </c>
      <c r="U153">
        <v>9584296202.0867043</v>
      </c>
      <c r="V153">
        <v>11049784283.215311</v>
      </c>
      <c r="W153">
        <v>13236946766.230112</v>
      </c>
      <c r="X153">
        <v>15911994141.240829</v>
      </c>
      <c r="Y153">
        <v>21728517078.535408</v>
      </c>
      <c r="Z153">
        <v>17788186055.571049</v>
      </c>
      <c r="AA153">
        <v>17692275268.387638</v>
      </c>
      <c r="AB153">
        <v>16251407368.09672</v>
      </c>
      <c r="AC153">
        <v>14824668235.783358</v>
      </c>
      <c r="AD153">
        <v>14991283215.740831</v>
      </c>
      <c r="AE153">
        <v>19462086253.306629</v>
      </c>
      <c r="AF153">
        <v>21765195948.188976</v>
      </c>
      <c r="AG153">
        <v>25705296183.503674</v>
      </c>
      <c r="AH153">
        <v>26314313191.182552</v>
      </c>
      <c r="AI153">
        <v>30179955995.515015</v>
      </c>
      <c r="AJ153">
        <v>32285573573.918488</v>
      </c>
      <c r="AK153">
        <v>33711069430.780041</v>
      </c>
      <c r="AL153">
        <v>31655473663.834824</v>
      </c>
      <c r="AM153">
        <v>35604137422.579597</v>
      </c>
      <c r="AN153">
        <v>39030285468.384079</v>
      </c>
      <c r="AO153">
        <v>43161572352.979271</v>
      </c>
      <c r="AP153">
        <v>39147844526.083763</v>
      </c>
      <c r="AQ153">
        <v>46497609536.241837</v>
      </c>
      <c r="AR153">
        <v>46266427862.75103</v>
      </c>
      <c r="AS153">
        <v>43017455401.424431</v>
      </c>
      <c r="AT153">
        <v>43831480206.453522</v>
      </c>
      <c r="AU153">
        <v>47077192183.732872</v>
      </c>
      <c r="AV153">
        <v>58029361338.629845</v>
      </c>
      <c r="AW153">
        <v>66114147932.39032</v>
      </c>
      <c r="AX153">
        <v>68852655479.560089</v>
      </c>
      <c r="AY153">
        <v>75883820424.084503</v>
      </c>
      <c r="AZ153">
        <v>86947909744.599335</v>
      </c>
      <c r="BA153">
        <v>101822906946.02664</v>
      </c>
      <c r="BB153">
        <v>101154952243.01497</v>
      </c>
      <c r="BC153">
        <v>100865325482.24379</v>
      </c>
      <c r="BD153">
        <v>110080631330.06136</v>
      </c>
      <c r="BE153">
        <v>106937397478.35275</v>
      </c>
      <c r="BF153">
        <v>115739288446.79884</v>
      </c>
      <c r="BG153">
        <v>119130845829.48183</v>
      </c>
      <c r="BH153">
        <v>110413820681.03416</v>
      </c>
      <c r="BI153">
        <v>111572946646.53508</v>
      </c>
      <c r="BJ153">
        <v>118540574727.55217</v>
      </c>
      <c r="BK153">
        <v>127341141871.20514</v>
      </c>
      <c r="BL153">
        <v>128920265075.5255</v>
      </c>
      <c r="BM153">
        <v>121347533649.79297</v>
      </c>
      <c r="BN153">
        <v>142866583124.69638</v>
      </c>
      <c r="BO153" s="190">
        <v>134181587769.79614</v>
      </c>
    </row>
    <row r="154" spans="1:67">
      <c r="A154" t="s">
        <v>784</v>
      </c>
      <c r="B154" t="s">
        <v>785</v>
      </c>
      <c r="C154" t="s">
        <v>1018</v>
      </c>
      <c r="D154" t="s">
        <v>1019</v>
      </c>
      <c r="O154">
        <v>293073868.02322143</v>
      </c>
      <c r="P154">
        <v>327651487.96275675</v>
      </c>
      <c r="Q154">
        <v>402460333.23763728</v>
      </c>
      <c r="R154">
        <v>523552815.11912727</v>
      </c>
      <c r="S154">
        <v>563939670.70441937</v>
      </c>
      <c r="T154">
        <v>711922994.22554493</v>
      </c>
      <c r="U154">
        <v>735339911.93506515</v>
      </c>
      <c r="V154">
        <v>811250927.38899815</v>
      </c>
      <c r="W154">
        <v>1000535735.3875107</v>
      </c>
      <c r="X154">
        <v>1209898293.4637191</v>
      </c>
      <c r="Y154">
        <v>1378130995.659126</v>
      </c>
      <c r="Z154">
        <v>1205166025.5159183</v>
      </c>
      <c r="AA154">
        <v>1143229071.7794309</v>
      </c>
      <c r="AB154">
        <v>1092551781.0148635</v>
      </c>
      <c r="AC154">
        <v>1037314956.2508339</v>
      </c>
      <c r="AD154">
        <v>1082851076.5215755</v>
      </c>
      <c r="AE154">
        <v>1515209588.2377975</v>
      </c>
      <c r="AF154">
        <v>1839095595.2565525</v>
      </c>
      <c r="AG154">
        <v>2000674667.0826108</v>
      </c>
      <c r="AH154">
        <v>2010116851.2028396</v>
      </c>
      <c r="AI154">
        <v>2481316053.8531599</v>
      </c>
      <c r="AJ154">
        <v>2480497538.5479441</v>
      </c>
      <c r="AK154">
        <v>2737067001.7593813</v>
      </c>
      <c r="AL154">
        <v>2574440022.979641</v>
      </c>
      <c r="AM154">
        <v>2720297793.2866182</v>
      </c>
      <c r="AN154">
        <v>3130270895.1358652</v>
      </c>
      <c r="AO154">
        <v>3137848801.0360646</v>
      </c>
      <c r="AP154">
        <v>2840182220.9911728</v>
      </c>
      <c r="AQ154">
        <v>2934578821.1093831</v>
      </c>
      <c r="AR154">
        <v>2907075359.5040989</v>
      </c>
      <c r="AS154">
        <v>2654476597.1543584</v>
      </c>
      <c r="AT154">
        <v>2673738412.57583</v>
      </c>
      <c r="AU154">
        <v>2919691961.3743191</v>
      </c>
      <c r="AV154">
        <v>3597052153.185679</v>
      </c>
      <c r="AW154">
        <v>4117728150.8400106</v>
      </c>
      <c r="AX154">
        <v>4204651893.540854</v>
      </c>
      <c r="AY154">
        <v>4586828062.2352877</v>
      </c>
      <c r="AZ154">
        <v>5875376401.9215879</v>
      </c>
      <c r="BA154">
        <v>6502945305.0781231</v>
      </c>
      <c r="BB154">
        <v>5473265701.6796837</v>
      </c>
      <c r="BC154">
        <v>5367561640.0000105</v>
      </c>
      <c r="BD154">
        <v>6088690667.3151875</v>
      </c>
      <c r="BE154">
        <v>5742748405.546876</v>
      </c>
      <c r="BF154">
        <v>6555590641.5686455</v>
      </c>
      <c r="BG154">
        <v>7069351223.5686026</v>
      </c>
      <c r="BH154">
        <v>6261646949.5312471</v>
      </c>
      <c r="BI154">
        <v>6472837332.9572144</v>
      </c>
      <c r="BJ154">
        <v>6431274937.6470699</v>
      </c>
      <c r="BK154">
        <v>7194256778.2745047</v>
      </c>
      <c r="BL154">
        <v>7383941919.2156744</v>
      </c>
      <c r="BM154">
        <v>6739642360.4669447</v>
      </c>
      <c r="BN154">
        <v>8596156573.6432724</v>
      </c>
    </row>
    <row r="155" spans="1:67">
      <c r="A155" t="s">
        <v>786</v>
      </c>
      <c r="B155" t="s">
        <v>787</v>
      </c>
      <c r="C155" t="s">
        <v>1018</v>
      </c>
      <c r="D155" t="s">
        <v>1019</v>
      </c>
      <c r="AN155">
        <v>1752979926.4148901</v>
      </c>
      <c r="AO155">
        <v>1695122173.9130435</v>
      </c>
      <c r="AP155">
        <v>1930081168.8311689</v>
      </c>
      <c r="AQ155">
        <v>1698717504.6554935</v>
      </c>
      <c r="AR155">
        <v>1170782957.3744323</v>
      </c>
      <c r="AS155">
        <v>1288429391.7995076</v>
      </c>
      <c r="AT155">
        <v>1480673594.0560203</v>
      </c>
      <c r="AU155">
        <v>1661818168.4226036</v>
      </c>
      <c r="AV155">
        <v>1980907434.7682641</v>
      </c>
      <c r="AW155">
        <v>2598249555.8998399</v>
      </c>
      <c r="AX155">
        <v>2988342907.0309634</v>
      </c>
      <c r="AY155">
        <v>3408255364.0319762</v>
      </c>
      <c r="AZ155">
        <v>4401173161.6832705</v>
      </c>
      <c r="BA155">
        <v>6054824433.0582457</v>
      </c>
      <c r="BB155">
        <v>5439434059.3199615</v>
      </c>
      <c r="BC155">
        <v>6974982391.400938</v>
      </c>
      <c r="BD155">
        <v>8414351671.724103</v>
      </c>
      <c r="BE155">
        <v>8709138767.2078018</v>
      </c>
      <c r="BF155">
        <v>9496717700.8985519</v>
      </c>
      <c r="BG155">
        <v>9399833207.4934101</v>
      </c>
      <c r="BH155">
        <v>7798692878.4013605</v>
      </c>
      <c r="BI155">
        <v>7982450758.0321274</v>
      </c>
      <c r="BJ155">
        <v>9519053158.464035</v>
      </c>
      <c r="BK155">
        <v>11253727815.476191</v>
      </c>
      <c r="BL155">
        <v>11735774634.423899</v>
      </c>
      <c r="BM155">
        <v>11531967881.062355</v>
      </c>
      <c r="BN155">
        <v>13692230147.058825</v>
      </c>
      <c r="BO155" s="190">
        <v>14420947883.597883</v>
      </c>
    </row>
    <row r="156" spans="1:67">
      <c r="A156" t="s">
        <v>788</v>
      </c>
      <c r="B156" t="s">
        <v>789</v>
      </c>
      <c r="C156" t="s">
        <v>1018</v>
      </c>
      <c r="D156" t="s">
        <v>1019</v>
      </c>
      <c r="E156">
        <v>673081724.07596612</v>
      </c>
      <c r="F156">
        <v>699161943.85673332</v>
      </c>
      <c r="G156">
        <v>739286906.85116255</v>
      </c>
      <c r="H156">
        <v>759345862.97092938</v>
      </c>
      <c r="I156">
        <v>802482182.92376816</v>
      </c>
      <c r="J156">
        <v>833563472.16191125</v>
      </c>
      <c r="K156">
        <v>900264583.68772936</v>
      </c>
      <c r="L156">
        <v>956436931.14184177</v>
      </c>
      <c r="M156">
        <v>1031669636.3606161</v>
      </c>
      <c r="N156">
        <v>1056391054.5379362</v>
      </c>
      <c r="O156">
        <v>1111859569.7706633</v>
      </c>
      <c r="P156">
        <v>1199507629.9922199</v>
      </c>
      <c r="Q156">
        <v>1341590681.5859952</v>
      </c>
      <c r="R156">
        <v>1653062347.3637757</v>
      </c>
      <c r="S156">
        <v>1917508190.0468938</v>
      </c>
      <c r="T156">
        <v>2283049233.2858095</v>
      </c>
      <c r="U156">
        <v>2181844193.9238834</v>
      </c>
      <c r="V156">
        <v>2358930406.4289641</v>
      </c>
      <c r="W156">
        <v>2669755115.5037217</v>
      </c>
      <c r="X156">
        <v>3463565881.4221516</v>
      </c>
      <c r="Y156">
        <v>5201818348.9272699</v>
      </c>
      <c r="Z156">
        <v>4759333969.832757</v>
      </c>
      <c r="AA156">
        <v>4784977348.9318695</v>
      </c>
      <c r="AB156">
        <v>4686457013.0812988</v>
      </c>
      <c r="AC156">
        <v>3905938480.8611917</v>
      </c>
      <c r="AD156">
        <v>3802557894.8719015</v>
      </c>
      <c r="AE156">
        <v>4347989798.8070498</v>
      </c>
      <c r="AF156">
        <v>3212900560.8172941</v>
      </c>
      <c r="AG156">
        <v>3189456961.270412</v>
      </c>
      <c r="AH156">
        <v>3175638332.6447086</v>
      </c>
      <c r="AI156">
        <v>3931334870.6285014</v>
      </c>
      <c r="AJ156">
        <v>3254713056.0217071</v>
      </c>
      <c r="AK156">
        <v>3714966675.0120745</v>
      </c>
      <c r="AL156">
        <v>4063298919.2868047</v>
      </c>
      <c r="AM156">
        <v>3522227094.1422267</v>
      </c>
      <c r="AN156">
        <v>3838100902.2501173</v>
      </c>
      <c r="AO156">
        <v>4931861036.6836853</v>
      </c>
      <c r="AP156">
        <v>4262965421.145586</v>
      </c>
      <c r="AQ156">
        <v>4401967634.0854654</v>
      </c>
      <c r="AR156">
        <v>4277903780.2913055</v>
      </c>
      <c r="AS156">
        <v>4629247204.9853001</v>
      </c>
      <c r="AT156">
        <v>5438332600.53228</v>
      </c>
      <c r="AU156">
        <v>5351701664.7136173</v>
      </c>
      <c r="AV156">
        <v>6372498891.3811817</v>
      </c>
      <c r="AW156">
        <v>5064732625.3905439</v>
      </c>
      <c r="AX156">
        <v>5859269751.6382608</v>
      </c>
      <c r="AY156">
        <v>6395712491.7514629</v>
      </c>
      <c r="AZ156">
        <v>8524620890.8803883</v>
      </c>
      <c r="BA156">
        <v>10725137721.562231</v>
      </c>
      <c r="BB156">
        <v>9616879407.5947361</v>
      </c>
      <c r="BC156">
        <v>9982711338.1181374</v>
      </c>
      <c r="BD156">
        <v>11551819617.627125</v>
      </c>
      <c r="BE156">
        <v>11578975063.797459</v>
      </c>
      <c r="BF156">
        <v>12423555457.0352</v>
      </c>
      <c r="BG156">
        <v>12522957401.039539</v>
      </c>
      <c r="BH156">
        <v>11323020699.912802</v>
      </c>
      <c r="BI156">
        <v>11848613859.527927</v>
      </c>
      <c r="BJ156">
        <v>13176313593.550934</v>
      </c>
      <c r="BK156">
        <v>13760033282.607086</v>
      </c>
      <c r="BL156">
        <v>14104664677.962736</v>
      </c>
      <c r="BM156">
        <v>13051441203.447412</v>
      </c>
      <c r="BN156">
        <v>14554754115.211184</v>
      </c>
      <c r="BO156" s="190">
        <v>14954967604.407259</v>
      </c>
    </row>
    <row r="157" spans="1:67">
      <c r="A157" t="s">
        <v>790</v>
      </c>
      <c r="B157" t="s">
        <v>791</v>
      </c>
      <c r="C157" t="s">
        <v>1018</v>
      </c>
      <c r="D157" t="s">
        <v>1019</v>
      </c>
      <c r="Y157">
        <v>42463576.164564714</v>
      </c>
      <c r="Z157">
        <v>44781456.959573701</v>
      </c>
      <c r="AA157">
        <v>47911342.416418083</v>
      </c>
      <c r="AB157">
        <v>57829787.242245361</v>
      </c>
      <c r="AC157">
        <v>109503546.10576268</v>
      </c>
      <c r="AD157">
        <v>127190757.95998873</v>
      </c>
      <c r="AE157">
        <v>141882254.23017761</v>
      </c>
      <c r="AF157">
        <v>141223029.38306406</v>
      </c>
      <c r="AG157">
        <v>168514513.37507114</v>
      </c>
      <c r="AH157">
        <v>189514434.24399954</v>
      </c>
      <c r="AI157">
        <v>215043969.84924623</v>
      </c>
      <c r="AJ157">
        <v>244396761.92333952</v>
      </c>
      <c r="AK157">
        <v>284875818.02412587</v>
      </c>
      <c r="AL157">
        <v>322417837.16197103</v>
      </c>
      <c r="AM157">
        <v>356014932.13646072</v>
      </c>
      <c r="AN157">
        <v>398988954.97026342</v>
      </c>
      <c r="AO157">
        <v>450382327.95242143</v>
      </c>
      <c r="AP157">
        <v>508223602.3789295</v>
      </c>
      <c r="AQ157">
        <v>540096397.6210705</v>
      </c>
      <c r="AR157">
        <v>589239753.61087513</v>
      </c>
      <c r="AS157">
        <v>624337145.28462195</v>
      </c>
      <c r="AT157">
        <v>870031653.10915458</v>
      </c>
      <c r="AU157">
        <v>897031250</v>
      </c>
      <c r="AV157">
        <v>1052121054.6875</v>
      </c>
      <c r="AW157">
        <v>1226829562.5</v>
      </c>
      <c r="AX157">
        <v>1163362437.5</v>
      </c>
      <c r="AY157">
        <v>1575200390.625</v>
      </c>
      <c r="AZ157">
        <v>1868383460.9375</v>
      </c>
      <c r="BA157">
        <v>2271646187.5</v>
      </c>
      <c r="BB157">
        <v>2345294875</v>
      </c>
      <c r="BC157">
        <v>2588176054.6875</v>
      </c>
      <c r="BD157">
        <v>2774350163.3477278</v>
      </c>
      <c r="BE157">
        <v>2886163937.7796335</v>
      </c>
      <c r="BF157">
        <v>3295009231.0073929</v>
      </c>
      <c r="BG157">
        <v>3697353155.0488272</v>
      </c>
      <c r="BH157">
        <v>4109416450.2251368</v>
      </c>
      <c r="BI157">
        <v>4379134272.942997</v>
      </c>
      <c r="BJ157">
        <v>4754185598.8417006</v>
      </c>
      <c r="BK157">
        <v>5300949822.9980507</v>
      </c>
      <c r="BL157">
        <v>5609385433.5919952</v>
      </c>
      <c r="BM157">
        <v>3746329358.287879</v>
      </c>
      <c r="BN157">
        <v>5405557161.7379856</v>
      </c>
      <c r="BO157" s="190">
        <v>6189865408.2315845</v>
      </c>
    </row>
    <row r="158" spans="1:67">
      <c r="A158" t="s">
        <v>792</v>
      </c>
      <c r="B158" t="s">
        <v>793</v>
      </c>
      <c r="C158" t="s">
        <v>1018</v>
      </c>
      <c r="D158" t="s">
        <v>1019</v>
      </c>
      <c r="M158">
        <v>44717172685.555733</v>
      </c>
      <c r="N158">
        <v>49452094477.50106</v>
      </c>
      <c r="O158">
        <v>55907595961.076492</v>
      </c>
      <c r="P158">
        <v>66167288440.852013</v>
      </c>
      <c r="Q158">
        <v>80153352071.265915</v>
      </c>
      <c r="R158">
        <v>108540898880.85559</v>
      </c>
      <c r="S158">
        <v>202706813870.31842</v>
      </c>
      <c r="T158">
        <v>224132579904.44028</v>
      </c>
      <c r="U158">
        <v>283341231553.81091</v>
      </c>
      <c r="V158">
        <v>329435259580.60358</v>
      </c>
      <c r="W158">
        <v>351690865692.24536</v>
      </c>
      <c r="X158">
        <v>461667110191.48828</v>
      </c>
      <c r="Y158">
        <v>597897341101.21692</v>
      </c>
      <c r="Z158">
        <v>619069917329.91809</v>
      </c>
      <c r="AA158">
        <v>618158392045.23218</v>
      </c>
      <c r="AB158">
        <v>625718271828.56641</v>
      </c>
      <c r="AC158">
        <v>638070519986.11182</v>
      </c>
      <c r="AD158">
        <v>654706689124.5105</v>
      </c>
      <c r="AE158">
        <v>672465558770.203</v>
      </c>
      <c r="AF158">
        <v>619200038894.05505</v>
      </c>
      <c r="AG158">
        <v>586915526240.98022</v>
      </c>
      <c r="AH158">
        <v>609483584498.44055</v>
      </c>
      <c r="AI158">
        <v>805603843643.1886</v>
      </c>
      <c r="AJ158">
        <v>563853412811.68567</v>
      </c>
      <c r="AK158">
        <v>616122411879.78113</v>
      </c>
      <c r="AL158">
        <v>625486004394.75891</v>
      </c>
      <c r="AM158">
        <v>659806409519.31165</v>
      </c>
      <c r="AN158">
        <v>743609670481.60718</v>
      </c>
      <c r="AO158">
        <v>840153956522.40027</v>
      </c>
      <c r="AP158">
        <v>883633046666.93054</v>
      </c>
      <c r="AQ158">
        <v>868792917633.37769</v>
      </c>
      <c r="AR158">
        <v>942196788206.79077</v>
      </c>
      <c r="AS158">
        <v>1054434624566.125</v>
      </c>
      <c r="AT158">
        <v>1049626453935.2023</v>
      </c>
      <c r="AU158">
        <v>1044708616047.0729</v>
      </c>
      <c r="AV158">
        <v>1158767180290.354</v>
      </c>
      <c r="AW158">
        <v>1367527495933.2327</v>
      </c>
      <c r="AX158">
        <v>1643484575866.9116</v>
      </c>
      <c r="AY158">
        <v>1924931009374.3704</v>
      </c>
      <c r="AZ158">
        <v>2272332400470.5024</v>
      </c>
      <c r="BA158">
        <v>2830408013082.1299</v>
      </c>
      <c r="BB158">
        <v>2556999251658.5571</v>
      </c>
      <c r="BC158">
        <v>2984420804908.8511</v>
      </c>
      <c r="BD158">
        <v>3368261589778.9795</v>
      </c>
      <c r="BE158">
        <v>3642052757122.0718</v>
      </c>
      <c r="BF158">
        <v>3581785122621.9404</v>
      </c>
      <c r="BG158">
        <v>3602485542648.4619</v>
      </c>
      <c r="BH158">
        <v>3179422230864.3242</v>
      </c>
      <c r="BI158">
        <v>3213372950118.3716</v>
      </c>
      <c r="BJ158">
        <v>3352271233734.4604</v>
      </c>
      <c r="BK158">
        <v>3516514202416.8823</v>
      </c>
      <c r="BL158">
        <v>3522808006382.4653</v>
      </c>
      <c r="BM158">
        <v>3157878645367.8989</v>
      </c>
      <c r="BN158">
        <v>3740992832406.2637</v>
      </c>
      <c r="BO158" s="190">
        <v>4414423065617.2764</v>
      </c>
    </row>
    <row r="159" spans="1:67">
      <c r="A159" t="s">
        <v>794</v>
      </c>
      <c r="B159" t="s">
        <v>795</v>
      </c>
      <c r="C159" t="s">
        <v>1018</v>
      </c>
      <c r="D159" t="s">
        <v>1019</v>
      </c>
      <c r="E159">
        <v>13039999986.959999</v>
      </c>
      <c r="F159">
        <v>14159999985.84</v>
      </c>
      <c r="G159">
        <v>15199999984.799999</v>
      </c>
      <c r="H159">
        <v>16959999983.040001</v>
      </c>
      <c r="I159">
        <v>20079999979.919998</v>
      </c>
      <c r="J159">
        <v>21839999978.16</v>
      </c>
      <c r="K159">
        <v>24319999975.68</v>
      </c>
      <c r="L159">
        <v>26559999973.439999</v>
      </c>
      <c r="M159">
        <v>29359999970.639999</v>
      </c>
      <c r="N159">
        <v>32479999967.52</v>
      </c>
      <c r="O159">
        <v>35519999964.480003</v>
      </c>
      <c r="P159">
        <v>39199999964.066772</v>
      </c>
      <c r="Q159">
        <v>45199916695.035172</v>
      </c>
      <c r="R159">
        <v>55280212668.412407</v>
      </c>
      <c r="S159">
        <v>72000179025.504089</v>
      </c>
      <c r="T159">
        <v>88000000000</v>
      </c>
      <c r="U159">
        <v>88876787990.912827</v>
      </c>
      <c r="V159">
        <v>81912502624.467422</v>
      </c>
      <c r="W159">
        <v>102647292867.00072</v>
      </c>
      <c r="X159">
        <v>134529639571.99583</v>
      </c>
      <c r="Y159">
        <v>205576980831.51395</v>
      </c>
      <c r="Z159">
        <v>263802132208.63596</v>
      </c>
      <c r="AA159">
        <v>184603593511.16104</v>
      </c>
      <c r="AB159">
        <v>156167542258.05963</v>
      </c>
      <c r="AC159">
        <v>184231211497.05383</v>
      </c>
      <c r="AD159">
        <v>195241386179.14777</v>
      </c>
      <c r="AE159">
        <v>134556126316.61986</v>
      </c>
      <c r="AF159">
        <v>147542611736.83456</v>
      </c>
      <c r="AG159">
        <v>181611150496.78741</v>
      </c>
      <c r="AH159">
        <v>221403143240.479</v>
      </c>
      <c r="AI159">
        <v>261253660211.68408</v>
      </c>
      <c r="AJ159">
        <v>313139656145.74463</v>
      </c>
      <c r="AK159">
        <v>363157793810.13629</v>
      </c>
      <c r="AL159">
        <v>500733386969.94122</v>
      </c>
      <c r="AM159">
        <v>527810631731.24823</v>
      </c>
      <c r="AN159">
        <v>360072506961.29321</v>
      </c>
      <c r="AO159">
        <v>410972976953.22852</v>
      </c>
      <c r="AP159">
        <v>500416010941.52148</v>
      </c>
      <c r="AQ159">
        <v>526499723362.14423</v>
      </c>
      <c r="AR159">
        <v>600233031001.06445</v>
      </c>
      <c r="AS159">
        <v>707909864021.7793</v>
      </c>
      <c r="AT159">
        <v>756702925694.03967</v>
      </c>
      <c r="AU159">
        <v>772109710670.87268</v>
      </c>
      <c r="AV159">
        <v>729335024013.22485</v>
      </c>
      <c r="AW159">
        <v>782242912348.37134</v>
      </c>
      <c r="AX159">
        <v>877476892365.26367</v>
      </c>
      <c r="AY159">
        <v>975383402912.58496</v>
      </c>
      <c r="AZ159">
        <v>1052697085016.3497</v>
      </c>
      <c r="BA159">
        <v>1109987401386.375</v>
      </c>
      <c r="BB159">
        <v>900047015737.99487</v>
      </c>
      <c r="BC159">
        <v>1057800597973.6508</v>
      </c>
      <c r="BD159">
        <v>1180487226406.7791</v>
      </c>
      <c r="BE159">
        <v>1201093787127.416</v>
      </c>
      <c r="BF159">
        <v>1274443916251.6384</v>
      </c>
      <c r="BG159">
        <v>1315356131262.4836</v>
      </c>
      <c r="BH159">
        <v>1171870072962.7612</v>
      </c>
      <c r="BI159">
        <v>1078493059306.9497</v>
      </c>
      <c r="BJ159">
        <v>1158912015259.0129</v>
      </c>
      <c r="BK159">
        <v>1222405556421.1277</v>
      </c>
      <c r="BL159">
        <v>1269009571610.7576</v>
      </c>
      <c r="BM159">
        <v>1090514966785.9084</v>
      </c>
      <c r="BN159">
        <v>1272838810896.0928</v>
      </c>
      <c r="BO159" s="190">
        <v>1414187193992.2544</v>
      </c>
    </row>
    <row r="160" spans="1:67">
      <c r="A160" t="s">
        <v>796</v>
      </c>
      <c r="B160" t="s">
        <v>797</v>
      </c>
      <c r="C160" t="s">
        <v>1018</v>
      </c>
      <c r="D160" t="s">
        <v>1019</v>
      </c>
      <c r="Z160">
        <v>31020000</v>
      </c>
      <c r="AA160">
        <v>34918000</v>
      </c>
      <c r="AB160">
        <v>41749000</v>
      </c>
      <c r="AC160">
        <v>45144000</v>
      </c>
      <c r="AD160">
        <v>43879000</v>
      </c>
      <c r="AE160">
        <v>55989000</v>
      </c>
      <c r="AF160">
        <v>62983000</v>
      </c>
      <c r="AG160">
        <v>70688000</v>
      </c>
      <c r="AH160">
        <v>72798000</v>
      </c>
      <c r="AI160">
        <v>78476000</v>
      </c>
      <c r="AJ160">
        <v>82507000</v>
      </c>
      <c r="AK160">
        <v>91063000</v>
      </c>
      <c r="AL160">
        <v>99461000</v>
      </c>
      <c r="AM160">
        <v>108071000</v>
      </c>
      <c r="AN160">
        <v>120230000</v>
      </c>
      <c r="AO160">
        <v>110858000</v>
      </c>
      <c r="AP160">
        <v>110705600</v>
      </c>
      <c r="AQ160">
        <v>112279400</v>
      </c>
      <c r="AR160">
        <v>114326300</v>
      </c>
      <c r="AS160">
        <v>115347500</v>
      </c>
      <c r="AT160">
        <v>122824000</v>
      </c>
      <c r="AU160">
        <v>131738200</v>
      </c>
      <c r="AV160">
        <v>131398500.00000001</v>
      </c>
      <c r="AW160">
        <v>132934599.99999999</v>
      </c>
      <c r="AX160">
        <v>137666300</v>
      </c>
      <c r="AY160">
        <v>142745200</v>
      </c>
      <c r="AZ160">
        <v>149870000</v>
      </c>
      <c r="BA160">
        <v>145969100</v>
      </c>
      <c r="BB160">
        <v>150624900</v>
      </c>
      <c r="BC160">
        <v>160318500</v>
      </c>
      <c r="BD160">
        <v>171567100</v>
      </c>
      <c r="BE160">
        <v>179855800</v>
      </c>
      <c r="BF160">
        <v>185468000</v>
      </c>
      <c r="BG160">
        <v>185172900</v>
      </c>
      <c r="BH160">
        <v>182997300</v>
      </c>
      <c r="BI160">
        <v>200716000</v>
      </c>
      <c r="BJ160">
        <v>212701200</v>
      </c>
      <c r="BK160">
        <v>219330300</v>
      </c>
      <c r="BL160">
        <v>232092300</v>
      </c>
      <c r="BM160">
        <v>241722400</v>
      </c>
      <c r="BN160">
        <v>259538700</v>
      </c>
      <c r="BO160" s="190">
        <v>279667900</v>
      </c>
    </row>
    <row r="161" spans="1:67">
      <c r="A161" t="s">
        <v>798</v>
      </c>
      <c r="B161" t="s">
        <v>799</v>
      </c>
      <c r="C161" t="s">
        <v>1018</v>
      </c>
      <c r="D161" t="s">
        <v>1019</v>
      </c>
      <c r="E161">
        <v>316376209430.5213</v>
      </c>
      <c r="F161">
        <v>313303886062.98651</v>
      </c>
      <c r="G161">
        <v>320085524430.74622</v>
      </c>
      <c r="H161">
        <v>343208421071.06641</v>
      </c>
      <c r="I161">
        <v>390696261920.41327</v>
      </c>
      <c r="J161">
        <v>431007931276.02496</v>
      </c>
      <c r="K161">
        <v>446005445246.8927</v>
      </c>
      <c r="L161">
        <v>458085789271.23822</v>
      </c>
      <c r="M161">
        <v>483839604813.95294</v>
      </c>
      <c r="N161">
        <v>540752617375.3714</v>
      </c>
      <c r="O161">
        <v>594602858158.58276</v>
      </c>
      <c r="P161">
        <v>639144217439.17261</v>
      </c>
      <c r="Q161">
        <v>715919582279.35291</v>
      </c>
      <c r="R161">
        <v>914833294251.13721</v>
      </c>
      <c r="S161">
        <v>1161069117578.9854</v>
      </c>
      <c r="T161">
        <v>1282604977967.1301</v>
      </c>
      <c r="U161">
        <v>1378256736089.2021</v>
      </c>
      <c r="V161">
        <v>1545854791100.5291</v>
      </c>
      <c r="W161">
        <v>1715904581161.5444</v>
      </c>
      <c r="X161">
        <v>1992288749673.428</v>
      </c>
      <c r="Y161">
        <v>2353291017161.0166</v>
      </c>
      <c r="Z161">
        <v>2649954735161.4487</v>
      </c>
      <c r="AA161">
        <v>2609362555753.7305</v>
      </c>
      <c r="AB161">
        <v>2520772212451.6157</v>
      </c>
      <c r="AC161">
        <v>2599512223206.915</v>
      </c>
      <c r="AD161">
        <v>2696619172045.7217</v>
      </c>
      <c r="AE161">
        <v>2798928238733.8159</v>
      </c>
      <c r="AF161">
        <v>2899470710783.8281</v>
      </c>
      <c r="AG161">
        <v>3084956766681.6343</v>
      </c>
      <c r="AH161">
        <v>3216442505896.8301</v>
      </c>
      <c r="AI161">
        <v>3697346151633.1699</v>
      </c>
      <c r="AJ161">
        <v>3553641933496.7852</v>
      </c>
      <c r="AK161">
        <v>3712563843245.603</v>
      </c>
      <c r="AL161">
        <v>3965957275221.9194</v>
      </c>
      <c r="AM161">
        <v>4298394115140.0938</v>
      </c>
      <c r="AN161">
        <v>4825314214232.5381</v>
      </c>
      <c r="AO161">
        <v>5288859968669.8232</v>
      </c>
      <c r="AP161">
        <v>5596554559132.6514</v>
      </c>
      <c r="AQ161">
        <v>5414212859323.6484</v>
      </c>
      <c r="AR161">
        <v>5297090345599.2148</v>
      </c>
      <c r="AS161">
        <v>5776761011405.6182</v>
      </c>
      <c r="AT161">
        <v>5831560036561.6299</v>
      </c>
      <c r="AU161">
        <v>5970192042162.1953</v>
      </c>
      <c r="AV161">
        <v>6732418464358.1709</v>
      </c>
      <c r="AW161">
        <v>7992081898929.6768</v>
      </c>
      <c r="AX161">
        <v>9511305976468.1406</v>
      </c>
      <c r="AY161">
        <v>11293666564845.092</v>
      </c>
      <c r="AZ161">
        <v>13954903602793.242</v>
      </c>
      <c r="BA161">
        <v>16694431978835.213</v>
      </c>
      <c r="BB161">
        <v>16305847816594.652</v>
      </c>
      <c r="BC161">
        <v>19889521929418.414</v>
      </c>
      <c r="BD161">
        <v>23725461596065.707</v>
      </c>
      <c r="BE161">
        <v>25291481601347.25</v>
      </c>
      <c r="BF161">
        <v>26794468512319.219</v>
      </c>
      <c r="BG161">
        <v>27693615809487.262</v>
      </c>
      <c r="BH161">
        <v>26235141991923.574</v>
      </c>
      <c r="BI161">
        <v>26474239454559.891</v>
      </c>
      <c r="BJ161">
        <v>29101978685393.68</v>
      </c>
      <c r="BK161">
        <v>30947243041064.906</v>
      </c>
      <c r="BL161">
        <v>31667498458543.125</v>
      </c>
      <c r="BM161">
        <v>30547251417511.996</v>
      </c>
      <c r="BN161">
        <v>36066152279426.688</v>
      </c>
      <c r="BO161" s="190">
        <v>38164267887582.492</v>
      </c>
    </row>
    <row r="162" spans="1:67">
      <c r="A162" t="s">
        <v>800</v>
      </c>
      <c r="B162" t="s">
        <v>801</v>
      </c>
      <c r="C162" t="s">
        <v>1018</v>
      </c>
      <c r="D162" t="s">
        <v>1019</v>
      </c>
      <c r="AI162">
        <v>4699646643.1095409</v>
      </c>
      <c r="AJ162">
        <v>4938775510.2040815</v>
      </c>
      <c r="AK162">
        <v>2436849341.9760361</v>
      </c>
      <c r="AL162">
        <v>2682456896.5517244</v>
      </c>
      <c r="AM162">
        <v>3559608612.5577931</v>
      </c>
      <c r="AN162">
        <v>4707041273.8233109</v>
      </c>
      <c r="AO162">
        <v>4642021256.3068905</v>
      </c>
      <c r="AP162">
        <v>3912986090.9736319</v>
      </c>
      <c r="AQ162">
        <v>3765745000.1591353</v>
      </c>
      <c r="AR162">
        <v>3863619262.1461482</v>
      </c>
      <c r="AS162">
        <v>3772859053.2877159</v>
      </c>
      <c r="AT162">
        <v>3709636012.49122</v>
      </c>
      <c r="AU162">
        <v>4018365767.8249388</v>
      </c>
      <c r="AV162">
        <v>4946296568.7331085</v>
      </c>
      <c r="AW162">
        <v>5682784433.3595581</v>
      </c>
      <c r="AX162">
        <v>6258602830.3485203</v>
      </c>
      <c r="AY162">
        <v>6861227018.4207764</v>
      </c>
      <c r="AZ162">
        <v>8336475035.8541536</v>
      </c>
      <c r="BA162">
        <v>9909552355.6155777</v>
      </c>
      <c r="BB162">
        <v>9401736825.4268799</v>
      </c>
      <c r="BC162">
        <v>9407170388.8336182</v>
      </c>
      <c r="BD162">
        <v>10494626767.64451</v>
      </c>
      <c r="BE162">
        <v>9745261300.5778828</v>
      </c>
      <c r="BF162">
        <v>10817702423.788588</v>
      </c>
      <c r="BG162">
        <v>11362265293.558107</v>
      </c>
      <c r="BH162">
        <v>10064519962.565548</v>
      </c>
      <c r="BI162">
        <v>10672467073.287252</v>
      </c>
      <c r="BJ162">
        <v>11307067000.718773</v>
      </c>
      <c r="BK162">
        <v>12683068033.104256</v>
      </c>
      <c r="BL162">
        <v>12606338448.546968</v>
      </c>
      <c r="BM162">
        <v>12363580534.68112</v>
      </c>
      <c r="BN162">
        <v>13825049831.79586</v>
      </c>
      <c r="BO162" s="190">
        <v>13563132057.248617</v>
      </c>
    </row>
    <row r="163" spans="1:67">
      <c r="A163" t="s">
        <v>802</v>
      </c>
      <c r="B163" t="s">
        <v>803</v>
      </c>
      <c r="C163" t="s">
        <v>1018</v>
      </c>
      <c r="D163" t="s">
        <v>1019</v>
      </c>
      <c r="L163">
        <v>275494477.81984043</v>
      </c>
      <c r="M163">
        <v>343771973.33135653</v>
      </c>
      <c r="N163">
        <v>339913866.63352269</v>
      </c>
      <c r="O163">
        <v>359772315.06725597</v>
      </c>
      <c r="P163">
        <v>395218629.37233633</v>
      </c>
      <c r="Q163">
        <v>486617279.36226213</v>
      </c>
      <c r="R163">
        <v>563683703.17009425</v>
      </c>
      <c r="S163">
        <v>538747340.76666057</v>
      </c>
      <c r="T163">
        <v>830710613.85733545</v>
      </c>
      <c r="U163">
        <v>939228016.1980778</v>
      </c>
      <c r="V163">
        <v>1049838549.9612966</v>
      </c>
      <c r="W163">
        <v>1222702571.5793076</v>
      </c>
      <c r="X163">
        <v>1595422953.6764848</v>
      </c>
      <c r="Y163">
        <v>1759691182.945966</v>
      </c>
      <c r="Z163">
        <v>1538972426.913105</v>
      </c>
      <c r="AA163">
        <v>1333754226.2212319</v>
      </c>
      <c r="AB163">
        <v>1297765325.8188527</v>
      </c>
      <c r="AC163">
        <v>1232932104.670928</v>
      </c>
      <c r="AD163">
        <v>1392196048.8906353</v>
      </c>
      <c r="AE163">
        <v>1852163455.5359812</v>
      </c>
      <c r="AF163">
        <v>2090629984.183615</v>
      </c>
      <c r="AG163">
        <v>2169040604.5092936</v>
      </c>
      <c r="AH163">
        <v>2181821905.9419599</v>
      </c>
      <c r="AI163">
        <v>2681912149.1476669</v>
      </c>
      <c r="AJ163">
        <v>2724131460.1082654</v>
      </c>
      <c r="AK163">
        <v>2830673380.7974257</v>
      </c>
      <c r="AL163">
        <v>2818281080.1098428</v>
      </c>
      <c r="AM163">
        <v>2081846499.0375116</v>
      </c>
      <c r="AN163">
        <v>2706425157.9290705</v>
      </c>
      <c r="AO163">
        <v>2780422047.7308464</v>
      </c>
      <c r="AP163">
        <v>2697105821.8330727</v>
      </c>
      <c r="AQ163">
        <v>2920358712.648243</v>
      </c>
      <c r="AR163">
        <v>3440724707.8083382</v>
      </c>
      <c r="AS163">
        <v>2961484953.7336402</v>
      </c>
      <c r="AT163">
        <v>3468337941.0883007</v>
      </c>
      <c r="AU163">
        <v>3908121309.8568058</v>
      </c>
      <c r="AV163">
        <v>4714071978.2863512</v>
      </c>
      <c r="AW163">
        <v>5454249122.7138948</v>
      </c>
      <c r="AX163">
        <v>6247515892.296937</v>
      </c>
      <c r="AY163">
        <v>6905934219.2946749</v>
      </c>
      <c r="AZ163">
        <v>8156468818.0086803</v>
      </c>
      <c r="BA163">
        <v>9838403090.9585896</v>
      </c>
      <c r="BB163">
        <v>10231962382.784224</v>
      </c>
      <c r="BC163">
        <v>10689168011.444891</v>
      </c>
      <c r="BD163">
        <v>12995112698.01017</v>
      </c>
      <c r="BE163">
        <v>12442035328.035028</v>
      </c>
      <c r="BF163">
        <v>13242690790.055712</v>
      </c>
      <c r="BG163">
        <v>14364937127.700232</v>
      </c>
      <c r="BH163">
        <v>13104764378.711418</v>
      </c>
      <c r="BI163">
        <v>14026048334.213051</v>
      </c>
      <c r="BJ163">
        <v>15365713059.105669</v>
      </c>
      <c r="BK163">
        <v>17070867577.666571</v>
      </c>
      <c r="BL163">
        <v>17280250805.224545</v>
      </c>
      <c r="BM163">
        <v>17465392779.036621</v>
      </c>
      <c r="BN163">
        <v>19309463505.983288</v>
      </c>
      <c r="BO163" s="190">
        <v>18827176532.316879</v>
      </c>
    </row>
    <row r="164" spans="1:67">
      <c r="A164" t="s">
        <v>804</v>
      </c>
      <c r="B164" t="s">
        <v>805</v>
      </c>
      <c r="C164" t="s">
        <v>1018</v>
      </c>
      <c r="D164" t="s">
        <v>1019</v>
      </c>
      <c r="O164">
        <v>250721821.55367813</v>
      </c>
      <c r="P164">
        <v>264579879.78487819</v>
      </c>
      <c r="Q164">
        <v>295118249.32493252</v>
      </c>
      <c r="R164">
        <v>345602025.37539285</v>
      </c>
      <c r="S164">
        <v>376094108.47533131</v>
      </c>
      <c r="T164">
        <v>474620439.5849604</v>
      </c>
      <c r="U164">
        <v>527936988.79127544</v>
      </c>
      <c r="V164">
        <v>625573345.53217447</v>
      </c>
      <c r="W164">
        <v>793675169.87857854</v>
      </c>
      <c r="X164">
        <v>1001300838.3233533</v>
      </c>
      <c r="Y164">
        <v>1250242107.8796918</v>
      </c>
      <c r="Z164">
        <v>1243469360.5683837</v>
      </c>
      <c r="AA164">
        <v>1234518125</v>
      </c>
      <c r="AB164">
        <v>1165771369.0062542</v>
      </c>
      <c r="AC164">
        <v>1101828568.7680416</v>
      </c>
      <c r="AD164">
        <v>1117835285.5051246</v>
      </c>
      <c r="AE164">
        <v>1435079200.3495741</v>
      </c>
      <c r="AF164">
        <v>1751247763.4194832</v>
      </c>
      <c r="AG164">
        <v>2019474244.1935902</v>
      </c>
      <c r="AH164">
        <v>2118574772.1113575</v>
      </c>
      <c r="AI164">
        <v>2547163582.3314872</v>
      </c>
      <c r="AJ164">
        <v>2750041434.262948</v>
      </c>
      <c r="AK164">
        <v>3021910216.718266</v>
      </c>
      <c r="AL164">
        <v>2709178326.7827063</v>
      </c>
      <c r="AM164">
        <v>2998570146.5409522</v>
      </c>
      <c r="AN164">
        <v>3461332684.8249025</v>
      </c>
      <c r="AO164">
        <v>3585755121.4864221</v>
      </c>
      <c r="AP164">
        <v>3722389055.7223892</v>
      </c>
      <c r="AQ164">
        <v>3958227428.4451318</v>
      </c>
      <c r="AR164">
        <v>4155187257.8562202</v>
      </c>
      <c r="AS164">
        <v>4323339212.2281017</v>
      </c>
      <c r="AT164">
        <v>4355146427.549366</v>
      </c>
      <c r="AU164">
        <v>4693495693.4956932</v>
      </c>
      <c r="AV164">
        <v>5489359280.755662</v>
      </c>
      <c r="AW164">
        <v>6116591928.2511215</v>
      </c>
      <c r="AX164">
        <v>6407287650.7897024</v>
      </c>
      <c r="AY164">
        <v>6778321415.1298456</v>
      </c>
      <c r="AZ164">
        <v>7925403777.7169447</v>
      </c>
      <c r="BA164">
        <v>9090376446.4625759</v>
      </c>
      <c r="BB164">
        <v>8696304529.0358429</v>
      </c>
      <c r="BC164">
        <v>9035819656.6668987</v>
      </c>
      <c r="BD164">
        <v>9638733344.3580627</v>
      </c>
      <c r="BE164">
        <v>9461826174.0234394</v>
      </c>
      <c r="BF164">
        <v>10550968138.94129</v>
      </c>
      <c r="BG164">
        <v>11625843213.607616</v>
      </c>
      <c r="BH164">
        <v>11091467513.710932</v>
      </c>
      <c r="BI164">
        <v>11667976402.762997</v>
      </c>
      <c r="BJ164">
        <v>13489296992.000145</v>
      </c>
      <c r="BK164">
        <v>15298004130.497538</v>
      </c>
      <c r="BL164">
        <v>15881258056.200928</v>
      </c>
      <c r="BM164">
        <v>15046136935.481449</v>
      </c>
      <c r="BN164">
        <v>17743376199.352325</v>
      </c>
      <c r="BO164" s="190">
        <v>17765270014.757099</v>
      </c>
    </row>
    <row r="165" spans="1:67">
      <c r="A165" t="s">
        <v>806</v>
      </c>
      <c r="B165" t="s">
        <v>807</v>
      </c>
      <c r="C165" t="s">
        <v>1018</v>
      </c>
      <c r="D165" t="s">
        <v>1019</v>
      </c>
      <c r="F165">
        <v>584351384.46408796</v>
      </c>
      <c r="G165">
        <v>612517344.7562151</v>
      </c>
      <c r="H165">
        <v>659976659.59952879</v>
      </c>
      <c r="I165">
        <v>475197381.86825573</v>
      </c>
      <c r="J165">
        <v>402619413.64898401</v>
      </c>
      <c r="K165">
        <v>317816209.97375327</v>
      </c>
      <c r="L165">
        <v>328182434.54496074</v>
      </c>
      <c r="M165">
        <v>531186357.40598059</v>
      </c>
      <c r="N165">
        <v>551379225.91292584</v>
      </c>
      <c r="O165">
        <v>578992638.82910037</v>
      </c>
      <c r="P165">
        <v>559378375.67567563</v>
      </c>
      <c r="Q165">
        <v>634525053.10396421</v>
      </c>
      <c r="R165">
        <v>667038769.09196424</v>
      </c>
      <c r="S165">
        <v>1000557949.5922867</v>
      </c>
      <c r="T165">
        <v>1128484859.0250328</v>
      </c>
      <c r="U165">
        <v>1155595925.0851307</v>
      </c>
      <c r="V165">
        <v>1000350726.8741781</v>
      </c>
      <c r="W165">
        <v>916914661.34942114</v>
      </c>
      <c r="X165">
        <v>919525191.63639283</v>
      </c>
      <c r="Y165">
        <v>1010596805.4761786</v>
      </c>
      <c r="Z165">
        <v>1064867669.3890885</v>
      </c>
      <c r="AA165">
        <v>1302701536.673929</v>
      </c>
      <c r="AB165">
        <v>1427209835.801332</v>
      </c>
      <c r="AC165">
        <v>1354699245.0724132</v>
      </c>
      <c r="AD165">
        <v>1310837294.2583733</v>
      </c>
      <c r="AE165">
        <v>1590096758.9715197</v>
      </c>
      <c r="AF165">
        <v>1448003803.8624618</v>
      </c>
      <c r="AG165">
        <v>1392547742.8253479</v>
      </c>
      <c r="AH165">
        <v>1674823310.8625226</v>
      </c>
      <c r="AI165">
        <v>2036373522.6893921</v>
      </c>
      <c r="AJ165">
        <v>2137184858.0441639</v>
      </c>
      <c r="AK165">
        <v>2216072577.1134367</v>
      </c>
      <c r="AL165">
        <v>2809748387.0967741</v>
      </c>
      <c r="AM165">
        <v>3821535779.8165135</v>
      </c>
      <c r="AN165">
        <v>4879257847.7712164</v>
      </c>
      <c r="AO165">
        <v>5759624742.2680416</v>
      </c>
      <c r="AP165">
        <v>5633070602.5401573</v>
      </c>
      <c r="AQ165">
        <v>4613071494.6345892</v>
      </c>
      <c r="AR165">
        <v>5643818689.4789991</v>
      </c>
      <c r="AS165">
        <v>6849321645.9562302</v>
      </c>
      <c r="AT165">
        <v>6220270632.3359213</v>
      </c>
      <c r="AU165">
        <v>6110632857.6658421</v>
      </c>
      <c r="AV165">
        <v>7754647428.0732346</v>
      </c>
      <c r="AW165">
        <v>9390855297.7355328</v>
      </c>
      <c r="AX165">
        <v>10588433068.85494</v>
      </c>
      <c r="AY165">
        <v>11863016315.293356</v>
      </c>
      <c r="AZ165">
        <v>15591182544.709234</v>
      </c>
      <c r="BA165">
        <v>23013015832.102268</v>
      </c>
      <c r="BB165">
        <v>29455165594.685921</v>
      </c>
      <c r="BC165">
        <v>37796052938.72776</v>
      </c>
      <c r="BD165">
        <v>54118601974.794716</v>
      </c>
      <c r="BE165">
        <v>58318677644.949196</v>
      </c>
      <c r="BF165">
        <v>60572257122.296211</v>
      </c>
      <c r="BG165">
        <v>63264892768.37262</v>
      </c>
      <c r="BH165">
        <v>63045306513.931717</v>
      </c>
      <c r="BI165">
        <v>60291738934.776794</v>
      </c>
      <c r="BJ165">
        <v>61449391917.127579</v>
      </c>
      <c r="BK165">
        <v>67144726167.929352</v>
      </c>
      <c r="BL165">
        <v>68697761477.180862</v>
      </c>
      <c r="BM165">
        <v>78930259068.527451</v>
      </c>
      <c r="BN165">
        <v>65124769601.748184</v>
      </c>
      <c r="BO165" s="190">
        <v>59364362540.552376</v>
      </c>
    </row>
    <row r="166" spans="1:67">
      <c r="A166" t="s">
        <v>808</v>
      </c>
      <c r="B166" t="s">
        <v>809</v>
      </c>
      <c r="C166" t="s">
        <v>1018</v>
      </c>
      <c r="D166" t="s">
        <v>1019</v>
      </c>
      <c r="J166">
        <v>23810290583.673389</v>
      </c>
      <c r="K166">
        <v>24818305646.725929</v>
      </c>
      <c r="L166">
        <v>26868148665.623924</v>
      </c>
      <c r="M166">
        <v>29559642720.3405</v>
      </c>
      <c r="N166">
        <v>32795724265.066917</v>
      </c>
      <c r="O166">
        <v>37041045402.711853</v>
      </c>
      <c r="P166">
        <v>42465877969.778076</v>
      </c>
      <c r="Q166">
        <v>50671066925.676521</v>
      </c>
      <c r="R166">
        <v>67263875069.57431</v>
      </c>
      <c r="S166">
        <v>102537786306.18037</v>
      </c>
      <c r="T166">
        <v>119312125730.54871</v>
      </c>
      <c r="U166">
        <v>147273622929.50479</v>
      </c>
      <c r="V166">
        <v>170439957379.8121</v>
      </c>
      <c r="W166">
        <v>183193116894.237</v>
      </c>
      <c r="X166">
        <v>228497957185.14722</v>
      </c>
      <c r="Y166">
        <v>273628581283.87283</v>
      </c>
      <c r="Z166">
        <v>267035342020.83383</v>
      </c>
      <c r="AA166">
        <v>306280754022.57397</v>
      </c>
      <c r="AB166">
        <v>344207728574.36591</v>
      </c>
      <c r="AC166">
        <v>364418541881.34894</v>
      </c>
      <c r="AD166">
        <v>397323233713.94586</v>
      </c>
      <c r="AE166">
        <v>446510193616.13751</v>
      </c>
      <c r="AF166">
        <v>390485215638.73425</v>
      </c>
      <c r="AG166">
        <v>358479455706.05579</v>
      </c>
      <c r="AH166">
        <v>360489945430.16852</v>
      </c>
      <c r="AI166">
        <v>507141220137.50421</v>
      </c>
      <c r="AJ166">
        <v>262766643338.0011</v>
      </c>
      <c r="AK166">
        <v>289376729240.24323</v>
      </c>
      <c r="AL166">
        <v>297118261901.42053</v>
      </c>
      <c r="AM166">
        <v>318546529596.62329</v>
      </c>
      <c r="AN166">
        <v>371191412877.51685</v>
      </c>
      <c r="AO166">
        <v>427895550438.95215</v>
      </c>
      <c r="AP166">
        <v>452412290027.7514</v>
      </c>
      <c r="AQ166">
        <v>465947519773.79669</v>
      </c>
      <c r="AR166">
        <v>506226639650.33466</v>
      </c>
      <c r="AS166">
        <v>536175306891.65125</v>
      </c>
      <c r="AT166">
        <v>542328469799.70654</v>
      </c>
      <c r="AU166">
        <v>528297275874.73566</v>
      </c>
      <c r="AV166">
        <v>577707880430.59509</v>
      </c>
      <c r="AW166">
        <v>685783572798.75037</v>
      </c>
      <c r="AX166">
        <v>808536284369.61462</v>
      </c>
      <c r="AY166">
        <v>942305915002.96912</v>
      </c>
      <c r="AZ166">
        <v>1148311867090.24</v>
      </c>
      <c r="BA166">
        <v>1416250571755.3069</v>
      </c>
      <c r="BB166">
        <v>1378596088772.168</v>
      </c>
      <c r="BC166">
        <v>1587780320761.4658</v>
      </c>
      <c r="BD166">
        <v>1636401102296.0994</v>
      </c>
      <c r="BE166">
        <v>1764808551707.2979</v>
      </c>
      <c r="BF166">
        <v>1624047544310.3496</v>
      </c>
      <c r="BG166">
        <v>1600856731724.6091</v>
      </c>
      <c r="BH166">
        <v>1439069681066.1052</v>
      </c>
      <c r="BI166">
        <v>1475844914342.2415</v>
      </c>
      <c r="BJ166">
        <v>1476907778479.7346</v>
      </c>
      <c r="BK166">
        <v>1400046333583.24</v>
      </c>
      <c r="BL166">
        <v>1408624610717.2292</v>
      </c>
      <c r="BM166">
        <v>1284929306042.4946</v>
      </c>
      <c r="BN166">
        <v>1507013655174.5122</v>
      </c>
      <c r="BO166" s="190">
        <v>1676993028171.1729</v>
      </c>
    </row>
    <row r="167" spans="1:67">
      <c r="A167" t="s">
        <v>810</v>
      </c>
      <c r="B167" t="s">
        <v>811</v>
      </c>
      <c r="C167" t="s">
        <v>1018</v>
      </c>
      <c r="D167" t="s">
        <v>1019</v>
      </c>
      <c r="AS167">
        <v>984292969.87764931</v>
      </c>
      <c r="AT167">
        <v>1159869245.9251299</v>
      </c>
      <c r="AU167">
        <v>1284685050.5241289</v>
      </c>
      <c r="AV167">
        <v>1707710053.1493838</v>
      </c>
      <c r="AW167">
        <v>2073234417.6806555</v>
      </c>
      <c r="AX167">
        <v>2257174480.7859716</v>
      </c>
      <c r="AY167">
        <v>2721903148.9148159</v>
      </c>
      <c r="AZ167">
        <v>3680711743.7722421</v>
      </c>
      <c r="BA167">
        <v>4545674527.6109571</v>
      </c>
      <c r="BB167">
        <v>4159330369.5470963</v>
      </c>
      <c r="BC167">
        <v>4142983897.8333411</v>
      </c>
      <c r="BD167">
        <v>4544429062.5778303</v>
      </c>
      <c r="BE167">
        <v>4087525609.4308605</v>
      </c>
      <c r="BF167">
        <v>4465771672.6200123</v>
      </c>
      <c r="BG167">
        <v>4593852089.0956697</v>
      </c>
      <c r="BH167">
        <v>4054728172.943748</v>
      </c>
      <c r="BI167">
        <v>4376929571.6311388</v>
      </c>
      <c r="BJ167">
        <v>4856602178.6341257</v>
      </c>
      <c r="BK167">
        <v>5506944403.3019571</v>
      </c>
      <c r="BL167">
        <v>5542053845.2927351</v>
      </c>
      <c r="BM167">
        <v>4769995511.5524244</v>
      </c>
      <c r="BN167">
        <v>5861430525.5844736</v>
      </c>
      <c r="BO167" s="190">
        <v>6095978867.6992931</v>
      </c>
    </row>
    <row r="168" spans="1:67">
      <c r="A168" t="s">
        <v>812</v>
      </c>
      <c r="B168" t="s">
        <v>813</v>
      </c>
      <c r="C168" t="s">
        <v>1018</v>
      </c>
      <c r="D168" t="s">
        <v>1019</v>
      </c>
      <c r="Z168">
        <v>2310099100</v>
      </c>
      <c r="AA168">
        <v>2552401933.3333335</v>
      </c>
      <c r="AB168">
        <v>2725736633.3333335</v>
      </c>
      <c r="AC168">
        <v>2098734599.9999998</v>
      </c>
      <c r="AD168">
        <v>2186505475</v>
      </c>
      <c r="AE168">
        <v>2896178866.6666665</v>
      </c>
      <c r="AF168">
        <v>3020611600</v>
      </c>
      <c r="AG168">
        <v>3204461566.6666665</v>
      </c>
      <c r="AH168">
        <v>3576966800</v>
      </c>
      <c r="AI168">
        <v>2560785660</v>
      </c>
      <c r="AJ168">
        <v>2379018326.3157897</v>
      </c>
      <c r="AK168">
        <v>1317611863.8497653</v>
      </c>
      <c r="AL168">
        <v>768401634.15457308</v>
      </c>
      <c r="AM168">
        <v>925817092.217484</v>
      </c>
      <c r="AN168">
        <v>1452165005.2384031</v>
      </c>
      <c r="AO168">
        <v>1345719472.3588309</v>
      </c>
      <c r="AP168">
        <v>1180934202.8380105</v>
      </c>
      <c r="AQ168">
        <v>1124440204.4016123</v>
      </c>
      <c r="AR168">
        <v>1057408588.6826869</v>
      </c>
      <c r="AS168">
        <v>1136896123.6129804</v>
      </c>
      <c r="AT168">
        <v>1267997934.3125041</v>
      </c>
      <c r="AU168">
        <v>1396555719.9740865</v>
      </c>
      <c r="AV168">
        <v>1595297355.7834878</v>
      </c>
      <c r="AW168">
        <v>1992066808.0959773</v>
      </c>
      <c r="AX168">
        <v>2523471601.8021135</v>
      </c>
      <c r="AY168">
        <v>3414055662.5806341</v>
      </c>
      <c r="AZ168">
        <v>4234999702.6944594</v>
      </c>
      <c r="BA168">
        <v>5623216609.6506901</v>
      </c>
      <c r="BB168">
        <v>4583850367.88972</v>
      </c>
      <c r="BC168">
        <v>7189482000.6668634</v>
      </c>
      <c r="BD168">
        <v>10409797375.115181</v>
      </c>
      <c r="BE168">
        <v>12292770631.19669</v>
      </c>
      <c r="BF168">
        <v>12582122604.192129</v>
      </c>
      <c r="BG168">
        <v>12226514666.0404</v>
      </c>
      <c r="BH168">
        <v>11619892592.659931</v>
      </c>
      <c r="BI168">
        <v>11181350649.224726</v>
      </c>
      <c r="BJ168">
        <v>11480847740.08391</v>
      </c>
      <c r="BK168">
        <v>13178094719.861187</v>
      </c>
      <c r="BL168">
        <v>14206359016.401356</v>
      </c>
      <c r="BM168">
        <v>13312981427.402287</v>
      </c>
      <c r="BN168">
        <v>15286441740.129005</v>
      </c>
      <c r="BO168" s="190">
        <v>16810883360.912991</v>
      </c>
    </row>
    <row r="169" spans="1:67">
      <c r="A169" t="s">
        <v>814</v>
      </c>
      <c r="B169" t="s">
        <v>815</v>
      </c>
      <c r="C169" t="s">
        <v>1018</v>
      </c>
      <c r="D169" t="s">
        <v>1019</v>
      </c>
      <c r="AU169">
        <v>1284000000</v>
      </c>
      <c r="AV169">
        <v>1239000000</v>
      </c>
      <c r="AW169">
        <v>1210000000</v>
      </c>
      <c r="AX169">
        <v>1061000000</v>
      </c>
      <c r="AY169">
        <v>990000000</v>
      </c>
      <c r="AZ169">
        <v>938000000</v>
      </c>
      <c r="BA169">
        <v>939000000</v>
      </c>
      <c r="BB169">
        <v>795000000</v>
      </c>
      <c r="BC169">
        <v>799000000</v>
      </c>
      <c r="BD169">
        <v>729000000</v>
      </c>
      <c r="BE169">
        <v>746000000</v>
      </c>
      <c r="BF169">
        <v>772000000</v>
      </c>
      <c r="BG169">
        <v>832000000</v>
      </c>
      <c r="BH169">
        <v>910000000</v>
      </c>
      <c r="BI169">
        <v>1230000000</v>
      </c>
      <c r="BJ169">
        <v>1560000000</v>
      </c>
      <c r="BK169">
        <v>1301000000</v>
      </c>
      <c r="BL169">
        <v>1181000000</v>
      </c>
      <c r="BM169">
        <v>858000000</v>
      </c>
    </row>
    <row r="170" spans="1:67">
      <c r="A170" t="s">
        <v>816</v>
      </c>
      <c r="B170" t="s">
        <v>817</v>
      </c>
      <c r="C170" t="s">
        <v>1018</v>
      </c>
      <c r="D170" t="s">
        <v>1019</v>
      </c>
      <c r="AJ170">
        <v>3633488385.0627499</v>
      </c>
      <c r="AK170">
        <v>2640001311.3168931</v>
      </c>
      <c r="AL170">
        <v>2729524757.9953361</v>
      </c>
      <c r="AM170">
        <v>2796555381.4591894</v>
      </c>
      <c r="AN170">
        <v>2899912130.1665878</v>
      </c>
      <c r="AO170">
        <v>3856799844.1609039</v>
      </c>
      <c r="AP170">
        <v>4648838896.0678139</v>
      </c>
      <c r="AQ170">
        <v>5263884908.2424097</v>
      </c>
      <c r="AR170">
        <v>5976402585.9134541</v>
      </c>
      <c r="AS170">
        <v>5656473652.4114742</v>
      </c>
      <c r="AT170">
        <v>5398557896.1574841</v>
      </c>
      <c r="AU170">
        <v>5677013628.8505678</v>
      </c>
      <c r="AV170">
        <v>6303399757.8237648</v>
      </c>
      <c r="AW170">
        <v>7631106170.9462128</v>
      </c>
      <c r="AX170">
        <v>8542083074.1471577</v>
      </c>
      <c r="AY170">
        <v>9176896597.1680202</v>
      </c>
      <c r="AZ170">
        <v>10450826527.206644</v>
      </c>
      <c r="BA170">
        <v>12556173242.773643</v>
      </c>
      <c r="BB170">
        <v>11914471512.768396</v>
      </c>
      <c r="BC170">
        <v>11104649065.164936</v>
      </c>
      <c r="BD170">
        <v>14381552466.604368</v>
      </c>
      <c r="BE170">
        <v>16350813486.990786</v>
      </c>
      <c r="BF170">
        <v>16974314296.218243</v>
      </c>
      <c r="BG170">
        <v>17716091057.267498</v>
      </c>
      <c r="BH170">
        <v>15950979333.158171</v>
      </c>
      <c r="BI170">
        <v>11936993086.957928</v>
      </c>
      <c r="BJ170">
        <v>13219079497.705519</v>
      </c>
      <c r="BK170">
        <v>14845400592.671202</v>
      </c>
      <c r="BL170">
        <v>15390031039.995747</v>
      </c>
      <c r="BM170">
        <v>14156864916.471071</v>
      </c>
      <c r="BN170">
        <v>15776757419.519743</v>
      </c>
      <c r="BO170" s="190">
        <v>17851491427.676495</v>
      </c>
    </row>
    <row r="171" spans="1:67">
      <c r="A171" t="s">
        <v>818</v>
      </c>
      <c r="B171" t="s">
        <v>819</v>
      </c>
      <c r="C171" t="s">
        <v>1018</v>
      </c>
      <c r="D171" t="s">
        <v>1019</v>
      </c>
      <c r="F171">
        <v>159213426.50188747</v>
      </c>
      <c r="G171">
        <v>164271553.69978344</v>
      </c>
      <c r="H171">
        <v>168186293.24976212</v>
      </c>
      <c r="I171">
        <v>224495738.50574243</v>
      </c>
      <c r="J171">
        <v>255340469.01459602</v>
      </c>
      <c r="K171">
        <v>266533598.89891919</v>
      </c>
      <c r="L171">
        <v>282615303.57151914</v>
      </c>
      <c r="M171">
        <v>311395929.92048967</v>
      </c>
      <c r="N171">
        <v>295062290.316742</v>
      </c>
      <c r="O171">
        <v>309405315.75485253</v>
      </c>
      <c r="P171">
        <v>335568937.061988</v>
      </c>
      <c r="Q171">
        <v>391669449.25113916</v>
      </c>
      <c r="R171">
        <v>493237913.17774934</v>
      </c>
      <c r="S171">
        <v>613010507.41793454</v>
      </c>
      <c r="T171">
        <v>703377837.46854138</v>
      </c>
      <c r="U171">
        <v>775045516.86721659</v>
      </c>
      <c r="V171">
        <v>799029958.72149289</v>
      </c>
      <c r="W171">
        <v>804629876.76144052</v>
      </c>
      <c r="X171">
        <v>951900945.20891201</v>
      </c>
      <c r="Y171">
        <v>1047925029.5288467</v>
      </c>
      <c r="Z171">
        <v>1105494605.3731351</v>
      </c>
      <c r="AA171">
        <v>1108776724.1762304</v>
      </c>
      <c r="AB171">
        <v>1165171334.2627506</v>
      </c>
      <c r="AC171">
        <v>1074373174.1633754</v>
      </c>
      <c r="AD171">
        <v>1009723326.3205649</v>
      </c>
      <c r="AE171">
        <v>1186628778.5169456</v>
      </c>
      <c r="AF171">
        <v>1344664663.9926012</v>
      </c>
      <c r="AG171">
        <v>1414951227.3980496</v>
      </c>
      <c r="AH171">
        <v>1450647019.1809852</v>
      </c>
      <c r="AI171">
        <v>1506914407.8204668</v>
      </c>
      <c r="AJ171">
        <v>2133692609.9557643</v>
      </c>
      <c r="AK171">
        <v>2164298425.4841185</v>
      </c>
      <c r="AL171">
        <v>1847353160.3744352</v>
      </c>
      <c r="AM171">
        <v>1944876755.0070808</v>
      </c>
      <c r="AN171">
        <v>2091726047.7003946</v>
      </c>
      <c r="AO171">
        <v>2132087061.0812137</v>
      </c>
      <c r="AP171">
        <v>2071996518.570555</v>
      </c>
      <c r="AQ171">
        <v>2032347629.0063748</v>
      </c>
      <c r="AR171">
        <v>1985922807.1291888</v>
      </c>
      <c r="AS171">
        <v>1779520861.6432073</v>
      </c>
      <c r="AT171">
        <v>1746063580.3817358</v>
      </c>
      <c r="AU171">
        <v>1777057503.0589974</v>
      </c>
      <c r="AV171">
        <v>2051147606.7368741</v>
      </c>
      <c r="AW171">
        <v>2362501023.2424912</v>
      </c>
      <c r="AX171">
        <v>2936019525.6024098</v>
      </c>
      <c r="AY171">
        <v>3919577285.9270291</v>
      </c>
      <c r="AZ171">
        <v>4346212411.0549603</v>
      </c>
      <c r="BA171">
        <v>5206437120.9470978</v>
      </c>
      <c r="BB171">
        <v>4714595487.8525276</v>
      </c>
      <c r="BC171">
        <v>5628878865.9902735</v>
      </c>
      <c r="BD171">
        <v>6764627665.6923914</v>
      </c>
      <c r="BE171">
        <v>6728208836.2214279</v>
      </c>
      <c r="BF171">
        <v>7223071177.1585598</v>
      </c>
      <c r="BG171">
        <v>6592537781.8151789</v>
      </c>
      <c r="BH171">
        <v>6166863960.0006094</v>
      </c>
      <c r="BI171">
        <v>6398741855.7627554</v>
      </c>
      <c r="BJ171">
        <v>6800138755.3459158</v>
      </c>
      <c r="BK171">
        <v>7473550557.0737848</v>
      </c>
      <c r="BL171">
        <v>8066118984.3058052</v>
      </c>
      <c r="BM171">
        <v>8405498735.7429285</v>
      </c>
      <c r="BN171">
        <v>9996240418.7078381</v>
      </c>
      <c r="BO171" s="190">
        <v>10375460680.436108</v>
      </c>
    </row>
    <row r="172" spans="1:67">
      <c r="A172" t="s">
        <v>820</v>
      </c>
      <c r="B172" t="s">
        <v>821</v>
      </c>
      <c r="C172" t="s">
        <v>1018</v>
      </c>
      <c r="D172" t="s">
        <v>1019</v>
      </c>
      <c r="U172">
        <v>704030891.25671625</v>
      </c>
      <c r="V172">
        <v>823633426.24245167</v>
      </c>
      <c r="W172">
        <v>1015369264.0707041</v>
      </c>
      <c r="X172">
        <v>1211139631.3281152</v>
      </c>
      <c r="Y172">
        <v>1131789419.0375543</v>
      </c>
      <c r="Z172">
        <v>1142388228.182945</v>
      </c>
      <c r="AA172">
        <v>1078403870.338547</v>
      </c>
      <c r="AB172">
        <v>1090276947.3130443</v>
      </c>
      <c r="AC172">
        <v>1040554576.0141284</v>
      </c>
      <c r="AD172">
        <v>1076122255.8232312</v>
      </c>
      <c r="AE172">
        <v>1462904781.8545387</v>
      </c>
      <c r="AF172">
        <v>1880850480.074229</v>
      </c>
      <c r="AG172">
        <v>2134513096.5248954</v>
      </c>
      <c r="AH172">
        <v>2181935024.1424413</v>
      </c>
      <c r="AI172">
        <v>2653485952.1331887</v>
      </c>
      <c r="AJ172">
        <v>2856889159.5861588</v>
      </c>
      <c r="AK172">
        <v>3224265821.3682446</v>
      </c>
      <c r="AL172">
        <v>3263363787.1659861</v>
      </c>
      <c r="AM172">
        <v>3558143644.0607119</v>
      </c>
      <c r="AN172">
        <v>4040342060.1833353</v>
      </c>
      <c r="AO172">
        <v>4421952122.977025</v>
      </c>
      <c r="AP172">
        <v>4187375887.4117498</v>
      </c>
      <c r="AQ172">
        <v>4169672974.848547</v>
      </c>
      <c r="AR172">
        <v>4343708895.5850525</v>
      </c>
      <c r="AS172">
        <v>4663321022.2267294</v>
      </c>
      <c r="AT172">
        <v>4613637222.1400595</v>
      </c>
      <c r="AU172">
        <v>4841310239.6368732</v>
      </c>
      <c r="AV172">
        <v>5816559038.5454531</v>
      </c>
      <c r="AW172">
        <v>6578840498.6693144</v>
      </c>
      <c r="AX172">
        <v>6488743119.74298</v>
      </c>
      <c r="AY172">
        <v>7028810754.7816362</v>
      </c>
      <c r="AZ172">
        <v>8150150144.156353</v>
      </c>
      <c r="BA172">
        <v>9990356849.2949066</v>
      </c>
      <c r="BB172">
        <v>9128843109.1558762</v>
      </c>
      <c r="BC172">
        <v>10003670690.349657</v>
      </c>
      <c r="BD172">
        <v>11518413429.968351</v>
      </c>
      <c r="BE172">
        <v>11668696526.22522</v>
      </c>
      <c r="BF172">
        <v>12292974007.936144</v>
      </c>
      <c r="BG172">
        <v>13074130094.372316</v>
      </c>
      <c r="BH172">
        <v>12007291045.648907</v>
      </c>
      <c r="BI172">
        <v>12594155346.298018</v>
      </c>
      <c r="BJ172">
        <v>13713505998.039053</v>
      </c>
      <c r="BK172">
        <v>14735695930.972702</v>
      </c>
      <c r="BL172">
        <v>14436347115.289282</v>
      </c>
      <c r="BM172">
        <v>11401040995.994616</v>
      </c>
      <c r="BN172">
        <v>11476433603.781378</v>
      </c>
      <c r="BO172" s="190">
        <v>12898307089.131454</v>
      </c>
    </row>
    <row r="173" spans="1:67">
      <c r="A173" t="s">
        <v>822</v>
      </c>
      <c r="B173" t="s">
        <v>823</v>
      </c>
      <c r="C173" t="s">
        <v>1018</v>
      </c>
      <c r="D173" t="s">
        <v>1019</v>
      </c>
      <c r="Y173">
        <v>1801157516.2304277</v>
      </c>
      <c r="Z173">
        <v>1801193743.8828769</v>
      </c>
      <c r="AA173">
        <v>1717379360.4298704</v>
      </c>
      <c r="AB173">
        <v>1780147545.9585299</v>
      </c>
      <c r="AC173">
        <v>1758028656.7457473</v>
      </c>
      <c r="AD173">
        <v>1646442592.5845459</v>
      </c>
      <c r="AE173">
        <v>1722585991.0669663</v>
      </c>
      <c r="AF173">
        <v>1721712198.2569585</v>
      </c>
      <c r="AG173">
        <v>2008189638.9482024</v>
      </c>
      <c r="AH173">
        <v>2314204989.7220683</v>
      </c>
      <c r="AI173">
        <v>2737088195.9445858</v>
      </c>
      <c r="AJ173">
        <v>3206784402.3811116</v>
      </c>
      <c r="AK173">
        <v>2618837532.194375</v>
      </c>
      <c r="AL173">
        <v>3013392429.8558469</v>
      </c>
      <c r="AM173">
        <v>1719864761.3062811</v>
      </c>
      <c r="AN173">
        <v>2033701542.3252006</v>
      </c>
      <c r="AO173">
        <v>3319573821.8937597</v>
      </c>
      <c r="AP173">
        <v>3875785863.383234</v>
      </c>
      <c r="AQ173">
        <v>2547609562.7402663</v>
      </c>
      <c r="AR173">
        <v>2584478943.6010456</v>
      </c>
      <c r="AS173">
        <v>2537307566.1239352</v>
      </c>
      <c r="AT173">
        <v>2498008653.1358509</v>
      </c>
      <c r="AU173">
        <v>5087328437.8736963</v>
      </c>
      <c r="AV173">
        <v>4669789300.3566208</v>
      </c>
      <c r="AW173">
        <v>5058726350.4889584</v>
      </c>
      <c r="AX173">
        <v>5320409651.4754362</v>
      </c>
      <c r="AY173">
        <v>5818279739.1435413</v>
      </c>
      <c r="AZ173">
        <v>6451210219.1168308</v>
      </c>
      <c r="BA173">
        <v>7743617352.2142696</v>
      </c>
      <c r="BB173">
        <v>9009887946.8203945</v>
      </c>
      <c r="BC173">
        <v>10128323010.604923</v>
      </c>
      <c r="BD173">
        <v>11648142958.365147</v>
      </c>
      <c r="BE173">
        <v>8773203178.1651192</v>
      </c>
      <c r="BF173">
        <v>8031571927.6205492</v>
      </c>
      <c r="BG173">
        <v>8801326169.1454697</v>
      </c>
      <c r="BH173">
        <v>9219474373.1641846</v>
      </c>
      <c r="BI173">
        <v>7909868618.4636602</v>
      </c>
      <c r="BJ173">
        <v>8943543677.1889935</v>
      </c>
      <c r="BK173">
        <v>9880675785.9305706</v>
      </c>
      <c r="BL173">
        <v>11025371147.187582</v>
      </c>
      <c r="BM173">
        <v>12056108780.207331</v>
      </c>
      <c r="BN173">
        <v>12602334123.763706</v>
      </c>
      <c r="BO173" s="190">
        <v>13164667626.9363</v>
      </c>
    </row>
    <row r="174" spans="1:67">
      <c r="A174" t="s">
        <v>824</v>
      </c>
      <c r="B174" t="s">
        <v>825</v>
      </c>
      <c r="C174" t="s">
        <v>1018</v>
      </c>
      <c r="D174" t="s">
        <v>1019</v>
      </c>
      <c r="E174">
        <v>1916229475.8463061</v>
      </c>
      <c r="F174">
        <v>1901856121.441731</v>
      </c>
      <c r="G174">
        <v>2001489600.8370812</v>
      </c>
      <c r="H174">
        <v>2510110346.471704</v>
      </c>
      <c r="I174">
        <v>2674423920.6876421</v>
      </c>
      <c r="J174">
        <v>2956337667.3046489</v>
      </c>
      <c r="K174">
        <v>3143517941.7096834</v>
      </c>
      <c r="L174">
        <v>3188924674.9423184</v>
      </c>
      <c r="M174">
        <v>3330371548.9691596</v>
      </c>
      <c r="N174">
        <v>3664552038.8755307</v>
      </c>
      <c r="O174">
        <v>3864145664.811789</v>
      </c>
      <c r="P174">
        <v>4244395358.101656</v>
      </c>
      <c r="Q174">
        <v>5043347485.9119358</v>
      </c>
      <c r="R174">
        <v>7662903760.3432331</v>
      </c>
      <c r="S174">
        <v>9496205619.75383</v>
      </c>
      <c r="T174">
        <v>9298800799.4670219</v>
      </c>
      <c r="U174">
        <v>11050234602.248013</v>
      </c>
      <c r="V174">
        <v>13139486857.958038</v>
      </c>
      <c r="W174">
        <v>16358082222.899666</v>
      </c>
      <c r="X174">
        <v>21213268200.390636</v>
      </c>
      <c r="Y174">
        <v>24488220937.784504</v>
      </c>
      <c r="Z174">
        <v>25004285800.829739</v>
      </c>
      <c r="AA174">
        <v>26804497470.732822</v>
      </c>
      <c r="AB174">
        <v>30347442121.826355</v>
      </c>
      <c r="AC174">
        <v>33942902256.945423</v>
      </c>
      <c r="AD174">
        <v>31199637541.321926</v>
      </c>
      <c r="AE174">
        <v>27734114980.969898</v>
      </c>
      <c r="AF174">
        <v>32181205900.582336</v>
      </c>
      <c r="AG174">
        <v>35272104730.568314</v>
      </c>
      <c r="AH174">
        <v>38847970073.309273</v>
      </c>
      <c r="AI174">
        <v>44024585239.613663</v>
      </c>
      <c r="AJ174">
        <v>49143148094.268257</v>
      </c>
      <c r="AK174">
        <v>59167550162.955986</v>
      </c>
      <c r="AL174">
        <v>66894966968.973564</v>
      </c>
      <c r="AM174">
        <v>74478356957.780823</v>
      </c>
      <c r="AN174">
        <v>88705342902.711319</v>
      </c>
      <c r="AO174">
        <v>100855393910.48573</v>
      </c>
      <c r="AP174">
        <v>100005323301.8667</v>
      </c>
      <c r="AQ174">
        <v>72167498980.839798</v>
      </c>
      <c r="AR174">
        <v>79148421052.631577</v>
      </c>
      <c r="AS174">
        <v>93789736842.10527</v>
      </c>
      <c r="AT174">
        <v>92783947368.421051</v>
      </c>
      <c r="AU174">
        <v>100845526315.78947</v>
      </c>
      <c r="AV174">
        <v>110202368421.05264</v>
      </c>
      <c r="AW174">
        <v>124749473684.21053</v>
      </c>
      <c r="AX174">
        <v>143534418452.15424</v>
      </c>
      <c r="AY174">
        <v>162692260155.07013</v>
      </c>
      <c r="AZ174">
        <v>193549547954.75284</v>
      </c>
      <c r="BA174">
        <v>230811591306.52036</v>
      </c>
      <c r="BB174">
        <v>202257458160.84949</v>
      </c>
      <c r="BC174">
        <v>255017645207.1796</v>
      </c>
      <c r="BD174">
        <v>297951667650.44861</v>
      </c>
      <c r="BE174">
        <v>314443061220.13831</v>
      </c>
      <c r="BF174">
        <v>323276281683.44061</v>
      </c>
      <c r="BG174">
        <v>338066121289.41278</v>
      </c>
      <c r="BH174">
        <v>301354783698.71985</v>
      </c>
      <c r="BI174">
        <v>301255332137.07544</v>
      </c>
      <c r="BJ174">
        <v>319109103242.0553</v>
      </c>
      <c r="BK174">
        <v>358788833524.94489</v>
      </c>
      <c r="BL174">
        <v>365177744321.01135</v>
      </c>
      <c r="BM174">
        <v>337339463179.96051</v>
      </c>
      <c r="BN174">
        <v>372981073017.74945</v>
      </c>
      <c r="BO174" s="190">
        <v>406305924656.07068</v>
      </c>
    </row>
    <row r="175" spans="1:67">
      <c r="A175" t="s">
        <v>826</v>
      </c>
      <c r="B175" t="s">
        <v>827</v>
      </c>
      <c r="C175" t="s">
        <v>1018</v>
      </c>
      <c r="D175" t="s">
        <v>1019</v>
      </c>
      <c r="E175">
        <v>583846865155.96265</v>
      </c>
      <c r="F175">
        <v>604324383529.85474</v>
      </c>
      <c r="G175">
        <v>647421507831.2677</v>
      </c>
      <c r="H175">
        <v>683726091142.69226</v>
      </c>
      <c r="I175">
        <v>735285529799.61182</v>
      </c>
      <c r="J175">
        <v>798329454784.96692</v>
      </c>
      <c r="K175">
        <v>876221164375.33325</v>
      </c>
      <c r="L175">
        <v>927523614111.88623</v>
      </c>
      <c r="M175">
        <v>1014480047239.0138</v>
      </c>
      <c r="N175">
        <v>1099212903144.7059</v>
      </c>
      <c r="O175">
        <v>1161681557632.3091</v>
      </c>
      <c r="P175">
        <v>1264666514680.0417</v>
      </c>
      <c r="Q175">
        <v>1392809248873.6233</v>
      </c>
      <c r="R175">
        <v>1557411142644.9717</v>
      </c>
      <c r="S175">
        <v>1706501904010.365</v>
      </c>
      <c r="T175">
        <v>1859675742591.4978</v>
      </c>
      <c r="U175">
        <v>2081063962814.8154</v>
      </c>
      <c r="V175">
        <v>2294598176304.6548</v>
      </c>
      <c r="W175">
        <v>2571452194594.9756</v>
      </c>
      <c r="X175">
        <v>2871736224251.8345</v>
      </c>
      <c r="Y175">
        <v>3132690552139.7622</v>
      </c>
      <c r="Z175">
        <v>3515025943002.167</v>
      </c>
      <c r="AA175">
        <v>3659213403680.7598</v>
      </c>
      <c r="AB175">
        <v>3976790396303.0669</v>
      </c>
      <c r="AC175">
        <v>4395326572390.4097</v>
      </c>
      <c r="AD175">
        <v>4706202530269.7969</v>
      </c>
      <c r="AE175">
        <v>4959819231231.833</v>
      </c>
      <c r="AF175">
        <v>5289651428003.9336</v>
      </c>
      <c r="AG175">
        <v>5747232777228.0742</v>
      </c>
      <c r="AH175">
        <v>6210306867066.4688</v>
      </c>
      <c r="AI175">
        <v>6560825464840.252</v>
      </c>
      <c r="AJ175">
        <v>6772277795512.6133</v>
      </c>
      <c r="AK175">
        <v>7116382987449.3926</v>
      </c>
      <c r="AL175">
        <v>7439438360930.9258</v>
      </c>
      <c r="AM175">
        <v>7869047506907.2686</v>
      </c>
      <c r="AN175">
        <v>8247720786992.1357</v>
      </c>
      <c r="AO175">
        <v>8706415377889.2852</v>
      </c>
      <c r="AP175">
        <v>9235475216556.6074</v>
      </c>
      <c r="AQ175">
        <v>9699946684246.9473</v>
      </c>
      <c r="AR175">
        <v>10312908917711.895</v>
      </c>
      <c r="AS175">
        <v>10999201631931.59</v>
      </c>
      <c r="AT175">
        <v>11324572986044.527</v>
      </c>
      <c r="AU175">
        <v>11693699517098.008</v>
      </c>
      <c r="AV175">
        <v>12356169212634.789</v>
      </c>
      <c r="AW175">
        <v>13248368139278.25</v>
      </c>
      <c r="AX175">
        <v>14217175927778.678</v>
      </c>
      <c r="AY175">
        <v>15140995757590.977</v>
      </c>
      <c r="AZ175">
        <v>15949814312783.264</v>
      </c>
      <c r="BA175">
        <v>16329827601721.654</v>
      </c>
      <c r="BB175">
        <v>15859346076157.295</v>
      </c>
      <c r="BC175">
        <v>16672942337486.26</v>
      </c>
      <c r="BD175">
        <v>17399367444174.521</v>
      </c>
      <c r="BE175">
        <v>18088716899521.598</v>
      </c>
      <c r="BF175">
        <v>18696254170834.988</v>
      </c>
      <c r="BG175">
        <v>19362844040439.945</v>
      </c>
      <c r="BH175">
        <v>19769184098217.141</v>
      </c>
      <c r="BI175">
        <v>20230005494907.426</v>
      </c>
      <c r="BJ175">
        <v>21133744509244.094</v>
      </c>
      <c r="BK175">
        <v>22265581227435.762</v>
      </c>
      <c r="BL175">
        <v>23132124767672.52</v>
      </c>
      <c r="BM175">
        <v>22714959162302.68</v>
      </c>
      <c r="BN175">
        <v>25323694505423.922</v>
      </c>
      <c r="BO175" s="190">
        <v>27610090523673.809</v>
      </c>
    </row>
    <row r="176" spans="1:67">
      <c r="A176" t="s">
        <v>828</v>
      </c>
      <c r="B176" t="s">
        <v>829</v>
      </c>
      <c r="C176" t="s">
        <v>1018</v>
      </c>
      <c r="D176" t="s">
        <v>1019</v>
      </c>
      <c r="Y176">
        <v>2421991155.0023561</v>
      </c>
      <c r="Z176">
        <v>2249908724.5580502</v>
      </c>
      <c r="AA176">
        <v>2118710573.9352834</v>
      </c>
      <c r="AB176">
        <v>2297400688.0660176</v>
      </c>
      <c r="AC176">
        <v>1951259376.8208456</v>
      </c>
      <c r="AD176">
        <v>1608237350.8197169</v>
      </c>
      <c r="AE176">
        <v>1809048791.2504158</v>
      </c>
      <c r="AF176">
        <v>2300067840.457756</v>
      </c>
      <c r="AG176">
        <v>2495095295.1823587</v>
      </c>
      <c r="AH176">
        <v>2535135314.2732949</v>
      </c>
      <c r="AI176">
        <v>2789922033.0940828</v>
      </c>
      <c r="AJ176">
        <v>2996869281.4836407</v>
      </c>
      <c r="AK176">
        <v>3429521498.9874077</v>
      </c>
      <c r="AL176">
        <v>3251189247.7013783</v>
      </c>
      <c r="AM176">
        <v>3666503185.4338894</v>
      </c>
      <c r="AN176">
        <v>3978514206.3116798</v>
      </c>
      <c r="AO176">
        <v>3989163041.925529</v>
      </c>
      <c r="AP176">
        <v>4154990250.5699344</v>
      </c>
      <c r="AQ176">
        <v>3873109748.7903471</v>
      </c>
      <c r="AR176">
        <v>3868551624.8575792</v>
      </c>
      <c r="AS176">
        <v>3922231976.4393806</v>
      </c>
      <c r="AT176">
        <v>3557341284.0187964</v>
      </c>
      <c r="AU176">
        <v>3349169932.3008008</v>
      </c>
      <c r="AV176">
        <v>4926439274.9748564</v>
      </c>
      <c r="AW176">
        <v>6609206506.346858</v>
      </c>
      <c r="AX176">
        <v>7248375216.5947475</v>
      </c>
      <c r="AY176">
        <v>8001779551.0632324</v>
      </c>
      <c r="AZ176">
        <v>8839536893.6844254</v>
      </c>
      <c r="BA176">
        <v>8607431845.1963139</v>
      </c>
      <c r="BB176">
        <v>8938847363.8781452</v>
      </c>
      <c r="BC176">
        <v>11431412421.131611</v>
      </c>
      <c r="BD176">
        <v>12523359440.549862</v>
      </c>
      <c r="BE176">
        <v>13042053856.969603</v>
      </c>
      <c r="BF176">
        <v>12043307277.123508</v>
      </c>
      <c r="BG176">
        <v>12435430396.192894</v>
      </c>
      <c r="BH176">
        <v>11335161230.160774</v>
      </c>
      <c r="BI176">
        <v>10722018975.078331</v>
      </c>
      <c r="BJ176">
        <v>12895153160.46599</v>
      </c>
      <c r="BK176">
        <v>13682019171.662729</v>
      </c>
      <c r="BL176">
        <v>12541928102.765705</v>
      </c>
      <c r="BM176">
        <v>10583748757.334488</v>
      </c>
      <c r="BN176">
        <v>12446290854.897345</v>
      </c>
      <c r="BO176" s="190">
        <v>12607436975.945955</v>
      </c>
    </row>
    <row r="177" spans="1:67">
      <c r="A177" t="s">
        <v>830</v>
      </c>
      <c r="B177" t="s">
        <v>831</v>
      </c>
      <c r="C177" t="s">
        <v>1018</v>
      </c>
      <c r="D177" t="s">
        <v>1019</v>
      </c>
      <c r="J177">
        <v>159594492.3058385</v>
      </c>
      <c r="K177">
        <v>164206536.28278512</v>
      </c>
      <c r="L177">
        <v>180036767.47082978</v>
      </c>
      <c r="M177">
        <v>215507162.35582361</v>
      </c>
      <c r="N177">
        <v>263108841.07809305</v>
      </c>
      <c r="O177">
        <v>358815683.71662933</v>
      </c>
      <c r="P177">
        <v>413985777.67044121</v>
      </c>
      <c r="Q177">
        <v>506808996.96049601</v>
      </c>
      <c r="R177">
        <v>542293400.02626157</v>
      </c>
      <c r="S177">
        <v>637403479.72911215</v>
      </c>
      <c r="T177">
        <v>816652167.28562486</v>
      </c>
      <c r="U177">
        <v>798313524.68347442</v>
      </c>
      <c r="V177">
        <v>837620127.3418833</v>
      </c>
      <c r="W177">
        <v>846004692.25981581</v>
      </c>
      <c r="X177">
        <v>1047225724.4519622</v>
      </c>
      <c r="Y177">
        <v>1182463958.6964798</v>
      </c>
      <c r="Z177">
        <v>972564156.96709871</v>
      </c>
      <c r="AA177">
        <v>904599871.51748288</v>
      </c>
      <c r="AB177">
        <v>823857894.30267465</v>
      </c>
      <c r="AC177">
        <v>796066192.87269533</v>
      </c>
      <c r="AD177">
        <v>854820894.09800553</v>
      </c>
      <c r="AE177">
        <v>1201321509.3307161</v>
      </c>
      <c r="AF177">
        <v>1488093104.5664821</v>
      </c>
      <c r="AG177">
        <v>2072775508.2436526</v>
      </c>
      <c r="AH177">
        <v>2185082943.5457258</v>
      </c>
      <c r="AI177">
        <v>2529440424.2942195</v>
      </c>
      <c r="AJ177">
        <v>2653780677.0107298</v>
      </c>
      <c r="AK177">
        <v>2923883289.637104</v>
      </c>
      <c r="AL177">
        <v>2822243775.1098957</v>
      </c>
      <c r="AM177">
        <v>3038728391.4587817</v>
      </c>
      <c r="AN177">
        <v>3628440524.3927789</v>
      </c>
      <c r="AO177">
        <v>3606968436.3675838</v>
      </c>
      <c r="AP177">
        <v>3291131295.1518378</v>
      </c>
      <c r="AQ177">
        <v>3556304834.3984542</v>
      </c>
      <c r="AR177">
        <v>3647802046.2205963</v>
      </c>
      <c r="AS177">
        <v>3420032042.3107953</v>
      </c>
      <c r="AT177">
        <v>3297734885.7948818</v>
      </c>
      <c r="AU177">
        <v>3740056751.5258994</v>
      </c>
      <c r="AV177">
        <v>4915353825.5934343</v>
      </c>
      <c r="AW177">
        <v>5895008984.5574589</v>
      </c>
      <c r="AX177">
        <v>6238629461.585741</v>
      </c>
      <c r="AY177">
        <v>6979155408.4442949</v>
      </c>
      <c r="AZ177">
        <v>8819917187.1109447</v>
      </c>
      <c r="BA177">
        <v>9067619728.9959202</v>
      </c>
      <c r="BB177">
        <v>8704438060.5207195</v>
      </c>
      <c r="BC177">
        <v>9364350064.9869461</v>
      </c>
      <c r="BD177">
        <v>10351448025.302691</v>
      </c>
      <c r="BE177">
        <v>9659151908.6543541</v>
      </c>
      <c r="BF177">
        <v>10151382876.811338</v>
      </c>
      <c r="BG177">
        <v>10635035550.010035</v>
      </c>
      <c r="BH177">
        <v>8738203041.5469742</v>
      </c>
      <c r="BI177">
        <v>8724568970.6769695</v>
      </c>
      <c r="BJ177">
        <v>9173669999.5943413</v>
      </c>
      <c r="BK177">
        <v>9896402295.4832859</v>
      </c>
      <c r="BL177">
        <v>9475655341.9831638</v>
      </c>
      <c r="BM177">
        <v>9454629451.0321903</v>
      </c>
      <c r="BN177">
        <v>10071349707.158087</v>
      </c>
    </row>
    <row r="178" spans="1:67">
      <c r="A178" t="s">
        <v>832</v>
      </c>
      <c r="B178" t="s">
        <v>833</v>
      </c>
      <c r="C178" t="s">
        <v>1018</v>
      </c>
      <c r="D178" t="s">
        <v>1019</v>
      </c>
      <c r="E178">
        <v>449526872.56556129</v>
      </c>
      <c r="F178">
        <v>485785231.72935349</v>
      </c>
      <c r="G178">
        <v>531736599.93073624</v>
      </c>
      <c r="H178">
        <v>586294879.47189975</v>
      </c>
      <c r="I178">
        <v>582816396.2164011</v>
      </c>
      <c r="J178">
        <v>673383510.24212158</v>
      </c>
      <c r="K178">
        <v>702296079.85769176</v>
      </c>
      <c r="L178">
        <v>665586872.83916223</v>
      </c>
      <c r="M178">
        <v>641214226.83901155</v>
      </c>
      <c r="N178">
        <v>625867984.42817962</v>
      </c>
      <c r="O178">
        <v>649916621.17985654</v>
      </c>
      <c r="P178">
        <v>693573704.42286551</v>
      </c>
      <c r="Q178">
        <v>742779659.45516646</v>
      </c>
      <c r="R178">
        <v>946385104.96773088</v>
      </c>
      <c r="S178">
        <v>1026137112.4370686</v>
      </c>
      <c r="T178">
        <v>1048690931.5405966</v>
      </c>
      <c r="U178">
        <v>1064517600.1005086</v>
      </c>
      <c r="V178">
        <v>1291458043.7402987</v>
      </c>
      <c r="W178">
        <v>1774365587.8685126</v>
      </c>
      <c r="X178">
        <v>2109277663.0974798</v>
      </c>
      <c r="Y178">
        <v>2508524715.7951574</v>
      </c>
      <c r="Z178">
        <v>2170893417.9812899</v>
      </c>
      <c r="AA178">
        <v>2017612217.8275211</v>
      </c>
      <c r="AB178">
        <v>1803099561.0839307</v>
      </c>
      <c r="AC178">
        <v>1461243326.8377507</v>
      </c>
      <c r="AD178">
        <v>1440581653.3232758</v>
      </c>
      <c r="AE178">
        <v>1904097000.7496278</v>
      </c>
      <c r="AF178">
        <v>2233006101.9447513</v>
      </c>
      <c r="AG178">
        <v>2280356194.1455908</v>
      </c>
      <c r="AH178">
        <v>2179567111.0004029</v>
      </c>
      <c r="AI178">
        <v>3512356508.4743462</v>
      </c>
      <c r="AJ178">
        <v>3285796877.1979942</v>
      </c>
      <c r="AK178">
        <v>3386232582.4160967</v>
      </c>
      <c r="AL178">
        <v>3052673843.8612967</v>
      </c>
      <c r="AM178">
        <v>1938058176.4158549</v>
      </c>
      <c r="AN178">
        <v>2302537562.6993108</v>
      </c>
      <c r="AO178">
        <v>2405686938.7648335</v>
      </c>
      <c r="AP178">
        <v>2290318908.8198557</v>
      </c>
      <c r="AQ178">
        <v>2643363520.9313488</v>
      </c>
      <c r="AR178">
        <v>2537789819.3769379</v>
      </c>
      <c r="AS178">
        <v>2241753192.7125664</v>
      </c>
      <c r="AT178">
        <v>2448714703.0961165</v>
      </c>
      <c r="AU178">
        <v>2782192880.6918721</v>
      </c>
      <c r="AV178">
        <v>3394084731.4860058</v>
      </c>
      <c r="AW178">
        <v>3760443735.4587479</v>
      </c>
      <c r="AX178">
        <v>4383315967.499979</v>
      </c>
      <c r="AY178">
        <v>4756361253.3335829</v>
      </c>
      <c r="AZ178">
        <v>5731485046.0863953</v>
      </c>
      <c r="BA178">
        <v>7297600218.9239397</v>
      </c>
      <c r="BB178">
        <v>7352131304.3963127</v>
      </c>
      <c r="BC178">
        <v>7851192498.7715406</v>
      </c>
      <c r="BD178">
        <v>8772950783.0241432</v>
      </c>
      <c r="BE178">
        <v>9426912639.2038155</v>
      </c>
      <c r="BF178">
        <v>10224897440.92387</v>
      </c>
      <c r="BG178">
        <v>10862943546.285133</v>
      </c>
      <c r="BH178">
        <v>9683867926.7276649</v>
      </c>
      <c r="BI178">
        <v>10398861980.652416</v>
      </c>
      <c r="BJ178">
        <v>11185101444.372858</v>
      </c>
      <c r="BK178">
        <v>12808661487.40345</v>
      </c>
      <c r="BL178">
        <v>12916454870.545797</v>
      </c>
      <c r="BM178">
        <v>13744174582.253189</v>
      </c>
      <c r="BN178">
        <v>14915002098.497534</v>
      </c>
      <c r="BO178" s="190">
        <v>13969605582.520235</v>
      </c>
    </row>
    <row r="179" spans="1:67">
      <c r="A179" t="s">
        <v>834</v>
      </c>
      <c r="B179" t="s">
        <v>835</v>
      </c>
      <c r="C179" t="s">
        <v>1018</v>
      </c>
      <c r="D179" t="s">
        <v>1019</v>
      </c>
      <c r="E179">
        <v>4196174503.2086668</v>
      </c>
      <c r="F179">
        <v>4467287894.8717556</v>
      </c>
      <c r="G179">
        <v>4909399178.2040863</v>
      </c>
      <c r="H179">
        <v>5165590255.8301315</v>
      </c>
      <c r="I179">
        <v>5552931321.0486422</v>
      </c>
      <c r="J179">
        <v>5874537652.5347528</v>
      </c>
      <c r="K179">
        <v>6366917455.7797823</v>
      </c>
      <c r="L179">
        <v>5203237920.7861252</v>
      </c>
      <c r="M179">
        <v>5200997921.6812286</v>
      </c>
      <c r="N179">
        <v>6634317348.9267855</v>
      </c>
      <c r="O179">
        <v>12546094986.580439</v>
      </c>
      <c r="P179">
        <v>9181769911.504425</v>
      </c>
      <c r="Q179">
        <v>12274416017.797552</v>
      </c>
      <c r="R179">
        <v>15162871287.128712</v>
      </c>
      <c r="S179">
        <v>24846641318.124207</v>
      </c>
      <c r="T179">
        <v>27778934624.697338</v>
      </c>
      <c r="U179">
        <v>36308883248.730965</v>
      </c>
      <c r="V179">
        <v>36035407725.321884</v>
      </c>
      <c r="W179">
        <v>36527862208.713272</v>
      </c>
      <c r="X179">
        <v>47259911894.273125</v>
      </c>
      <c r="Y179">
        <v>64201788122.605362</v>
      </c>
      <c r="Z179">
        <v>164475209515.9386</v>
      </c>
      <c r="AA179">
        <v>142769363314.17624</v>
      </c>
      <c r="AB179">
        <v>97094911792.048935</v>
      </c>
      <c r="AC179">
        <v>73484359521.488693</v>
      </c>
      <c r="AD179">
        <v>73745821158.225357</v>
      </c>
      <c r="AE179">
        <v>54805852580.912857</v>
      </c>
      <c r="AF179">
        <v>52676041931.108727</v>
      </c>
      <c r="AG179">
        <v>49648470440.459335</v>
      </c>
      <c r="AH179">
        <v>44003061108.400505</v>
      </c>
      <c r="AI179">
        <v>54035795387.808609</v>
      </c>
      <c r="AJ179">
        <v>49118434950.41877</v>
      </c>
      <c r="AK179">
        <v>47794954191.500999</v>
      </c>
      <c r="AL179">
        <v>27752204787.489037</v>
      </c>
      <c r="AM179">
        <v>33833043777.737209</v>
      </c>
      <c r="AN179">
        <v>44062465417.942062</v>
      </c>
      <c r="AO179">
        <v>51075815092.5</v>
      </c>
      <c r="AP179">
        <v>54457835603.135658</v>
      </c>
      <c r="AQ179">
        <v>54604050168.181816</v>
      </c>
      <c r="AR179">
        <v>59372679433.174583</v>
      </c>
      <c r="AS179">
        <v>69448962760.878677</v>
      </c>
      <c r="AT179">
        <v>74030562269.965515</v>
      </c>
      <c r="AU179">
        <v>95054094655.327728</v>
      </c>
      <c r="AV179">
        <v>104738980156.95811</v>
      </c>
      <c r="AW179">
        <v>135764715375.2057</v>
      </c>
      <c r="AX179">
        <v>175670536601.00577</v>
      </c>
      <c r="AY179">
        <v>238454952231.57196</v>
      </c>
      <c r="AZ179">
        <v>278260808841.03009</v>
      </c>
      <c r="BA179">
        <v>339476215683.59222</v>
      </c>
      <c r="BB179">
        <v>295008767295.03827</v>
      </c>
      <c r="BC179">
        <v>366990528103.07831</v>
      </c>
      <c r="BD179">
        <v>414466540786.7381</v>
      </c>
      <c r="BE179">
        <v>463971000388.61194</v>
      </c>
      <c r="BF179">
        <v>520117163617.72113</v>
      </c>
      <c r="BG179">
        <v>574183825592.35791</v>
      </c>
      <c r="BH179">
        <v>493026782401.56067</v>
      </c>
      <c r="BI179">
        <v>404649048648.026</v>
      </c>
      <c r="BJ179">
        <v>375745732274.67621</v>
      </c>
      <c r="BK179">
        <v>421739210176.15198</v>
      </c>
      <c r="BL179">
        <v>474517470742.74933</v>
      </c>
      <c r="BM179">
        <v>432198936002.17651</v>
      </c>
      <c r="BN179">
        <v>440833583992.48505</v>
      </c>
      <c r="BO179" s="190">
        <v>477386120635.84479</v>
      </c>
    </row>
    <row r="180" spans="1:67">
      <c r="A180" t="s">
        <v>836</v>
      </c>
      <c r="B180" t="s">
        <v>837</v>
      </c>
      <c r="C180" t="s">
        <v>1018</v>
      </c>
      <c r="D180" t="s">
        <v>1019</v>
      </c>
      <c r="E180">
        <v>227223322.14153728</v>
      </c>
      <c r="F180">
        <v>244144236.65330982</v>
      </c>
      <c r="G180">
        <v>269283803.6868245</v>
      </c>
      <c r="H180">
        <v>297324163.09551281</v>
      </c>
      <c r="I180">
        <v>347119918.15857744</v>
      </c>
      <c r="J180">
        <v>564290020.38428795</v>
      </c>
      <c r="K180">
        <v>607140010.4756819</v>
      </c>
      <c r="L180">
        <v>657140010.74755394</v>
      </c>
      <c r="M180">
        <v>692859984.61215806</v>
      </c>
      <c r="N180">
        <v>750000002.89490318</v>
      </c>
      <c r="O180">
        <v>778569938.82422507</v>
      </c>
      <c r="P180">
        <v>828569953.47439992</v>
      </c>
      <c r="Q180">
        <v>878570045.45099783</v>
      </c>
      <c r="R180">
        <v>1092900014.791677</v>
      </c>
      <c r="S180">
        <v>1521400011.5346324</v>
      </c>
      <c r="T180">
        <v>1581599958.5988998</v>
      </c>
      <c r="U180">
        <v>1836899998.9457891</v>
      </c>
      <c r="V180">
        <v>2226999873.7185588</v>
      </c>
      <c r="W180">
        <v>2127699978.7807727</v>
      </c>
      <c r="X180">
        <v>1567599981.6980588</v>
      </c>
      <c r="Y180">
        <v>2144300006.1802764</v>
      </c>
      <c r="Z180">
        <v>2474700227.0466166</v>
      </c>
      <c r="AA180">
        <v>2454499872.0378914</v>
      </c>
      <c r="AB180">
        <v>2753100057.788022</v>
      </c>
      <c r="AC180">
        <v>3117599872.0876446</v>
      </c>
      <c r="AD180">
        <v>2683699935.3647895</v>
      </c>
      <c r="AE180">
        <v>2885799993.9157104</v>
      </c>
      <c r="AF180">
        <v>3851200117.7735519</v>
      </c>
      <c r="AG180">
        <v>2630900095.6021924</v>
      </c>
      <c r="AH180">
        <v>1013184755.5702574</v>
      </c>
      <c r="AI180">
        <v>1009455476.1073238</v>
      </c>
      <c r="AJ180">
        <v>1488804123.7113404</v>
      </c>
      <c r="AK180">
        <v>1792800000</v>
      </c>
      <c r="AL180">
        <v>1756454248.3660131</v>
      </c>
      <c r="AM180">
        <v>3863185119.0476193</v>
      </c>
      <c r="AN180">
        <v>4140470000</v>
      </c>
      <c r="AO180">
        <v>4308351902.7860107</v>
      </c>
      <c r="AP180">
        <v>4389973334.9797592</v>
      </c>
      <c r="AQ180">
        <v>4635267224.8419495</v>
      </c>
      <c r="AR180">
        <v>4855717874.6824722</v>
      </c>
      <c r="AS180">
        <v>5107329007.0921984</v>
      </c>
      <c r="AT180">
        <v>5323146565.7031498</v>
      </c>
      <c r="AU180">
        <v>5224213017.5438595</v>
      </c>
      <c r="AV180">
        <v>5322454925.8474579</v>
      </c>
      <c r="AW180">
        <v>5795568204.6453238</v>
      </c>
      <c r="AX180">
        <v>6321324455.1694059</v>
      </c>
      <c r="AY180">
        <v>6763418645.8137703</v>
      </c>
      <c r="AZ180">
        <v>7423365274.8946838</v>
      </c>
      <c r="BA180">
        <v>8496948184.4204206</v>
      </c>
      <c r="BB180">
        <v>8298736471.1244106</v>
      </c>
      <c r="BC180">
        <v>8758619130.5804272</v>
      </c>
      <c r="BD180">
        <v>9774320144.0004902</v>
      </c>
      <c r="BE180">
        <v>10531980451.184729</v>
      </c>
      <c r="BF180">
        <v>10982954744.441486</v>
      </c>
      <c r="BG180">
        <v>11880433902.936106</v>
      </c>
      <c r="BH180">
        <v>12756722238.370897</v>
      </c>
      <c r="BI180">
        <v>13286066154.960283</v>
      </c>
      <c r="BJ180">
        <v>13785890939.444656</v>
      </c>
      <c r="BK180">
        <v>13025266513.31674</v>
      </c>
      <c r="BL180">
        <v>12699028889.666014</v>
      </c>
      <c r="BM180">
        <v>12678162359.402063</v>
      </c>
      <c r="BN180">
        <v>14145852100.759087</v>
      </c>
      <c r="BO180" s="190">
        <v>15671583877.971224</v>
      </c>
    </row>
    <row r="181" spans="1:67">
      <c r="A181" t="s">
        <v>838</v>
      </c>
      <c r="B181" t="s">
        <v>839</v>
      </c>
      <c r="C181" t="s">
        <v>1018</v>
      </c>
      <c r="D181" t="s">
        <v>1019</v>
      </c>
      <c r="E181">
        <v>12276734172.082758</v>
      </c>
      <c r="F181">
        <v>13493833739.99494</v>
      </c>
      <c r="G181">
        <v>14647057370.141788</v>
      </c>
      <c r="H181">
        <v>15891241386.290953</v>
      </c>
      <c r="I181">
        <v>18699380731.346462</v>
      </c>
      <c r="J181">
        <v>21000586933.204056</v>
      </c>
      <c r="K181">
        <v>22867203317.402157</v>
      </c>
      <c r="L181">
        <v>25087562181.321754</v>
      </c>
      <c r="M181">
        <v>27817605743.250271</v>
      </c>
      <c r="N181">
        <v>34035946604.181541</v>
      </c>
      <c r="O181">
        <v>38164716625.068481</v>
      </c>
      <c r="P181">
        <v>44579122807.01754</v>
      </c>
      <c r="Q181">
        <v>54706557264.487778</v>
      </c>
      <c r="R181">
        <v>71840909664.196762</v>
      </c>
      <c r="S181">
        <v>87243413394.540543</v>
      </c>
      <c r="T181">
        <v>100249523353.0847</v>
      </c>
      <c r="U181">
        <v>109168720620.10335</v>
      </c>
      <c r="V181">
        <v>127016990212.80417</v>
      </c>
      <c r="W181">
        <v>155859695457.32327</v>
      </c>
      <c r="X181">
        <v>179669405690.43173</v>
      </c>
      <c r="Y181">
        <v>195152092662.38086</v>
      </c>
      <c r="Z181">
        <v>164134217080.27905</v>
      </c>
      <c r="AA181">
        <v>158479527935.95773</v>
      </c>
      <c r="AB181">
        <v>153445465987.18246</v>
      </c>
      <c r="AC181">
        <v>143912664148.35165</v>
      </c>
      <c r="AD181">
        <v>143845822717.62207</v>
      </c>
      <c r="AE181">
        <v>200862095700.66562</v>
      </c>
      <c r="AF181">
        <v>245046310922.54132</v>
      </c>
      <c r="AG181">
        <v>261910508417.88382</v>
      </c>
      <c r="AH181">
        <v>258336705808.99927</v>
      </c>
      <c r="AI181">
        <v>318330511920.60992</v>
      </c>
      <c r="AJ181">
        <v>327500327675.62469</v>
      </c>
      <c r="AK181">
        <v>362962872180.45111</v>
      </c>
      <c r="AL181">
        <v>353550169672.5202</v>
      </c>
      <c r="AM181">
        <v>379130260322.07288</v>
      </c>
      <c r="AN181">
        <v>452301674444.1394</v>
      </c>
      <c r="AO181">
        <v>450490196078.43134</v>
      </c>
      <c r="AP181">
        <v>416812740004.51776</v>
      </c>
      <c r="AQ181">
        <v>438008220395.46765</v>
      </c>
      <c r="AR181">
        <v>447049523049.80792</v>
      </c>
      <c r="AS181">
        <v>417479337444.70679</v>
      </c>
      <c r="AT181">
        <v>431586852369.68555</v>
      </c>
      <c r="AU181">
        <v>473861980070.98126</v>
      </c>
      <c r="AV181">
        <v>580070360701.95959</v>
      </c>
      <c r="AW181">
        <v>658380081545.17542</v>
      </c>
      <c r="AX181">
        <v>685348181515.953</v>
      </c>
      <c r="AY181">
        <v>733955269898.82251</v>
      </c>
      <c r="AZ181">
        <v>848558887541.1792</v>
      </c>
      <c r="BA181">
        <v>951869997864.06226</v>
      </c>
      <c r="BB181">
        <v>871518638049.21814</v>
      </c>
      <c r="BC181">
        <v>847380859016.68848</v>
      </c>
      <c r="BD181">
        <v>905270626332.69287</v>
      </c>
      <c r="BE181">
        <v>838923319919.53149</v>
      </c>
      <c r="BF181">
        <v>877172824534.51929</v>
      </c>
      <c r="BG181">
        <v>892167986713.70813</v>
      </c>
      <c r="BH181">
        <v>765572770634.37463</v>
      </c>
      <c r="BI181">
        <v>784060430240.10144</v>
      </c>
      <c r="BJ181">
        <v>833869641687.06775</v>
      </c>
      <c r="BK181">
        <v>914043438179.59094</v>
      </c>
      <c r="BL181">
        <v>910194347568.60974</v>
      </c>
      <c r="BM181">
        <v>909793466661.46558</v>
      </c>
      <c r="BN181">
        <v>1011798853061.9993</v>
      </c>
      <c r="BO181" s="190">
        <v>991114635529.18677</v>
      </c>
    </row>
    <row r="182" spans="1:67">
      <c r="A182" t="s">
        <v>840</v>
      </c>
      <c r="B182" t="s">
        <v>841</v>
      </c>
      <c r="C182" t="s">
        <v>1018</v>
      </c>
      <c r="D182" t="s">
        <v>1019</v>
      </c>
      <c r="E182">
        <v>5163271598.1570234</v>
      </c>
      <c r="F182">
        <v>5632460936.5457554</v>
      </c>
      <c r="G182">
        <v>6066976682.6736364</v>
      </c>
      <c r="H182">
        <v>6510239502.7648907</v>
      </c>
      <c r="I182">
        <v>7159202706.4802685</v>
      </c>
      <c r="J182">
        <v>8058680980.7971382</v>
      </c>
      <c r="K182">
        <v>8696460119.6969929</v>
      </c>
      <c r="L182">
        <v>9514496609.698885</v>
      </c>
      <c r="M182">
        <v>10159934036.728838</v>
      </c>
      <c r="N182">
        <v>11063064974.53977</v>
      </c>
      <c r="O182">
        <v>12814194863.301842</v>
      </c>
      <c r="P182">
        <v>14583103533.035072</v>
      </c>
      <c r="Q182">
        <v>17358481291.416187</v>
      </c>
      <c r="R182">
        <v>22534123432.149303</v>
      </c>
      <c r="S182">
        <v>27145652980.011719</v>
      </c>
      <c r="T182">
        <v>32877543120.252426</v>
      </c>
      <c r="U182">
        <v>35942160908.994209</v>
      </c>
      <c r="V182">
        <v>41508030438.904488</v>
      </c>
      <c r="W182">
        <v>46522900253.705437</v>
      </c>
      <c r="X182">
        <v>53132594368.12294</v>
      </c>
      <c r="Y182">
        <v>64439056747.655563</v>
      </c>
      <c r="Z182">
        <v>63596562434.400764</v>
      </c>
      <c r="AA182">
        <v>62646871991.56813</v>
      </c>
      <c r="AB182">
        <v>61627522382.595993</v>
      </c>
      <c r="AC182">
        <v>62058271862.754585</v>
      </c>
      <c r="AD182">
        <v>65416626280.89901</v>
      </c>
      <c r="AE182">
        <v>78692674637.044983</v>
      </c>
      <c r="AF182">
        <v>94230606535.113434</v>
      </c>
      <c r="AG182">
        <v>101900521458.03662</v>
      </c>
      <c r="AH182">
        <v>102633934390.61482</v>
      </c>
      <c r="AI182">
        <v>119791045690.1176</v>
      </c>
      <c r="AJ182">
        <v>121871665528.42325</v>
      </c>
      <c r="AK182">
        <v>130838022522.86026</v>
      </c>
      <c r="AL182">
        <v>120578717965.73569</v>
      </c>
      <c r="AM182">
        <v>127131604641.38986</v>
      </c>
      <c r="AN182">
        <v>152030652228.01639</v>
      </c>
      <c r="AO182">
        <v>163519897878.10242</v>
      </c>
      <c r="AP182">
        <v>161356612878.69434</v>
      </c>
      <c r="AQ182">
        <v>154230346261.26434</v>
      </c>
      <c r="AR182">
        <v>162384295939.11996</v>
      </c>
      <c r="AS182">
        <v>171456390281.95798</v>
      </c>
      <c r="AT182">
        <v>174240242224.61841</v>
      </c>
      <c r="AU182">
        <v>195915371987.69687</v>
      </c>
      <c r="AV182">
        <v>229384929368.92221</v>
      </c>
      <c r="AW182">
        <v>265267350723.20447</v>
      </c>
      <c r="AX182">
        <v>309978579743.88824</v>
      </c>
      <c r="AY182">
        <v>346913357588.35773</v>
      </c>
      <c r="AZ182">
        <v>402645550184.81641</v>
      </c>
      <c r="BA182">
        <v>464917553191.48938</v>
      </c>
      <c r="BB182">
        <v>387974344023.32379</v>
      </c>
      <c r="BC182">
        <v>431052143940.43817</v>
      </c>
      <c r="BD182">
        <v>501360549669.40381</v>
      </c>
      <c r="BE182">
        <v>512777309840.99701</v>
      </c>
      <c r="BF182">
        <v>526014468085.10638</v>
      </c>
      <c r="BG182">
        <v>501736471832.84814</v>
      </c>
      <c r="BH182">
        <v>388159512245.53046</v>
      </c>
      <c r="BI182">
        <v>370956547619.04761</v>
      </c>
      <c r="BJ182">
        <v>401745275035.26074</v>
      </c>
      <c r="BK182">
        <v>439788625883.79956</v>
      </c>
      <c r="BL182">
        <v>408742840909.09088</v>
      </c>
      <c r="BM182">
        <v>367633418886.62726</v>
      </c>
      <c r="BN182">
        <v>490293364377.1828</v>
      </c>
      <c r="BO182" s="190">
        <v>579267365866.3429</v>
      </c>
    </row>
    <row r="183" spans="1:67">
      <c r="A183" t="s">
        <v>842</v>
      </c>
      <c r="B183" t="s">
        <v>843</v>
      </c>
      <c r="C183" t="s">
        <v>1018</v>
      </c>
      <c r="D183" t="s">
        <v>1019</v>
      </c>
      <c r="E183">
        <v>508334413.96508729</v>
      </c>
      <c r="F183">
        <v>531959561.16012067</v>
      </c>
      <c r="G183">
        <v>574091100.69564128</v>
      </c>
      <c r="H183">
        <v>496947904.44303292</v>
      </c>
      <c r="I183">
        <v>496098775.30864197</v>
      </c>
      <c r="J183">
        <v>735267081.6555016</v>
      </c>
      <c r="K183">
        <v>906811943.82464898</v>
      </c>
      <c r="L183">
        <v>841974025.46265912</v>
      </c>
      <c r="M183">
        <v>772231413.8826251</v>
      </c>
      <c r="N183">
        <v>788641964.64345682</v>
      </c>
      <c r="O183">
        <v>865975307.77600002</v>
      </c>
      <c r="P183">
        <v>882765470.72217286</v>
      </c>
      <c r="Q183">
        <v>1024098397.7993107</v>
      </c>
      <c r="R183">
        <v>972101724.99536812</v>
      </c>
      <c r="S183">
        <v>1217953546.9760365</v>
      </c>
      <c r="T183">
        <v>1575789254.4693801</v>
      </c>
      <c r="U183">
        <v>1452788944.4562771</v>
      </c>
      <c r="V183">
        <v>1382400000</v>
      </c>
      <c r="W183">
        <v>1604162497.4594529</v>
      </c>
      <c r="X183">
        <v>1851250008.3333333</v>
      </c>
      <c r="Y183">
        <v>1945916583.3333333</v>
      </c>
      <c r="Z183">
        <v>2275583316.6666665</v>
      </c>
      <c r="AA183">
        <v>2395423680.228518</v>
      </c>
      <c r="AB183">
        <v>2447174803.5405083</v>
      </c>
      <c r="AC183">
        <v>2581207387.7970943</v>
      </c>
      <c r="AD183">
        <v>2619913955.515564</v>
      </c>
      <c r="AE183">
        <v>2850782092.6938658</v>
      </c>
      <c r="AF183">
        <v>2957255379.5431495</v>
      </c>
      <c r="AG183">
        <v>3487009748.3563819</v>
      </c>
      <c r="AH183">
        <v>3525225832.9905343</v>
      </c>
      <c r="AI183">
        <v>3627560281.9050469</v>
      </c>
      <c r="AJ183">
        <v>3921476084.8907189</v>
      </c>
      <c r="AK183">
        <v>3401211581.2917595</v>
      </c>
      <c r="AL183">
        <v>3660041666.6666665</v>
      </c>
      <c r="AM183">
        <v>4066775510.2040815</v>
      </c>
      <c r="AN183">
        <v>4401104417.6706829</v>
      </c>
      <c r="AO183">
        <v>4521580381.4713898</v>
      </c>
      <c r="AP183">
        <v>4918691916.5351572</v>
      </c>
      <c r="AQ183">
        <v>4856255044.3906374</v>
      </c>
      <c r="AR183">
        <v>5033642384.1059599</v>
      </c>
      <c r="AS183">
        <v>5494252207.9050245</v>
      </c>
      <c r="AT183">
        <v>6007055042.1768703</v>
      </c>
      <c r="AU183">
        <v>6050875806.664032</v>
      </c>
      <c r="AV183">
        <v>6330473096.5407085</v>
      </c>
      <c r="AW183">
        <v>7273938314.7198763</v>
      </c>
      <c r="AX183">
        <v>8130258415.2921476</v>
      </c>
      <c r="AY183">
        <v>9043715355.8880978</v>
      </c>
      <c r="AZ183">
        <v>10325618017.378969</v>
      </c>
      <c r="BA183">
        <v>12545438605.395878</v>
      </c>
      <c r="BB183">
        <v>12854985464.076431</v>
      </c>
      <c r="BC183">
        <v>16002656434.474615</v>
      </c>
      <c r="BD183">
        <v>21573872273.669529</v>
      </c>
      <c r="BE183">
        <v>21703100746.820614</v>
      </c>
      <c r="BF183">
        <v>22162205045.973061</v>
      </c>
      <c r="BG183">
        <v>22731612827.345818</v>
      </c>
      <c r="BH183">
        <v>24360801338.054329</v>
      </c>
      <c r="BI183">
        <v>24524109484.745346</v>
      </c>
      <c r="BJ183">
        <v>28971588880.820824</v>
      </c>
      <c r="BK183">
        <v>33111525182.713257</v>
      </c>
      <c r="BL183">
        <v>34186180694.928478</v>
      </c>
      <c r="BM183">
        <v>33433659223.178932</v>
      </c>
      <c r="BN183">
        <v>36924841430.057381</v>
      </c>
      <c r="BO183" s="190">
        <v>40828247302.485085</v>
      </c>
    </row>
    <row r="184" spans="1:67">
      <c r="A184" t="s">
        <v>844</v>
      </c>
      <c r="B184" t="s">
        <v>845</v>
      </c>
      <c r="C184" t="s">
        <v>1018</v>
      </c>
      <c r="D184" t="s">
        <v>1019</v>
      </c>
      <c r="BC184">
        <v>47562842.365835443</v>
      </c>
      <c r="BD184">
        <v>65071849.57513354</v>
      </c>
      <c r="BE184">
        <v>101055718.55150288</v>
      </c>
      <c r="BF184">
        <v>94384979.010946736</v>
      </c>
      <c r="BG184">
        <v>99149259.836562395</v>
      </c>
      <c r="BH184">
        <v>84863407.865009338</v>
      </c>
      <c r="BI184">
        <v>97541914.583304539</v>
      </c>
      <c r="BJ184">
        <v>109355653.69074246</v>
      </c>
      <c r="BK184">
        <v>130995580.09215406</v>
      </c>
      <c r="BL184">
        <v>125160081.80545966</v>
      </c>
      <c r="BM184">
        <v>124685686.62288938</v>
      </c>
      <c r="BN184">
        <v>145536603.23479125</v>
      </c>
      <c r="BO184" s="190">
        <v>150922211.04425794</v>
      </c>
    </row>
    <row r="185" spans="1:67">
      <c r="A185" s="185" t="s">
        <v>846</v>
      </c>
      <c r="B185" s="185" t="s">
        <v>847</v>
      </c>
      <c r="C185" s="185" t="s">
        <v>1018</v>
      </c>
      <c r="D185" s="185" t="s">
        <v>1019</v>
      </c>
      <c r="E185" s="185">
        <v>5485854791.9709644</v>
      </c>
      <c r="F185" s="185">
        <v>5670064168.2177305</v>
      </c>
      <c r="G185" s="185">
        <v>6077496267.7629433</v>
      </c>
      <c r="H185" s="185">
        <v>6638937283.1396275</v>
      </c>
      <c r="I185" s="185">
        <v>7274144350.8180857</v>
      </c>
      <c r="J185" s="185">
        <v>5654463548.9003077</v>
      </c>
      <c r="K185" s="185">
        <v>5863733192.4996204</v>
      </c>
      <c r="L185" s="185">
        <v>5961418093.5300255</v>
      </c>
      <c r="M185" s="185">
        <v>5180597708.877306</v>
      </c>
      <c r="N185" s="185">
        <v>5761588859.8256092</v>
      </c>
      <c r="O185" s="185"/>
      <c r="P185" s="185">
        <v>7911136757.0686665</v>
      </c>
      <c r="Q185" s="185">
        <v>9567202750.7233124</v>
      </c>
      <c r="R185" s="185">
        <v>12802281897.871157</v>
      </c>
      <c r="S185" s="185">
        <v>13940743959.458288</v>
      </c>
      <c r="T185" s="185">
        <v>12861983284.391235</v>
      </c>
      <c r="U185" s="185">
        <v>13604832424.006235</v>
      </c>
      <c r="V185" s="185">
        <v>15446082335.718678</v>
      </c>
      <c r="W185" s="185">
        <v>18530518394.64883</v>
      </c>
      <c r="X185" s="185">
        <v>20730291375.987186</v>
      </c>
      <c r="Y185" s="185">
        <v>23244547384.674774</v>
      </c>
      <c r="Z185" s="185">
        <v>24417769672.484058</v>
      </c>
      <c r="AA185" s="185">
        <v>24164603058.994904</v>
      </c>
      <c r="AB185" s="185">
        <v>24308680631.430733</v>
      </c>
      <c r="AC185" s="185">
        <v>21665582141.067741</v>
      </c>
      <c r="AD185" s="185">
        <v>24679290455.61198</v>
      </c>
      <c r="AE185" s="185">
        <v>30604668356.5695</v>
      </c>
      <c r="AF185" s="185">
        <v>40375812560.029541</v>
      </c>
      <c r="AG185" s="185">
        <v>45176423605.594467</v>
      </c>
      <c r="AH185" s="185">
        <v>43920222524.708527</v>
      </c>
      <c r="AI185" s="185">
        <v>45495129385.047508</v>
      </c>
      <c r="AJ185" s="185">
        <v>42744828653.351402</v>
      </c>
      <c r="AK185" s="185">
        <v>41649386969.513298</v>
      </c>
      <c r="AL185" s="185">
        <v>46775038748.757339</v>
      </c>
      <c r="AM185" s="185">
        <v>55313381442.543686</v>
      </c>
      <c r="AN185" s="185">
        <v>63916899263.935493</v>
      </c>
      <c r="AO185" s="185">
        <v>70140835299.014847</v>
      </c>
      <c r="AP185" s="185">
        <v>66073130218.352776</v>
      </c>
      <c r="AQ185" s="185">
        <v>56226503975.820068</v>
      </c>
      <c r="AR185" s="185">
        <v>58762260625.875755</v>
      </c>
      <c r="AS185" s="185">
        <v>52622954598.929878</v>
      </c>
      <c r="AT185" s="185">
        <v>53872463497.170319</v>
      </c>
      <c r="AU185" s="185">
        <v>66627729311.449547</v>
      </c>
      <c r="AV185" s="185">
        <v>88250885550.262619</v>
      </c>
      <c r="AW185" s="185">
        <v>103905628688.94867</v>
      </c>
      <c r="AX185" s="185">
        <v>114720129550.09506</v>
      </c>
      <c r="AY185" s="185">
        <v>111538810712.66455</v>
      </c>
      <c r="AZ185" s="185">
        <v>137188946865.58389</v>
      </c>
      <c r="BA185" s="185">
        <v>133131369930.414</v>
      </c>
      <c r="BB185" s="185">
        <v>121373602348.67886</v>
      </c>
      <c r="BC185" s="185">
        <v>146517541181.254</v>
      </c>
      <c r="BD185" s="185">
        <v>168291357111.73914</v>
      </c>
      <c r="BE185" s="185">
        <v>176206659722.52399</v>
      </c>
      <c r="BF185" s="185">
        <v>190906575136.00269</v>
      </c>
      <c r="BG185" s="185">
        <v>201313497220.91696</v>
      </c>
      <c r="BH185" s="185">
        <v>178064471137.92081</v>
      </c>
      <c r="BI185" s="185">
        <v>188838342527.97549</v>
      </c>
      <c r="BJ185" s="185">
        <v>206556258844.56705</v>
      </c>
      <c r="BK185" s="185">
        <v>211886686924.48343</v>
      </c>
      <c r="BL185" s="185">
        <v>213091987153.09232</v>
      </c>
      <c r="BM185" s="185">
        <v>212569779569.51523</v>
      </c>
      <c r="BN185" s="185">
        <v>255551704625.83112</v>
      </c>
      <c r="BO185" s="191">
        <v>247234053739.26712</v>
      </c>
    </row>
    <row r="186" spans="1:67">
      <c r="A186" t="s">
        <v>848</v>
      </c>
      <c r="B186" t="s">
        <v>849</v>
      </c>
      <c r="C186" t="s">
        <v>1018</v>
      </c>
      <c r="D186" t="s">
        <v>1019</v>
      </c>
      <c r="E186">
        <v>1074536963868.012</v>
      </c>
      <c r="F186">
        <v>1137842040851.9565</v>
      </c>
      <c r="G186">
        <v>1227852102269.1248</v>
      </c>
      <c r="H186">
        <v>1323009087447.2461</v>
      </c>
      <c r="I186">
        <v>1446027927230.7034</v>
      </c>
      <c r="J186">
        <v>1569569743833.1243</v>
      </c>
      <c r="K186">
        <v>1722667267357.0435</v>
      </c>
      <c r="L186">
        <v>1849091101785.864</v>
      </c>
      <c r="M186">
        <v>2005166564863.8989</v>
      </c>
      <c r="N186">
        <v>2205629988354.1006</v>
      </c>
      <c r="O186">
        <v>2404686247123.1479</v>
      </c>
      <c r="P186">
        <v>2662824955390.3765</v>
      </c>
      <c r="Q186">
        <v>3088752725507.6421</v>
      </c>
      <c r="R186">
        <v>3731756890937.9263</v>
      </c>
      <c r="S186">
        <v>4181384546714.5723</v>
      </c>
      <c r="T186">
        <v>4686670470383.0283</v>
      </c>
      <c r="U186">
        <v>5082767159669.0801</v>
      </c>
      <c r="V186">
        <v>5734505486703.2188</v>
      </c>
      <c r="W186">
        <v>6889276867199.6357</v>
      </c>
      <c r="X186">
        <v>7957663433300.5645</v>
      </c>
      <c r="Y186">
        <v>8844458238434.8984</v>
      </c>
      <c r="Z186">
        <v>9003003819108.5234</v>
      </c>
      <c r="AA186">
        <v>8868580154612.2285</v>
      </c>
      <c r="AB186">
        <v>9158864455518.7754</v>
      </c>
      <c r="AC186">
        <v>9578521106787.2266</v>
      </c>
      <c r="AD186">
        <v>10088394120629.854</v>
      </c>
      <c r="AE186">
        <v>12218980287920.986</v>
      </c>
      <c r="AF186">
        <v>14150712774129.512</v>
      </c>
      <c r="AG186">
        <v>15950200829698.418</v>
      </c>
      <c r="AH186">
        <v>16691782038666.23</v>
      </c>
      <c r="AI186">
        <v>18803260663340.531</v>
      </c>
      <c r="AJ186">
        <v>19902760618767.793</v>
      </c>
      <c r="AK186">
        <v>21404714023723.016</v>
      </c>
      <c r="AL186">
        <v>21696329187635.875</v>
      </c>
      <c r="AM186">
        <v>23279672410310.129</v>
      </c>
      <c r="AN186">
        <v>25663192019641.266</v>
      </c>
      <c r="AO186">
        <v>25880226257352.707</v>
      </c>
      <c r="AP186">
        <v>25485456595205.457</v>
      </c>
      <c r="AQ186">
        <v>25745258707977.09</v>
      </c>
      <c r="AR186">
        <v>27041441623625.871</v>
      </c>
      <c r="AS186">
        <v>27635544739434.926</v>
      </c>
      <c r="AT186">
        <v>27374583037446.773</v>
      </c>
      <c r="AU186">
        <v>28563009910366.594</v>
      </c>
      <c r="AV186">
        <v>31951205451316.277</v>
      </c>
      <c r="AW186">
        <v>35572822806797.969</v>
      </c>
      <c r="AX186">
        <v>37609340450462.875</v>
      </c>
      <c r="AY186">
        <v>39674408824856.531</v>
      </c>
      <c r="AZ186">
        <v>43436115388658.289</v>
      </c>
      <c r="BA186">
        <v>46122698414753.953</v>
      </c>
      <c r="BB186">
        <v>43144826371455.578</v>
      </c>
      <c r="BC186">
        <v>45255639867938.531</v>
      </c>
      <c r="BD186">
        <v>48674651671113.031</v>
      </c>
      <c r="BE186">
        <v>48622412695259.984</v>
      </c>
      <c r="BF186">
        <v>49270437358352.688</v>
      </c>
      <c r="BG186">
        <v>50278943454195.938</v>
      </c>
      <c r="BH186">
        <v>47411160772825.297</v>
      </c>
      <c r="BI186">
        <v>48327404425594.195</v>
      </c>
      <c r="BJ186">
        <v>50447226919268.781</v>
      </c>
      <c r="BK186">
        <v>53371534234287.047</v>
      </c>
      <c r="BL186">
        <v>53878159069137.102</v>
      </c>
      <c r="BM186">
        <v>52536127270671.688</v>
      </c>
      <c r="BN186">
        <v>58363931312919.008</v>
      </c>
      <c r="BO186" s="190">
        <v>59596537275134.07</v>
      </c>
    </row>
    <row r="187" spans="1:67">
      <c r="A187" t="s">
        <v>850</v>
      </c>
      <c r="B187" t="s">
        <v>851</v>
      </c>
      <c r="C187" t="s">
        <v>1018</v>
      </c>
      <c r="D187" t="s">
        <v>1019</v>
      </c>
      <c r="J187">
        <v>63279974.801914006</v>
      </c>
      <c r="K187">
        <v>67759973.017978713</v>
      </c>
      <c r="L187">
        <v>107151734.04886472</v>
      </c>
      <c r="M187">
        <v>188879849.16055229</v>
      </c>
      <c r="N187">
        <v>239999808.33615285</v>
      </c>
      <c r="O187">
        <v>256319795.30301127</v>
      </c>
      <c r="P187">
        <v>301010587.10298359</v>
      </c>
      <c r="Q187">
        <v>366883549.30358195</v>
      </c>
      <c r="R187">
        <v>483066762.40158874</v>
      </c>
      <c r="S187">
        <v>1645917781.2562761</v>
      </c>
      <c r="T187">
        <v>2096699195.4160371</v>
      </c>
      <c r="U187">
        <v>2560220042.1546612</v>
      </c>
      <c r="V187">
        <v>2741169955.8227272</v>
      </c>
      <c r="W187">
        <v>2740301397.6268134</v>
      </c>
      <c r="X187">
        <v>3733352645.4352999</v>
      </c>
      <c r="Y187">
        <v>5981760295.256978</v>
      </c>
      <c r="Z187">
        <v>7259120171.5666475</v>
      </c>
      <c r="AA187">
        <v>7554719477.5759106</v>
      </c>
      <c r="AB187">
        <v>7932541713.7595301</v>
      </c>
      <c r="AC187">
        <v>8821430391.5795536</v>
      </c>
      <c r="AD187">
        <v>10005645420.460632</v>
      </c>
      <c r="AE187">
        <v>7324168966.986433</v>
      </c>
      <c r="AF187">
        <v>7811183094.9284782</v>
      </c>
      <c r="AG187">
        <v>8386215864.759428</v>
      </c>
      <c r="AH187">
        <v>9372171651.4954491</v>
      </c>
      <c r="AI187">
        <v>11685045513.654097</v>
      </c>
      <c r="AJ187">
        <v>11341482444.733419</v>
      </c>
      <c r="AK187">
        <v>12452275682.704811</v>
      </c>
      <c r="AL187">
        <v>12493107932.379713</v>
      </c>
      <c r="AM187">
        <v>12918855656.697008</v>
      </c>
      <c r="AN187">
        <v>13802600780.23407</v>
      </c>
      <c r="AO187">
        <v>15277763328.998699</v>
      </c>
      <c r="AP187">
        <v>15837451235.370611</v>
      </c>
      <c r="AQ187">
        <v>13996914694.408321</v>
      </c>
      <c r="AR187">
        <v>15593456176.853056</v>
      </c>
      <c r="AS187">
        <v>19507452535.760727</v>
      </c>
      <c r="AT187">
        <v>19452000520.156048</v>
      </c>
      <c r="AU187">
        <v>20142756046.814045</v>
      </c>
      <c r="AV187">
        <v>21633708192.457737</v>
      </c>
      <c r="AW187">
        <v>24763712873.86216</v>
      </c>
      <c r="AX187">
        <v>31081991677.50325</v>
      </c>
      <c r="AY187">
        <v>37215779713.914177</v>
      </c>
      <c r="AZ187">
        <v>42085379453.836151</v>
      </c>
      <c r="BA187">
        <v>60905452535.760727</v>
      </c>
      <c r="BB187">
        <v>48388363589.076721</v>
      </c>
      <c r="BC187">
        <v>64993498049.414825</v>
      </c>
      <c r="BD187">
        <v>77497529258.777634</v>
      </c>
      <c r="BE187">
        <v>87408842652.795822</v>
      </c>
      <c r="BF187">
        <v>89936020806.241867</v>
      </c>
      <c r="BG187">
        <v>92699089726.918076</v>
      </c>
      <c r="BH187">
        <v>78710793237.97139</v>
      </c>
      <c r="BI187">
        <v>75128738621.586472</v>
      </c>
      <c r="BJ187">
        <v>80856697009.102722</v>
      </c>
      <c r="BK187">
        <v>91505851755.526657</v>
      </c>
      <c r="BL187">
        <v>88060858257.477234</v>
      </c>
      <c r="BM187">
        <v>75909397659.297791</v>
      </c>
      <c r="BN187">
        <v>88191977373.211975</v>
      </c>
      <c r="BO187" s="190">
        <v>114667360208.06242</v>
      </c>
    </row>
    <row r="188" spans="1:67">
      <c r="A188" t="s">
        <v>852</v>
      </c>
      <c r="B188" t="s">
        <v>853</v>
      </c>
      <c r="C188" t="s">
        <v>1018</v>
      </c>
      <c r="D188" t="s">
        <v>1019</v>
      </c>
      <c r="O188">
        <v>3136792480.7625394</v>
      </c>
      <c r="P188">
        <v>3723790335.1926637</v>
      </c>
      <c r="Q188">
        <v>4506983784.267458</v>
      </c>
      <c r="R188">
        <v>6529982802.2148237</v>
      </c>
      <c r="S188">
        <v>12038470436.904587</v>
      </c>
      <c r="T188">
        <v>13438157792.53768</v>
      </c>
      <c r="U188">
        <v>16705643657.856001</v>
      </c>
      <c r="V188">
        <v>18811847922.442047</v>
      </c>
      <c r="W188">
        <v>20754149836.909286</v>
      </c>
      <c r="X188">
        <v>26949571910.038624</v>
      </c>
      <c r="Y188">
        <v>37433945856.965492</v>
      </c>
      <c r="Z188">
        <v>37631523061.372429</v>
      </c>
      <c r="AA188">
        <v>35595407219.96064</v>
      </c>
      <c r="AB188">
        <v>33626483058.680801</v>
      </c>
      <c r="AC188">
        <v>33869280908.774021</v>
      </c>
      <c r="AD188">
        <v>32188255618.666752</v>
      </c>
      <c r="AE188">
        <v>32597410212.007793</v>
      </c>
      <c r="AF188">
        <v>38688149559.656799</v>
      </c>
      <c r="AG188">
        <v>43466381093.696579</v>
      </c>
      <c r="AH188">
        <v>45513212160.685707</v>
      </c>
      <c r="AI188">
        <v>54470069179.18721</v>
      </c>
      <c r="AJ188">
        <v>56088598973.77549</v>
      </c>
      <c r="AK188">
        <v>61185089378.191887</v>
      </c>
      <c r="AL188">
        <v>58270242536.919777</v>
      </c>
      <c r="AM188">
        <v>60952773467.573479</v>
      </c>
      <c r="AN188">
        <v>69995035765.86467</v>
      </c>
      <c r="AO188">
        <v>73779037903.224701</v>
      </c>
      <c r="AP188">
        <v>76822131943.54541</v>
      </c>
      <c r="AQ188">
        <v>75274017479.783676</v>
      </c>
      <c r="AR188">
        <v>81019607839.79129</v>
      </c>
      <c r="AS188">
        <v>91702715004.086929</v>
      </c>
      <c r="AT188">
        <v>91249698436.278275</v>
      </c>
      <c r="AU188">
        <v>98381529622.516418</v>
      </c>
      <c r="AV188">
        <v>122230903916.66867</v>
      </c>
      <c r="AW188">
        <v>151646041505.87878</v>
      </c>
      <c r="AX188">
        <v>183677137343.92477</v>
      </c>
      <c r="AY188">
        <v>215631597860.03625</v>
      </c>
      <c r="AZ188">
        <v>263863420304.965</v>
      </c>
      <c r="BA188">
        <v>322995519907.26495</v>
      </c>
      <c r="BB188">
        <v>277194805059.55896</v>
      </c>
      <c r="BC188">
        <v>322561398956.71075</v>
      </c>
      <c r="BD188">
        <v>396974173386.15796</v>
      </c>
      <c r="BE188">
        <v>413999903828.32196</v>
      </c>
      <c r="BF188">
        <v>432056568012.84155</v>
      </c>
      <c r="BG188">
        <v>446620927907.66486</v>
      </c>
      <c r="BH188">
        <v>370450170724.57458</v>
      </c>
      <c r="BI188">
        <v>366511615959.01282</v>
      </c>
      <c r="BJ188">
        <v>399126295563.39606</v>
      </c>
      <c r="BK188">
        <v>443078577997.34985</v>
      </c>
      <c r="BL188">
        <v>434119014495.41248</v>
      </c>
      <c r="BM188">
        <v>378201169802.00684</v>
      </c>
      <c r="BN188">
        <v>455685066365.31055</v>
      </c>
      <c r="BO188" s="190">
        <v>529870616389.92902</v>
      </c>
    </row>
    <row r="189" spans="1:67">
      <c r="A189" t="s">
        <v>854</v>
      </c>
      <c r="B189" t="s">
        <v>855</v>
      </c>
      <c r="C189" t="s">
        <v>1018</v>
      </c>
      <c r="D189" t="s">
        <v>1019</v>
      </c>
      <c r="E189">
        <v>3749265014.6997066</v>
      </c>
      <c r="F189">
        <v>4118647627.0474596</v>
      </c>
      <c r="G189">
        <v>4310163796.7240658</v>
      </c>
      <c r="H189">
        <v>4630827383.4523315</v>
      </c>
      <c r="I189">
        <v>5204955900.8819828</v>
      </c>
      <c r="J189">
        <v>5929231415.3716927</v>
      </c>
      <c r="K189">
        <v>6561108777.8244438</v>
      </c>
      <c r="L189">
        <v>7464510709.7858047</v>
      </c>
      <c r="M189">
        <v>8041999160.0167999</v>
      </c>
      <c r="N189">
        <v>8683116337.6732464</v>
      </c>
      <c r="O189">
        <v>10027509449.811005</v>
      </c>
      <c r="P189">
        <v>10665896682.06636</v>
      </c>
      <c r="Q189">
        <v>9415016359.56604</v>
      </c>
      <c r="R189">
        <v>6383429490.2109146</v>
      </c>
      <c r="S189">
        <v>8899191919.1919193</v>
      </c>
      <c r="T189">
        <v>11230606060.60606</v>
      </c>
      <c r="U189">
        <v>13168080808.080807</v>
      </c>
      <c r="V189">
        <v>15126060606.060606</v>
      </c>
      <c r="W189">
        <v>17811515151.515152</v>
      </c>
      <c r="X189">
        <v>19688383838.383839</v>
      </c>
      <c r="Y189">
        <v>23654444444.444443</v>
      </c>
      <c r="Z189">
        <v>28100606060.60606</v>
      </c>
      <c r="AA189">
        <v>30725971563.981041</v>
      </c>
      <c r="AB189">
        <v>28691889763.77953</v>
      </c>
      <c r="AC189">
        <v>31151825467.497772</v>
      </c>
      <c r="AD189">
        <v>31144920844.327175</v>
      </c>
      <c r="AE189">
        <v>31899070055.796654</v>
      </c>
      <c r="AF189">
        <v>33351529274.686863</v>
      </c>
      <c r="AG189">
        <v>38472742808.316719</v>
      </c>
      <c r="AH189">
        <v>40171105580.197334</v>
      </c>
      <c r="AI189">
        <v>40010423970.457626</v>
      </c>
      <c r="AJ189">
        <v>45625336680.204651</v>
      </c>
      <c r="AK189">
        <v>48884672605.035622</v>
      </c>
      <c r="AL189">
        <v>51809999353.161354</v>
      </c>
      <c r="AM189">
        <v>52293471392.586678</v>
      </c>
      <c r="AN189">
        <v>60636071684.191795</v>
      </c>
      <c r="AO189">
        <v>63320170084.407555</v>
      </c>
      <c r="AP189">
        <v>62433340468.022774</v>
      </c>
      <c r="AQ189">
        <v>62191955814.347801</v>
      </c>
      <c r="AR189">
        <v>62973856843.573921</v>
      </c>
      <c r="AS189">
        <v>82017743416.284134</v>
      </c>
      <c r="AT189">
        <v>79484403984.884918</v>
      </c>
      <c r="AU189">
        <v>79904985384.865219</v>
      </c>
      <c r="AV189">
        <v>91760542940.071701</v>
      </c>
      <c r="AW189">
        <v>107759683863.12315</v>
      </c>
      <c r="AX189">
        <v>120055291992.93773</v>
      </c>
      <c r="AY189">
        <v>137264061106.04344</v>
      </c>
      <c r="AZ189">
        <v>152385716311.91638</v>
      </c>
      <c r="BA189">
        <v>170077814106.3049</v>
      </c>
      <c r="BB189">
        <v>168152775283.03162</v>
      </c>
      <c r="BC189">
        <v>177165547828.88937</v>
      </c>
      <c r="BD189">
        <v>213587517187.66855</v>
      </c>
      <c r="BE189">
        <v>224383544087.45175</v>
      </c>
      <c r="BF189">
        <v>231218467669.57086</v>
      </c>
      <c r="BG189">
        <v>244360858682.7619</v>
      </c>
      <c r="BH189">
        <v>270556104886.45572</v>
      </c>
      <c r="BI189">
        <v>313629998960.4447</v>
      </c>
      <c r="BJ189">
        <v>339205536454.44537</v>
      </c>
      <c r="BK189">
        <v>356128167702.89368</v>
      </c>
      <c r="BL189">
        <v>320909472926.46075</v>
      </c>
      <c r="BM189">
        <v>300425609206.1795</v>
      </c>
      <c r="BN189">
        <v>348262544719.24731</v>
      </c>
      <c r="BO189" s="190">
        <v>376532751806.9892</v>
      </c>
    </row>
    <row r="190" spans="1:67">
      <c r="A190" t="s">
        <v>856</v>
      </c>
      <c r="B190" t="s">
        <v>857</v>
      </c>
      <c r="C190" t="s">
        <v>1018</v>
      </c>
      <c r="D190" t="s">
        <v>1019</v>
      </c>
      <c r="E190">
        <v>537147100</v>
      </c>
      <c r="F190">
        <v>599026300</v>
      </c>
      <c r="G190">
        <v>652120900</v>
      </c>
      <c r="H190">
        <v>722784500</v>
      </c>
      <c r="I190">
        <v>776137500</v>
      </c>
      <c r="J190">
        <v>852485300</v>
      </c>
      <c r="K190">
        <v>928833000</v>
      </c>
      <c r="L190">
        <v>1034376400.0000001</v>
      </c>
      <c r="M190">
        <v>1112791100</v>
      </c>
      <c r="N190">
        <v>1221305700</v>
      </c>
      <c r="O190">
        <v>1351006400</v>
      </c>
      <c r="P190">
        <v>1523917200</v>
      </c>
      <c r="Q190">
        <v>1673411700</v>
      </c>
      <c r="R190">
        <v>1913793400</v>
      </c>
      <c r="S190">
        <v>2188307600</v>
      </c>
      <c r="T190">
        <v>2435304100</v>
      </c>
      <c r="U190">
        <v>2588106000</v>
      </c>
      <c r="V190">
        <v>2738261900</v>
      </c>
      <c r="W190">
        <v>3244558600</v>
      </c>
      <c r="X190">
        <v>3704551600</v>
      </c>
      <c r="Y190">
        <v>4614086400</v>
      </c>
      <c r="Z190">
        <v>5222421500</v>
      </c>
      <c r="AA190">
        <v>5769767900</v>
      </c>
      <c r="AB190">
        <v>5923755900</v>
      </c>
      <c r="AC190">
        <v>6183387100</v>
      </c>
      <c r="AD190">
        <v>6541517100</v>
      </c>
      <c r="AE190">
        <v>6797834200</v>
      </c>
      <c r="AF190">
        <v>6827665300</v>
      </c>
      <c r="AG190">
        <v>5902783400</v>
      </c>
      <c r="AH190">
        <v>5918469800</v>
      </c>
      <c r="AI190">
        <v>6433967000</v>
      </c>
      <c r="AJ190">
        <v>7074675500</v>
      </c>
      <c r="AK190">
        <v>8042337700</v>
      </c>
      <c r="AL190">
        <v>8782585400</v>
      </c>
      <c r="AM190">
        <v>9365289800</v>
      </c>
      <c r="AN190">
        <v>9573813700</v>
      </c>
      <c r="AO190">
        <v>9870494000</v>
      </c>
      <c r="AP190">
        <v>10677286100</v>
      </c>
      <c r="AQ190">
        <v>11575486400</v>
      </c>
      <c r="AR190">
        <v>12130252200</v>
      </c>
      <c r="AS190">
        <v>12304115000</v>
      </c>
      <c r="AT190">
        <v>12502013400</v>
      </c>
      <c r="AU190">
        <v>12994310400</v>
      </c>
      <c r="AV190">
        <v>13693981200</v>
      </c>
      <c r="AW190">
        <v>15013381700</v>
      </c>
      <c r="AX190">
        <v>16374393900</v>
      </c>
      <c r="AY190">
        <v>18141666300</v>
      </c>
      <c r="AZ190">
        <v>21295984200</v>
      </c>
      <c r="BA190">
        <v>25155888600</v>
      </c>
      <c r="BB190">
        <v>27116635600</v>
      </c>
      <c r="BC190">
        <v>29440287600</v>
      </c>
      <c r="BD190">
        <v>34686224300</v>
      </c>
      <c r="BE190">
        <v>40429700000</v>
      </c>
      <c r="BF190">
        <v>45599900000</v>
      </c>
      <c r="BG190">
        <v>49921400000</v>
      </c>
      <c r="BH190">
        <v>54091800000</v>
      </c>
      <c r="BI190">
        <v>57907700000</v>
      </c>
      <c r="BJ190">
        <v>62202700000</v>
      </c>
      <c r="BK190">
        <v>67294169234.629097</v>
      </c>
      <c r="BL190">
        <v>69721787532.978897</v>
      </c>
      <c r="BM190">
        <v>57086836942.405197</v>
      </c>
      <c r="BN190">
        <v>67406738051.743698</v>
      </c>
      <c r="BO190" s="190">
        <v>76522511780.622192</v>
      </c>
    </row>
    <row r="191" spans="1:67">
      <c r="A191" t="s">
        <v>858</v>
      </c>
      <c r="B191" t="s">
        <v>859</v>
      </c>
      <c r="C191" t="s">
        <v>1018</v>
      </c>
      <c r="D191" t="s">
        <v>1019</v>
      </c>
      <c r="E191">
        <v>2571986572.127192</v>
      </c>
      <c r="F191">
        <v>2897852693.2749424</v>
      </c>
      <c r="G191">
        <v>3284322201.2783122</v>
      </c>
      <c r="H191">
        <v>3598272493.3108978</v>
      </c>
      <c r="I191">
        <v>4353664866.6798534</v>
      </c>
      <c r="J191">
        <v>5163008077.3737135</v>
      </c>
      <c r="K191">
        <v>6109048736.6185331</v>
      </c>
      <c r="L191">
        <v>6194340079.8786001</v>
      </c>
      <c r="M191">
        <v>5736083835.2903376</v>
      </c>
      <c r="N191">
        <v>6420909789.8299971</v>
      </c>
      <c r="O191">
        <v>7432223176.9362326</v>
      </c>
      <c r="P191">
        <v>8289582883.676733</v>
      </c>
      <c r="Q191">
        <v>9189413409.2813797</v>
      </c>
      <c r="R191">
        <v>10994381895.116135</v>
      </c>
      <c r="S191">
        <v>13858441211.469212</v>
      </c>
      <c r="T191">
        <v>16931162355.480209</v>
      </c>
      <c r="U191">
        <v>16131958850.644405</v>
      </c>
      <c r="V191">
        <v>14544913960.506155</v>
      </c>
      <c r="W191">
        <v>12491876742.970816</v>
      </c>
      <c r="X191">
        <v>15954012439.166182</v>
      </c>
      <c r="Y191">
        <v>18136838537.724957</v>
      </c>
      <c r="Z191">
        <v>21648214892.882786</v>
      </c>
      <c r="AA191">
        <v>21794535621.215958</v>
      </c>
      <c r="AB191">
        <v>17345260564.482391</v>
      </c>
      <c r="AC191">
        <v>17600400384.507301</v>
      </c>
      <c r="AD191">
        <v>15078736875.386955</v>
      </c>
      <c r="AE191">
        <v>21859448586.485031</v>
      </c>
      <c r="AF191">
        <v>36889706592.684326</v>
      </c>
      <c r="AG191">
        <v>15439408447.200001</v>
      </c>
      <c r="AH191">
        <v>22499559086.058689</v>
      </c>
      <c r="AI191">
        <v>26410386669.353191</v>
      </c>
      <c r="AJ191">
        <v>34341465998.200283</v>
      </c>
      <c r="AK191">
        <v>35966302303.262955</v>
      </c>
      <c r="AL191">
        <v>34832077220.853653</v>
      </c>
      <c r="AM191">
        <v>44882079766.891273</v>
      </c>
      <c r="AN191">
        <v>53312793687.383636</v>
      </c>
      <c r="AO191">
        <v>55252414130.301918</v>
      </c>
      <c r="AP191">
        <v>58147522522.522522</v>
      </c>
      <c r="AQ191">
        <v>55501467877.381035</v>
      </c>
      <c r="AR191">
        <v>50187324567.882996</v>
      </c>
      <c r="AS191">
        <v>51744749133.21299</v>
      </c>
      <c r="AT191">
        <v>52030158775.405487</v>
      </c>
      <c r="AU191">
        <v>54777553515.080879</v>
      </c>
      <c r="AV191">
        <v>58731030121.867096</v>
      </c>
      <c r="AW191">
        <v>66768703497.568687</v>
      </c>
      <c r="AX191">
        <v>76060606060.606064</v>
      </c>
      <c r="AY191">
        <v>88643193061.748001</v>
      </c>
      <c r="AZ191">
        <v>102170981144.13551</v>
      </c>
      <c r="BA191">
        <v>120550599815.44141</v>
      </c>
      <c r="BB191">
        <v>120822986521.47932</v>
      </c>
      <c r="BC191">
        <v>147527631520.72919</v>
      </c>
      <c r="BD191">
        <v>171761737046.58508</v>
      </c>
      <c r="BE191">
        <v>192649991136.08969</v>
      </c>
      <c r="BF191">
        <v>201175541637.44107</v>
      </c>
      <c r="BG191">
        <v>200786240836.8179</v>
      </c>
      <c r="BH191">
        <v>189802961890.09708</v>
      </c>
      <c r="BI191">
        <v>191898127860.84256</v>
      </c>
      <c r="BJ191">
        <v>211007952315.88757</v>
      </c>
      <c r="BK191">
        <v>222597030191.04111</v>
      </c>
      <c r="BL191">
        <v>228325852220.76141</v>
      </c>
      <c r="BM191">
        <v>201947603715.40918</v>
      </c>
      <c r="BN191">
        <v>223717791482.57712</v>
      </c>
      <c r="BO191" s="190">
        <v>242631549613.2684</v>
      </c>
    </row>
    <row r="192" spans="1:67">
      <c r="A192" t="s">
        <v>860</v>
      </c>
      <c r="B192" t="s">
        <v>861</v>
      </c>
      <c r="C192" t="s">
        <v>1018</v>
      </c>
      <c r="D192" t="s">
        <v>1019</v>
      </c>
      <c r="E192">
        <v>7515892289.1740007</v>
      </c>
      <c r="F192">
        <v>8171194489.334013</v>
      </c>
      <c r="G192">
        <v>4954593633.204215</v>
      </c>
      <c r="H192">
        <v>5505023032.5247688</v>
      </c>
      <c r="I192">
        <v>5953755756.4228697</v>
      </c>
      <c r="J192">
        <v>6517349192.6092196</v>
      </c>
      <c r="K192">
        <v>7189017882.3466272</v>
      </c>
      <c r="L192">
        <v>7724873929.3840675</v>
      </c>
      <c r="M192">
        <v>8632749263.067955</v>
      </c>
      <c r="N192">
        <v>9571800645.4466095</v>
      </c>
      <c r="O192">
        <v>7559115517.559494</v>
      </c>
      <c r="P192">
        <v>8375075197.0834761</v>
      </c>
      <c r="Q192">
        <v>9067815975.4069824</v>
      </c>
      <c r="R192">
        <v>11412449173.94117</v>
      </c>
      <c r="S192">
        <v>15607882556.6329</v>
      </c>
      <c r="T192">
        <v>16875240685.83662</v>
      </c>
      <c r="U192">
        <v>19381054331.58765</v>
      </c>
      <c r="V192">
        <v>22283109806.362183</v>
      </c>
      <c r="W192">
        <v>25762223399.690937</v>
      </c>
      <c r="X192">
        <v>31218296296.361027</v>
      </c>
      <c r="Y192">
        <v>36848079268.51709</v>
      </c>
      <c r="Z192">
        <v>40499388873.826637</v>
      </c>
      <c r="AA192">
        <v>42206011278.058548</v>
      </c>
      <c r="AB192">
        <v>37759181029.973221</v>
      </c>
      <c r="AC192">
        <v>35730184921.182213</v>
      </c>
      <c r="AD192">
        <v>34961486974.854111</v>
      </c>
      <c r="AE192">
        <v>33987206739.206738</v>
      </c>
      <c r="AF192">
        <v>37791488666.07431</v>
      </c>
      <c r="AG192">
        <v>43152128958.611595</v>
      </c>
      <c r="AH192">
        <v>48513772976.711494</v>
      </c>
      <c r="AI192">
        <v>50508286641.574623</v>
      </c>
      <c r="AJ192">
        <v>51784144314.552338</v>
      </c>
      <c r="AK192">
        <v>60422329031.627892</v>
      </c>
      <c r="AL192">
        <v>62036529909.681671</v>
      </c>
      <c r="AM192">
        <v>73159337838.400452</v>
      </c>
      <c r="AN192">
        <v>84644329824.715927</v>
      </c>
      <c r="AO192">
        <v>94648084429.034058</v>
      </c>
      <c r="AP192">
        <v>94106316500.67775</v>
      </c>
      <c r="AQ192">
        <v>74492416329.914246</v>
      </c>
      <c r="AR192">
        <v>85640170314.824493</v>
      </c>
      <c r="AS192">
        <v>83669788254.727921</v>
      </c>
      <c r="AT192">
        <v>78921234457.548737</v>
      </c>
      <c r="AU192">
        <v>84307346432.126389</v>
      </c>
      <c r="AV192">
        <v>87039092438.964447</v>
      </c>
      <c r="AW192">
        <v>95002000250.416687</v>
      </c>
      <c r="AX192">
        <v>107419977968.18546</v>
      </c>
      <c r="AY192">
        <v>127652927611.90369</v>
      </c>
      <c r="AZ192">
        <v>155980408072.5957</v>
      </c>
      <c r="BA192">
        <v>181624627927.89114</v>
      </c>
      <c r="BB192">
        <v>175974754207.57468</v>
      </c>
      <c r="BC192">
        <v>208368892319.28061</v>
      </c>
      <c r="BD192">
        <v>234216730703.65018</v>
      </c>
      <c r="BE192">
        <v>261920542606.62112</v>
      </c>
      <c r="BF192">
        <v>283902829721.26074</v>
      </c>
      <c r="BG192">
        <v>297483553299.59253</v>
      </c>
      <c r="BH192">
        <v>306445871631.96869</v>
      </c>
      <c r="BI192">
        <v>318627003965.98853</v>
      </c>
      <c r="BJ192">
        <v>328480738147.10028</v>
      </c>
      <c r="BK192">
        <v>346841896890.48932</v>
      </c>
      <c r="BL192">
        <v>376823404772.83728</v>
      </c>
      <c r="BM192">
        <v>361751145432.40411</v>
      </c>
      <c r="BN192">
        <v>394087362017.31781</v>
      </c>
      <c r="BO192" s="190">
        <v>404284327311.7132</v>
      </c>
    </row>
    <row r="193" spans="1:67">
      <c r="A193" t="s">
        <v>862</v>
      </c>
      <c r="B193" t="s">
        <v>863</v>
      </c>
      <c r="C193" t="s">
        <v>1018</v>
      </c>
      <c r="D193" t="s">
        <v>1019</v>
      </c>
      <c r="AS193">
        <v>146297500</v>
      </c>
      <c r="AT193">
        <v>156907900</v>
      </c>
      <c r="AU193">
        <v>163184900</v>
      </c>
      <c r="AV193">
        <v>153963200</v>
      </c>
      <c r="AW193">
        <v>165186200</v>
      </c>
      <c r="AX193">
        <v>190452900</v>
      </c>
      <c r="AY193">
        <v>192382400</v>
      </c>
      <c r="AZ193">
        <v>198897700</v>
      </c>
      <c r="BA193">
        <v>198283900</v>
      </c>
      <c r="BB193">
        <v>187522800</v>
      </c>
      <c r="BC193">
        <v>185943000</v>
      </c>
      <c r="BD193">
        <v>196911100</v>
      </c>
      <c r="BE193">
        <v>212397800</v>
      </c>
      <c r="BF193">
        <v>221117200</v>
      </c>
      <c r="BG193">
        <v>241669800</v>
      </c>
      <c r="BH193">
        <v>280457700</v>
      </c>
      <c r="BI193">
        <v>298300000</v>
      </c>
      <c r="BJ193">
        <v>285600000</v>
      </c>
      <c r="BK193">
        <v>284900000</v>
      </c>
      <c r="BL193">
        <v>278900000</v>
      </c>
      <c r="BM193">
        <v>251900000</v>
      </c>
      <c r="BN193">
        <v>217800000</v>
      </c>
    </row>
    <row r="194" spans="1:67">
      <c r="A194" t="s">
        <v>864</v>
      </c>
      <c r="B194" t="s">
        <v>865</v>
      </c>
      <c r="C194" t="s">
        <v>1018</v>
      </c>
      <c r="D194" t="s">
        <v>1019</v>
      </c>
      <c r="E194">
        <v>230496036.90702546</v>
      </c>
      <c r="F194">
        <v>244832039.20250615</v>
      </c>
      <c r="G194">
        <v>261184041.8207888</v>
      </c>
      <c r="H194">
        <v>275968044.18800324</v>
      </c>
      <c r="I194">
        <v>305312048.88656533</v>
      </c>
      <c r="J194">
        <v>344176055.10946995</v>
      </c>
      <c r="K194">
        <v>390992062.60564911</v>
      </c>
      <c r="L194">
        <v>441728182.72951669</v>
      </c>
      <c r="M194">
        <v>485184189.68769252</v>
      </c>
      <c r="N194">
        <v>551263864.26837003</v>
      </c>
      <c r="O194">
        <v>645568215.36838269</v>
      </c>
      <c r="P194">
        <v>717750057.55941498</v>
      </c>
      <c r="Q194">
        <v>858761953.08401942</v>
      </c>
      <c r="R194">
        <v>1299079580.2364893</v>
      </c>
      <c r="S194">
        <v>1467417948.863323</v>
      </c>
      <c r="T194">
        <v>1356603017.9038131</v>
      </c>
      <c r="U194">
        <v>1511842283.9237044</v>
      </c>
      <c r="V194">
        <v>1640745929.6916845</v>
      </c>
      <c r="W194">
        <v>1947878833.3714836</v>
      </c>
      <c r="X194">
        <v>2293758902.8478928</v>
      </c>
      <c r="Y194">
        <v>2545809091.7112927</v>
      </c>
      <c r="Z194">
        <v>2498188995.0082121</v>
      </c>
      <c r="AA194">
        <v>2368718617.4377513</v>
      </c>
      <c r="AB194">
        <v>2562352064.8559351</v>
      </c>
      <c r="AC194">
        <v>2552663565.3267312</v>
      </c>
      <c r="AD194">
        <v>2423338768.3427725</v>
      </c>
      <c r="AE194">
        <v>2647995147.9672666</v>
      </c>
      <c r="AF194">
        <v>3143851216.957829</v>
      </c>
      <c r="AG194">
        <v>3656179989.101006</v>
      </c>
      <c r="AH194">
        <v>3546470500.9038801</v>
      </c>
      <c r="AI194">
        <v>3219730364.996233</v>
      </c>
      <c r="AJ194">
        <v>3787394957.9831934</v>
      </c>
      <c r="AK194">
        <v>4377980510.0559816</v>
      </c>
      <c r="AL194">
        <v>4974550286.1815205</v>
      </c>
      <c r="AM194">
        <v>5502786069.651742</v>
      </c>
      <c r="AN194">
        <v>4636057476.4256849</v>
      </c>
      <c r="AO194">
        <v>5155311077.3899841</v>
      </c>
      <c r="AP194">
        <v>4936615298.7936687</v>
      </c>
      <c r="AQ194">
        <v>3789443014.6166177</v>
      </c>
      <c r="AR194">
        <v>3477038204.0173297</v>
      </c>
      <c r="AS194">
        <v>3521339699.0740738</v>
      </c>
      <c r="AT194">
        <v>3081024212.4292445</v>
      </c>
      <c r="AU194">
        <v>2999511040.1976428</v>
      </c>
      <c r="AV194">
        <v>3536411824.2958045</v>
      </c>
      <c r="AW194">
        <v>3927157866.9646463</v>
      </c>
      <c r="AX194">
        <v>4865892972.2759514</v>
      </c>
      <c r="AY194">
        <v>8354911621.9794102</v>
      </c>
      <c r="AZ194">
        <v>9545029480.8222313</v>
      </c>
      <c r="BA194">
        <v>11670891359.727135</v>
      </c>
      <c r="BB194">
        <v>11619455043.476274</v>
      </c>
      <c r="BC194">
        <v>14250785801.339975</v>
      </c>
      <c r="BD194">
        <v>17985138449.652222</v>
      </c>
      <c r="BE194">
        <v>21295165200.838337</v>
      </c>
      <c r="BF194">
        <v>21261338064.878304</v>
      </c>
      <c r="BG194">
        <v>23210823987.307961</v>
      </c>
      <c r="BH194">
        <v>21723439625.730011</v>
      </c>
      <c r="BI194">
        <v>20758874952.580463</v>
      </c>
      <c r="BJ194">
        <v>22742696407.509262</v>
      </c>
      <c r="BK194">
        <v>24109780113.230686</v>
      </c>
      <c r="BL194">
        <v>24751069237.997746</v>
      </c>
      <c r="BM194">
        <v>23848442440.266956</v>
      </c>
      <c r="BN194">
        <v>26311656000.000011</v>
      </c>
      <c r="BO194" s="190">
        <v>30633444294.63102</v>
      </c>
    </row>
    <row r="195" spans="1:67">
      <c r="A195" t="s">
        <v>866</v>
      </c>
      <c r="B195" t="s">
        <v>867</v>
      </c>
      <c r="C195" t="s">
        <v>1018</v>
      </c>
      <c r="D195" t="s">
        <v>1019</v>
      </c>
      <c r="AI195">
        <v>65977748210.526321</v>
      </c>
      <c r="AJ195">
        <v>85500934319.173508</v>
      </c>
      <c r="AK195">
        <v>94337047232.886551</v>
      </c>
      <c r="AL195">
        <v>96043157272.862045</v>
      </c>
      <c r="AM195">
        <v>110803635287.62108</v>
      </c>
      <c r="AN195">
        <v>142293761469.15118</v>
      </c>
      <c r="AO195">
        <v>160193242090.42691</v>
      </c>
      <c r="AP195">
        <v>159358194732.0939</v>
      </c>
      <c r="AQ195">
        <v>174685791563.56104</v>
      </c>
      <c r="AR195">
        <v>170030647848.03387</v>
      </c>
      <c r="AS195">
        <v>172220451786.95721</v>
      </c>
      <c r="AT195">
        <v>190905493539.16806</v>
      </c>
      <c r="AU195">
        <v>199070432431.10776</v>
      </c>
      <c r="AV195">
        <v>217828661056.93512</v>
      </c>
      <c r="AW195">
        <v>255107275407.42307</v>
      </c>
      <c r="AX195">
        <v>306145913284.46576</v>
      </c>
      <c r="AY195">
        <v>344626630395.37714</v>
      </c>
      <c r="AZ195">
        <v>429020755432.72101</v>
      </c>
      <c r="BA195">
        <v>533599853342.51019</v>
      </c>
      <c r="BB195">
        <v>439731636116.94934</v>
      </c>
      <c r="BC195">
        <v>475696613935.59515</v>
      </c>
      <c r="BD195">
        <v>524374222547.90118</v>
      </c>
      <c r="BE195">
        <v>495230574356.74292</v>
      </c>
      <c r="BF195">
        <v>515762008468.81091</v>
      </c>
      <c r="BG195">
        <v>539080532037.14166</v>
      </c>
      <c r="BH195">
        <v>477111287969.22668</v>
      </c>
      <c r="BI195">
        <v>470024559638.49603</v>
      </c>
      <c r="BJ195">
        <v>524641206562.00433</v>
      </c>
      <c r="BK195">
        <v>588779850763.48682</v>
      </c>
      <c r="BL195">
        <v>596058473058.76611</v>
      </c>
      <c r="BM195">
        <v>599442783603.18689</v>
      </c>
      <c r="BN195">
        <v>679441900610.66333</v>
      </c>
      <c r="BO195" s="190">
        <v>688176605954.78723</v>
      </c>
    </row>
    <row r="196" spans="1:67">
      <c r="A196" t="s">
        <v>868</v>
      </c>
      <c r="B196" t="s">
        <v>869</v>
      </c>
      <c r="C196" t="s">
        <v>1018</v>
      </c>
      <c r="D196" t="s">
        <v>1019</v>
      </c>
      <c r="E196">
        <v>20753285598.463829</v>
      </c>
      <c r="F196">
        <v>21438148383.207912</v>
      </c>
      <c r="G196">
        <v>23419301225.642254</v>
      </c>
      <c r="H196">
        <v>27350179503.842468</v>
      </c>
      <c r="I196">
        <v>25448359289.935982</v>
      </c>
      <c r="J196">
        <v>28693503052.405945</v>
      </c>
      <c r="K196">
        <v>31531025978.425846</v>
      </c>
      <c r="L196">
        <v>29711210460.324177</v>
      </c>
      <c r="M196">
        <v>31366965476.564251</v>
      </c>
      <c r="N196">
        <v>35545604544.034683</v>
      </c>
      <c r="O196">
        <v>43519848651.786339</v>
      </c>
      <c r="P196">
        <v>42419967120.349091</v>
      </c>
      <c r="Q196">
        <v>49357021176.551338</v>
      </c>
      <c r="R196">
        <v>60920765155.42038</v>
      </c>
      <c r="S196">
        <v>86057756449.217255</v>
      </c>
      <c r="T196">
        <v>98342389193.69603</v>
      </c>
      <c r="U196">
        <v>115511133085.0041</v>
      </c>
      <c r="V196">
        <v>127667415881.6969</v>
      </c>
      <c r="W196">
        <v>144095273016.33536</v>
      </c>
      <c r="X196">
        <v>180666779617.84628</v>
      </c>
      <c r="Y196">
        <v>223624560625.92627</v>
      </c>
      <c r="Z196">
        <v>311221167301.96185</v>
      </c>
      <c r="AA196">
        <v>290607941422.12341</v>
      </c>
      <c r="AB196">
        <v>232587271032.74762</v>
      </c>
      <c r="AC196">
        <v>212921069101.9473</v>
      </c>
      <c r="AD196">
        <v>214701499607.54291</v>
      </c>
      <c r="AE196">
        <v>207046319398.62192</v>
      </c>
      <c r="AF196">
        <v>226768534647.02945</v>
      </c>
      <c r="AG196">
        <v>238039780716.81668</v>
      </c>
      <c r="AH196">
        <v>241069993446.62677</v>
      </c>
      <c r="AI196">
        <v>394420886654.35675</v>
      </c>
      <c r="AJ196">
        <v>211358138047.28702</v>
      </c>
      <c r="AK196">
        <v>172593311731.32224</v>
      </c>
      <c r="AL196">
        <v>153008614062.5007</v>
      </c>
      <c r="AM196">
        <v>135924691115.95401</v>
      </c>
      <c r="AN196">
        <v>174758803193.92673</v>
      </c>
      <c r="AO196">
        <v>194165113279.81058</v>
      </c>
      <c r="AP196">
        <v>213951798021.82733</v>
      </c>
      <c r="AQ196">
        <v>220387557174.75061</v>
      </c>
      <c r="AR196">
        <v>240832782326.47775</v>
      </c>
      <c r="AS196">
        <v>278678326342.52814</v>
      </c>
      <c r="AT196">
        <v>266344271362.12704</v>
      </c>
      <c r="AU196">
        <v>305714135441.12274</v>
      </c>
      <c r="AV196">
        <v>332450589560.56824</v>
      </c>
      <c r="AW196">
        <v>414233839145.69037</v>
      </c>
      <c r="AX196">
        <v>516904887534.49933</v>
      </c>
      <c r="AY196">
        <v>652732381891.40857</v>
      </c>
      <c r="AZ196">
        <v>789891756091.78845</v>
      </c>
      <c r="BA196">
        <v>986047738377.776</v>
      </c>
      <c r="BB196">
        <v>902165613053.19153</v>
      </c>
      <c r="BC196">
        <v>1060580608713.1339</v>
      </c>
      <c r="BD196">
        <v>1235597698970.208</v>
      </c>
      <c r="BE196">
        <v>1341797607183.5493</v>
      </c>
      <c r="BF196">
        <v>1471440063511.4036</v>
      </c>
      <c r="BG196">
        <v>1562109741135.4187</v>
      </c>
      <c r="BH196">
        <v>1334011121882.8618</v>
      </c>
      <c r="BI196">
        <v>1217513931539.134</v>
      </c>
      <c r="BJ196">
        <v>1294933204784.5894</v>
      </c>
      <c r="BK196">
        <v>1348307586808.1531</v>
      </c>
      <c r="BL196">
        <v>1421160801515.2649</v>
      </c>
      <c r="BM196">
        <v>1308382294199.1643</v>
      </c>
      <c r="BN196">
        <v>1429588429473.9209</v>
      </c>
      <c r="BO196" s="190">
        <v>1612324668164.5347</v>
      </c>
    </row>
    <row r="197" spans="1:67">
      <c r="A197" t="s">
        <v>870</v>
      </c>
      <c r="B197" t="s">
        <v>871</v>
      </c>
      <c r="C197" t="s">
        <v>1018</v>
      </c>
      <c r="D197" t="s">
        <v>1019</v>
      </c>
      <c r="E197">
        <v>1691900000</v>
      </c>
      <c r="F197">
        <v>1865100000</v>
      </c>
      <c r="G197">
        <v>2094400000</v>
      </c>
      <c r="H197">
        <v>2333600000</v>
      </c>
      <c r="I197">
        <v>2570500000</v>
      </c>
      <c r="J197">
        <v>2881500000</v>
      </c>
      <c r="K197">
        <v>3170500000</v>
      </c>
      <c r="L197">
        <v>3532700000</v>
      </c>
      <c r="M197">
        <v>3941700000</v>
      </c>
      <c r="N197">
        <v>4460700000</v>
      </c>
      <c r="O197">
        <v>5034700000</v>
      </c>
      <c r="P197">
        <v>5646800000</v>
      </c>
      <c r="Q197">
        <v>6328900000</v>
      </c>
      <c r="R197">
        <v>7002400000</v>
      </c>
      <c r="S197">
        <v>7684800000</v>
      </c>
      <c r="T197">
        <v>8198299999.999999</v>
      </c>
      <c r="U197">
        <v>8968600000</v>
      </c>
      <c r="V197">
        <v>9910900000</v>
      </c>
      <c r="W197">
        <v>11165000000</v>
      </c>
      <c r="X197">
        <v>12750000000</v>
      </c>
      <c r="Y197">
        <v>14436100000</v>
      </c>
      <c r="Z197">
        <v>15955700000</v>
      </c>
      <c r="AA197">
        <v>16764200000</v>
      </c>
      <c r="AB197">
        <v>17276600000</v>
      </c>
      <c r="AC197">
        <v>19162600000</v>
      </c>
      <c r="AD197">
        <v>20289200000</v>
      </c>
      <c r="AE197">
        <v>22009300000</v>
      </c>
      <c r="AF197">
        <v>24025800000</v>
      </c>
      <c r="AG197">
        <v>26385800000</v>
      </c>
      <c r="AH197">
        <v>28161200000</v>
      </c>
      <c r="AI197">
        <v>30603919000</v>
      </c>
      <c r="AJ197">
        <v>32287031000</v>
      </c>
      <c r="AK197">
        <v>34630430000</v>
      </c>
      <c r="AL197">
        <v>36922456000</v>
      </c>
      <c r="AM197">
        <v>39690630000</v>
      </c>
      <c r="AN197">
        <v>42647331000</v>
      </c>
      <c r="AO197">
        <v>45340835000</v>
      </c>
      <c r="AP197">
        <v>48187039000</v>
      </c>
      <c r="AQ197">
        <v>54086400000</v>
      </c>
      <c r="AR197">
        <v>57841000000</v>
      </c>
      <c r="AS197">
        <v>61701800000</v>
      </c>
      <c r="AT197">
        <v>69208400000</v>
      </c>
      <c r="AU197">
        <v>71623500000</v>
      </c>
      <c r="AV197">
        <v>74827400000</v>
      </c>
      <c r="AW197">
        <v>80322313000</v>
      </c>
      <c r="AX197">
        <v>83914521300</v>
      </c>
      <c r="AY197">
        <v>87276164400</v>
      </c>
      <c r="AZ197">
        <v>89524131600</v>
      </c>
      <c r="BA197">
        <v>93639300000</v>
      </c>
      <c r="BB197">
        <v>96385600000</v>
      </c>
      <c r="BC197">
        <v>98381300000</v>
      </c>
      <c r="BD197">
        <v>100351700000</v>
      </c>
      <c r="BE197">
        <v>101564800000</v>
      </c>
      <c r="BF197">
        <v>102450000000</v>
      </c>
      <c r="BG197">
        <v>102445800000</v>
      </c>
      <c r="BH197">
        <v>103375500000</v>
      </c>
      <c r="BI197">
        <v>104336700000</v>
      </c>
      <c r="BJ197">
        <v>103445500000</v>
      </c>
      <c r="BK197">
        <v>100958100000</v>
      </c>
      <c r="BL197">
        <v>105126400000</v>
      </c>
      <c r="BM197">
        <v>103130900000</v>
      </c>
      <c r="BN197">
        <v>106368900000</v>
      </c>
      <c r="BO197" s="190">
        <v>113434800000</v>
      </c>
    </row>
    <row r="198" spans="1:67">
      <c r="A198" t="s">
        <v>872</v>
      </c>
      <c r="B198" t="s">
        <v>873</v>
      </c>
      <c r="C198" t="s">
        <v>1018</v>
      </c>
      <c r="D198" t="s">
        <v>1019</v>
      </c>
    </row>
    <row r="199" spans="1:67">
      <c r="A199" t="s">
        <v>874</v>
      </c>
      <c r="B199" t="s">
        <v>875</v>
      </c>
      <c r="C199" t="s">
        <v>1018</v>
      </c>
      <c r="D199" t="s">
        <v>1019</v>
      </c>
      <c r="E199">
        <v>3193200404.3729734</v>
      </c>
      <c r="F199">
        <v>3417516639.3759632</v>
      </c>
      <c r="G199">
        <v>3668222357.6570182</v>
      </c>
      <c r="H199">
        <v>3905734459.7269282</v>
      </c>
      <c r="I199">
        <v>4235608177.6710229</v>
      </c>
      <c r="J199">
        <v>4687464054.834548</v>
      </c>
      <c r="K199">
        <v>5135387845.971077</v>
      </c>
      <c r="L199">
        <v>5740241165.634326</v>
      </c>
      <c r="M199">
        <v>6354262628.3353748</v>
      </c>
      <c r="N199">
        <v>6969025825.628685</v>
      </c>
      <c r="O199">
        <v>8108235704.3235703</v>
      </c>
      <c r="P199">
        <v>9201604240.2826862</v>
      </c>
      <c r="Q199">
        <v>11239117865.085249</v>
      </c>
      <c r="R199">
        <v>15090564186.426819</v>
      </c>
      <c r="S199">
        <v>17512391475.927387</v>
      </c>
      <c r="T199">
        <v>19347607843.137253</v>
      </c>
      <c r="U199">
        <v>20332831564.98674</v>
      </c>
      <c r="V199">
        <v>21439523310.633842</v>
      </c>
      <c r="W199">
        <v>23487614051.094891</v>
      </c>
      <c r="X199">
        <v>26622819672.131149</v>
      </c>
      <c r="Y199">
        <v>32896519823.788544</v>
      </c>
      <c r="Z199">
        <v>31977276872.964169</v>
      </c>
      <c r="AA199">
        <v>30527754793.138245</v>
      </c>
      <c r="AB199">
        <v>27239650741.947159</v>
      </c>
      <c r="AC199">
        <v>25217969049.575459</v>
      </c>
      <c r="AD199">
        <v>27115807742.087303</v>
      </c>
      <c r="AE199">
        <v>38745901353.70594</v>
      </c>
      <c r="AF199">
        <v>48182925857.407143</v>
      </c>
      <c r="AG199">
        <v>56347250696.37883</v>
      </c>
      <c r="AH199">
        <v>60594092182.327477</v>
      </c>
      <c r="AI199">
        <v>78713860216.565887</v>
      </c>
      <c r="AJ199">
        <v>89233599278.479248</v>
      </c>
      <c r="AK199">
        <v>107592098307.09831</v>
      </c>
      <c r="AL199">
        <v>95009751901.259186</v>
      </c>
      <c r="AM199">
        <v>99688641304.347824</v>
      </c>
      <c r="AN199">
        <v>118122007430.01193</v>
      </c>
      <c r="AO199">
        <v>122630089680.27034</v>
      </c>
      <c r="AP199">
        <v>117016535162.95026</v>
      </c>
      <c r="AQ199">
        <v>123946327916.29564</v>
      </c>
      <c r="AR199">
        <v>127470385557.18367</v>
      </c>
      <c r="AS199">
        <v>118605192877.38849</v>
      </c>
      <c r="AT199">
        <v>121604107164.9966</v>
      </c>
      <c r="AU199">
        <v>134795565549.41945</v>
      </c>
      <c r="AV199">
        <v>165226175536.7926</v>
      </c>
      <c r="AW199">
        <v>189382122532.16882</v>
      </c>
      <c r="AX199">
        <v>197253876704.9213</v>
      </c>
      <c r="AY199">
        <v>208756449275.84793</v>
      </c>
      <c r="AZ199">
        <v>240496147317.38077</v>
      </c>
      <c r="BA199">
        <v>263416394624.08353</v>
      </c>
      <c r="BB199">
        <v>244667762835.54318</v>
      </c>
      <c r="BC199">
        <v>238113003233.28946</v>
      </c>
      <c r="BD199">
        <v>245117990242.24927</v>
      </c>
      <c r="BE199">
        <v>216224240577.95746</v>
      </c>
      <c r="BF199">
        <v>226433858005.71579</v>
      </c>
      <c r="BG199">
        <v>229901964221.88062</v>
      </c>
      <c r="BH199">
        <v>199394066525.44012</v>
      </c>
      <c r="BI199">
        <v>206426152308.93655</v>
      </c>
      <c r="BJ199">
        <v>221357874718.93179</v>
      </c>
      <c r="BK199">
        <v>242313116577.96255</v>
      </c>
      <c r="BL199">
        <v>239986922638.89728</v>
      </c>
      <c r="BM199">
        <v>229031860520.77338</v>
      </c>
      <c r="BN199">
        <v>253982847571.01529</v>
      </c>
      <c r="BO199" s="190">
        <v>251945377529.38815</v>
      </c>
    </row>
    <row r="200" spans="1:67">
      <c r="A200" t="s">
        <v>876</v>
      </c>
      <c r="B200" t="s">
        <v>877</v>
      </c>
      <c r="C200" t="s">
        <v>1018</v>
      </c>
      <c r="D200" t="s">
        <v>1019</v>
      </c>
      <c r="J200">
        <v>443587301.58730161</v>
      </c>
      <c r="K200">
        <v>465888888.8888889</v>
      </c>
      <c r="L200">
        <v>492674603.17460316</v>
      </c>
      <c r="M200">
        <v>517650793.65079367</v>
      </c>
      <c r="N200">
        <v>556293650.79365075</v>
      </c>
      <c r="O200">
        <v>594611111.11111116</v>
      </c>
      <c r="P200">
        <v>664571428.57142854</v>
      </c>
      <c r="Q200">
        <v>769039682.53968251</v>
      </c>
      <c r="R200">
        <v>995531746.03174603</v>
      </c>
      <c r="S200">
        <v>1333475396.8253968</v>
      </c>
      <c r="T200">
        <v>1511420634.920635</v>
      </c>
      <c r="U200">
        <v>1698960317.4603174</v>
      </c>
      <c r="V200">
        <v>2092158730.1587303</v>
      </c>
      <c r="W200">
        <v>2559857142.8571429</v>
      </c>
      <c r="X200">
        <v>3416777777.7777777</v>
      </c>
      <c r="Y200">
        <v>4448087301.5873013</v>
      </c>
      <c r="Z200">
        <v>5624515873.015873</v>
      </c>
      <c r="AA200">
        <v>5419411764.7058821</v>
      </c>
      <c r="AB200">
        <v>5673248726.1643839</v>
      </c>
      <c r="AC200">
        <v>4502462807.139926</v>
      </c>
      <c r="AD200">
        <v>3282449235.7612891</v>
      </c>
      <c r="AE200">
        <v>3723993942.7908778</v>
      </c>
      <c r="AF200">
        <v>3971044723.8023953</v>
      </c>
      <c r="AG200">
        <v>4255683528.3333335</v>
      </c>
      <c r="AH200">
        <v>4757732199.9621286</v>
      </c>
      <c r="AI200">
        <v>5812114523.0118723</v>
      </c>
      <c r="AJ200">
        <v>6984367762.9037123</v>
      </c>
      <c r="AK200">
        <v>7157424031.0604544</v>
      </c>
      <c r="AL200">
        <v>7249533620.3061399</v>
      </c>
      <c r="AM200">
        <v>7870982004.8195047</v>
      </c>
      <c r="AN200">
        <v>9062131475.0231781</v>
      </c>
      <c r="AO200">
        <v>9788391780.52421</v>
      </c>
      <c r="AP200">
        <v>9965225678.05093</v>
      </c>
      <c r="AQ200">
        <v>9260481572.4246197</v>
      </c>
      <c r="AR200">
        <v>8837070235.5189209</v>
      </c>
      <c r="AS200">
        <v>8855705139.5585651</v>
      </c>
      <c r="AT200">
        <v>8495806432.1846695</v>
      </c>
      <c r="AU200">
        <v>7196260656.8455591</v>
      </c>
      <c r="AV200">
        <v>7691367471.1799183</v>
      </c>
      <c r="AW200">
        <v>9624440836.2930946</v>
      </c>
      <c r="AX200">
        <v>10737500188.112309</v>
      </c>
      <c r="AY200">
        <v>13429430050.260954</v>
      </c>
      <c r="AZ200">
        <v>17856393235.433792</v>
      </c>
      <c r="BA200">
        <v>24615267617.032307</v>
      </c>
      <c r="BB200">
        <v>22355151177.738029</v>
      </c>
      <c r="BC200">
        <v>27129301048.05048</v>
      </c>
      <c r="BD200">
        <v>33737033607.061501</v>
      </c>
      <c r="BE200">
        <v>33296438408.855629</v>
      </c>
      <c r="BF200">
        <v>38651334593.028938</v>
      </c>
      <c r="BG200">
        <v>40377987314.643501</v>
      </c>
      <c r="BH200">
        <v>36211372646.37999</v>
      </c>
      <c r="BI200">
        <v>36089550671.833977</v>
      </c>
      <c r="BJ200">
        <v>38997129809.169662</v>
      </c>
      <c r="BK200">
        <v>40225448651.30619</v>
      </c>
      <c r="BL200">
        <v>37925338460.155571</v>
      </c>
      <c r="BM200">
        <v>35432177936.331673</v>
      </c>
      <c r="BN200">
        <v>39950899733.227028</v>
      </c>
      <c r="BO200" s="190">
        <v>41722295362.066704</v>
      </c>
    </row>
    <row r="201" spans="1:67">
      <c r="A201" t="s">
        <v>878</v>
      </c>
      <c r="B201" t="s">
        <v>879</v>
      </c>
      <c r="C201" t="s">
        <v>1018</v>
      </c>
      <c r="D201" t="s">
        <v>1019</v>
      </c>
      <c r="AM201">
        <v>2843300000</v>
      </c>
      <c r="AN201">
        <v>3282800000</v>
      </c>
      <c r="AO201">
        <v>3409600000</v>
      </c>
      <c r="AP201">
        <v>3759800000</v>
      </c>
      <c r="AQ201">
        <v>4067800000</v>
      </c>
      <c r="AR201">
        <v>4271200000</v>
      </c>
      <c r="AS201">
        <v>4313600000</v>
      </c>
      <c r="AT201">
        <v>4003700000</v>
      </c>
      <c r="AU201">
        <v>3555800000</v>
      </c>
      <c r="AV201">
        <v>3968000000</v>
      </c>
      <c r="AW201">
        <v>4603100000</v>
      </c>
      <c r="AX201">
        <v>5125700000</v>
      </c>
      <c r="AY201">
        <v>5348300000</v>
      </c>
      <c r="AZ201">
        <v>5815700000</v>
      </c>
      <c r="BA201">
        <v>7310400000</v>
      </c>
      <c r="BB201">
        <v>8085700000</v>
      </c>
      <c r="BC201">
        <v>9681500000</v>
      </c>
      <c r="BD201">
        <v>11186100000</v>
      </c>
      <c r="BE201">
        <v>12208400000</v>
      </c>
      <c r="BF201">
        <v>13515500000</v>
      </c>
      <c r="BG201">
        <v>13989700000</v>
      </c>
      <c r="BH201">
        <v>13972400000</v>
      </c>
      <c r="BI201">
        <v>15405400000</v>
      </c>
      <c r="BJ201">
        <v>16128000000</v>
      </c>
      <c r="BK201">
        <v>16276600000</v>
      </c>
      <c r="BL201">
        <v>17133500000</v>
      </c>
      <c r="BM201">
        <v>15531700000</v>
      </c>
      <c r="BN201">
        <v>18109000000</v>
      </c>
      <c r="BO201" s="190">
        <v>19111900000</v>
      </c>
    </row>
    <row r="202" spans="1:67">
      <c r="A202" t="s">
        <v>880</v>
      </c>
      <c r="B202" t="s">
        <v>881</v>
      </c>
      <c r="C202" t="s">
        <v>1018</v>
      </c>
      <c r="D202" t="s">
        <v>1019</v>
      </c>
      <c r="P202">
        <v>437447620.7644583</v>
      </c>
      <c r="Q202">
        <v>525633220.1645627</v>
      </c>
      <c r="R202">
        <v>716679448.46244109</v>
      </c>
      <c r="S202">
        <v>1018241425.3815897</v>
      </c>
      <c r="T202">
        <v>1137316353.0539711</v>
      </c>
      <c r="U202">
        <v>1140399510.5580688</v>
      </c>
      <c r="V202">
        <v>1189768787.7098145</v>
      </c>
      <c r="W202">
        <v>1379939152.9191022</v>
      </c>
      <c r="X202">
        <v>1690540719.0834475</v>
      </c>
      <c r="Y202">
        <v>1966099339.7158427</v>
      </c>
      <c r="Z202">
        <v>2023807477.8157163</v>
      </c>
      <c r="AA202">
        <v>1974341177.5297573</v>
      </c>
      <c r="AB202">
        <v>1877614434.1189609</v>
      </c>
      <c r="AC202">
        <v>1979416202.7496824</v>
      </c>
      <c r="AD202">
        <v>1873326939.4391251</v>
      </c>
      <c r="AE202">
        <v>2042414180.8416016</v>
      </c>
      <c r="AF202">
        <v>1987651802.7902813</v>
      </c>
      <c r="AG202">
        <v>2033226609.2751517</v>
      </c>
      <c r="AH202">
        <v>2103611296.0669336</v>
      </c>
      <c r="AI202">
        <v>2354687132.6293025</v>
      </c>
      <c r="AJ202">
        <v>2500551872.0540009</v>
      </c>
      <c r="AK202">
        <v>2743014524.2063742</v>
      </c>
      <c r="AL202">
        <v>2908044290.6383705</v>
      </c>
      <c r="AM202">
        <v>3426105625.6436663</v>
      </c>
      <c r="AN202">
        <v>3716903516.9917707</v>
      </c>
      <c r="AO202">
        <v>3978860437.5351143</v>
      </c>
      <c r="AP202">
        <v>3985888305.8903685</v>
      </c>
      <c r="AQ202">
        <v>3413058275.8834362</v>
      </c>
      <c r="AR202">
        <v>3750909585.1636696</v>
      </c>
      <c r="AS202">
        <v>3435656384.2703609</v>
      </c>
      <c r="AT202">
        <v>3389381091.6214123</v>
      </c>
      <c r="AU202">
        <v>3558832752.2435284</v>
      </c>
      <c r="AV202">
        <v>4239178866.186717</v>
      </c>
      <c r="AW202">
        <v>4877982920.2753553</v>
      </c>
      <c r="AX202">
        <v>5419134368.6710672</v>
      </c>
      <c r="AY202">
        <v>5688864951.4220343</v>
      </c>
      <c r="AZ202">
        <v>6273728181.6973639</v>
      </c>
      <c r="BA202">
        <v>6704438240.4496984</v>
      </c>
      <c r="BB202">
        <v>6031359069.8777666</v>
      </c>
      <c r="BC202">
        <v>6634286339.2321682</v>
      </c>
      <c r="BD202">
        <v>7736812460.3707266</v>
      </c>
      <c r="BE202">
        <v>8198532204.871851</v>
      </c>
      <c r="BF202">
        <v>8523915458.4167557</v>
      </c>
      <c r="BG202">
        <v>9263444823.6846161</v>
      </c>
      <c r="BH202">
        <v>9054327014.3613014</v>
      </c>
      <c r="BI202">
        <v>9504027364.7726707</v>
      </c>
      <c r="BJ202">
        <v>10256678899.661203</v>
      </c>
      <c r="BK202">
        <v>10760671502.414936</v>
      </c>
      <c r="BL202">
        <v>10739835368.721012</v>
      </c>
      <c r="BM202">
        <v>9531900179.0280952</v>
      </c>
      <c r="BN202">
        <v>9475964549.3285313</v>
      </c>
      <c r="BO202" s="190">
        <v>10226024919.577957</v>
      </c>
    </row>
    <row r="203" spans="1:67">
      <c r="A203" t="s">
        <v>882</v>
      </c>
      <c r="B203" t="s">
        <v>883</v>
      </c>
      <c r="C203" t="s">
        <v>1018</v>
      </c>
      <c r="D203" t="s">
        <v>1019</v>
      </c>
      <c r="E203">
        <v>1047773359738.1899</v>
      </c>
      <c r="F203">
        <v>1107818944164.9971</v>
      </c>
      <c r="G203">
        <v>1196159196890.8784</v>
      </c>
      <c r="H203">
        <v>1288479558756.5806</v>
      </c>
      <c r="I203">
        <v>1405754910472.2539</v>
      </c>
      <c r="J203">
        <v>1527319910271.7554</v>
      </c>
      <c r="K203">
        <v>1675258902649.2903</v>
      </c>
      <c r="L203">
        <v>1798360977872.7559</v>
      </c>
      <c r="M203">
        <v>1950641593704.0596</v>
      </c>
      <c r="N203">
        <v>2144817644944.0125</v>
      </c>
      <c r="O203">
        <v>2342412592303.5347</v>
      </c>
      <c r="P203">
        <v>2597096522533.5098</v>
      </c>
      <c r="Q203">
        <v>3012720085617.1616</v>
      </c>
      <c r="R203">
        <v>3637412282740.6938</v>
      </c>
      <c r="S203">
        <v>4062269107213.9556</v>
      </c>
      <c r="T203">
        <v>4551619425380.4629</v>
      </c>
      <c r="U203">
        <v>4939133669039.4834</v>
      </c>
      <c r="V203">
        <v>5583957272913.2715</v>
      </c>
      <c r="W203">
        <v>6709404010331.9795</v>
      </c>
      <c r="X203">
        <v>7714121027274.3584</v>
      </c>
      <c r="Y203">
        <v>8542238350835.8105</v>
      </c>
      <c r="Z203">
        <v>8638861952250.6543</v>
      </c>
      <c r="AA203">
        <v>8601100602982.9023</v>
      </c>
      <c r="AB203">
        <v>8926201078130.6934</v>
      </c>
      <c r="AC203">
        <v>9328457473003.2129</v>
      </c>
      <c r="AD203">
        <v>9822918990615.5469</v>
      </c>
      <c r="AE203">
        <v>12002144837791.73</v>
      </c>
      <c r="AF203">
        <v>13915782174308.359</v>
      </c>
      <c r="AG203">
        <v>15676188303230.379</v>
      </c>
      <c r="AH203">
        <v>16372697957121.266</v>
      </c>
      <c r="AI203">
        <v>18377400960323.734</v>
      </c>
      <c r="AJ203">
        <v>19390950004995.617</v>
      </c>
      <c r="AK203">
        <v>20810961097254.559</v>
      </c>
      <c r="AL203">
        <v>20948371516254.961</v>
      </c>
      <c r="AM203">
        <v>22521879706695.086</v>
      </c>
      <c r="AN203">
        <v>24978715758135.359</v>
      </c>
      <c r="AO203">
        <v>25097110656154.602</v>
      </c>
      <c r="AP203">
        <v>24602580608643.391</v>
      </c>
      <c r="AQ203">
        <v>24709296714162.219</v>
      </c>
      <c r="AR203">
        <v>25946742047303.902</v>
      </c>
      <c r="AS203">
        <v>26399173716297.773</v>
      </c>
      <c r="AT203">
        <v>26142575385623.48</v>
      </c>
      <c r="AU203">
        <v>27268467106808.066</v>
      </c>
      <c r="AV203">
        <v>30572525993654.777</v>
      </c>
      <c r="AW203">
        <v>33971626447174.641</v>
      </c>
      <c r="AX203">
        <v>35742710396564.484</v>
      </c>
      <c r="AY203">
        <v>37604948564769.266</v>
      </c>
      <c r="AZ203">
        <v>41044091917260.977</v>
      </c>
      <c r="BA203">
        <v>43476833575741.25</v>
      </c>
      <c r="BB203">
        <v>40929784604203.383</v>
      </c>
      <c r="BC203">
        <v>42691272338288.781</v>
      </c>
      <c r="BD203">
        <v>45849639438219.852</v>
      </c>
      <c r="BE203">
        <v>45778308725715.305</v>
      </c>
      <c r="BF203">
        <v>46233475458879.859</v>
      </c>
      <c r="BG203">
        <v>47148786960027.766</v>
      </c>
      <c r="BH203">
        <v>44585851713476.008</v>
      </c>
      <c r="BI203">
        <v>45593085156267.688</v>
      </c>
      <c r="BJ203">
        <v>47535727573455.883</v>
      </c>
      <c r="BK203">
        <v>50385041767149.852</v>
      </c>
      <c r="BL203">
        <v>50880064647603.922</v>
      </c>
      <c r="BM203">
        <v>49719390050877.117</v>
      </c>
      <c r="BN203">
        <v>55090863284051.594</v>
      </c>
      <c r="BO203" s="190">
        <v>56013534785820.258</v>
      </c>
    </row>
    <row r="204" spans="1:67">
      <c r="A204" t="s">
        <v>884</v>
      </c>
      <c r="B204" t="s">
        <v>885</v>
      </c>
      <c r="C204" t="s">
        <v>1018</v>
      </c>
      <c r="D204" t="s">
        <v>1019</v>
      </c>
      <c r="J204">
        <v>176534588.22848445</v>
      </c>
      <c r="K204">
        <v>215659453.33768159</v>
      </c>
      <c r="L204">
        <v>220984367.40805793</v>
      </c>
      <c r="M204">
        <v>259590074.27123585</v>
      </c>
      <c r="N204">
        <v>242943782.90236479</v>
      </c>
      <c r="O204">
        <v>254036000.5010666</v>
      </c>
      <c r="P204">
        <v>296865513.08765686</v>
      </c>
      <c r="Q204">
        <v>326433558.24730188</v>
      </c>
      <c r="R204">
        <v>431252938.191181</v>
      </c>
      <c r="S204">
        <v>555340843.93772721</v>
      </c>
      <c r="T204">
        <v>690323390.96894765</v>
      </c>
      <c r="U204">
        <v>732288909.02003419</v>
      </c>
      <c r="V204">
        <v>793196379.45063508</v>
      </c>
      <c r="W204">
        <v>1005569840.7474309</v>
      </c>
      <c r="X204">
        <v>1215032464.6921704</v>
      </c>
      <c r="Y204">
        <v>1320416033.3067009</v>
      </c>
      <c r="Z204">
        <v>1234743075.7370512</v>
      </c>
      <c r="AA204">
        <v>1235897960.3404696</v>
      </c>
      <c r="AB204">
        <v>1284180702.7859545</v>
      </c>
      <c r="AC204">
        <v>1325515441.9751291</v>
      </c>
      <c r="AD204">
        <v>1448281229.0410118</v>
      </c>
      <c r="AE204">
        <v>2212028291.3922234</v>
      </c>
      <c r="AF204">
        <v>2677977168.7251225</v>
      </c>
      <c r="AG204">
        <v>2723496362.1721826</v>
      </c>
      <c r="AH204">
        <v>2731683490.2256079</v>
      </c>
      <c r="AI204">
        <v>3320159522.5334024</v>
      </c>
      <c r="AJ204">
        <v>3410078974.2141838</v>
      </c>
      <c r="AK204">
        <v>3713785776.2835431</v>
      </c>
      <c r="AL204">
        <v>3544608541.0505009</v>
      </c>
      <c r="AM204">
        <v>3676123796.0075502</v>
      </c>
      <c r="AN204">
        <v>4186994271.3028908</v>
      </c>
      <c r="AO204">
        <v>4166072830.0265121</v>
      </c>
      <c r="AP204">
        <v>3762859109.395318</v>
      </c>
      <c r="AQ204">
        <v>3903186594.7092381</v>
      </c>
      <c r="AR204">
        <v>3911602000.2940221</v>
      </c>
      <c r="AS204">
        <v>3599845481.6455669</v>
      </c>
      <c r="AT204">
        <v>3573808550.5129194</v>
      </c>
      <c r="AU204">
        <v>3965405556.5557361</v>
      </c>
      <c r="AV204">
        <v>4927780605.2545547</v>
      </c>
      <c r="AW204">
        <v>5564109988.1474409</v>
      </c>
      <c r="AX204">
        <v>5705052111.2897329</v>
      </c>
      <c r="AY204">
        <v>5877997996.9525309</v>
      </c>
      <c r="AZ204">
        <v>6631156410.6850367</v>
      </c>
      <c r="BA204">
        <v>7136741397.5014086</v>
      </c>
      <c r="BB204">
        <v>6584557942.4077206</v>
      </c>
      <c r="BC204">
        <v>6086644790.8086042</v>
      </c>
      <c r="BD204">
        <v>6203940049.2272739</v>
      </c>
      <c r="BE204">
        <v>5692858093.8448515</v>
      </c>
      <c r="BF204">
        <v>6031827089.1253071</v>
      </c>
      <c r="BG204">
        <v>6151996534.9607658</v>
      </c>
      <c r="BH204">
        <v>5325846341.7908974</v>
      </c>
      <c r="BI204">
        <v>5497036486.7448654</v>
      </c>
      <c r="BJ204">
        <v>5833352684.4526358</v>
      </c>
      <c r="BK204">
        <v>6135116260.6481352</v>
      </c>
      <c r="BL204">
        <v>6022276207.1898298</v>
      </c>
      <c r="BM204">
        <v>5731835679.2306099</v>
      </c>
      <c r="BN204">
        <v>6080359305.28965</v>
      </c>
    </row>
    <row r="205" spans="1:67">
      <c r="A205" t="s">
        <v>886</v>
      </c>
      <c r="B205" t="s">
        <v>887</v>
      </c>
      <c r="C205" t="s">
        <v>1018</v>
      </c>
      <c r="D205" t="s">
        <v>1019</v>
      </c>
      <c r="O205">
        <v>301791301.55288672</v>
      </c>
      <c r="P205">
        <v>387703114.9228465</v>
      </c>
      <c r="Q205">
        <v>510262518.49960417</v>
      </c>
      <c r="R205">
        <v>793885649.28148925</v>
      </c>
      <c r="S205">
        <v>2401403228.0491977</v>
      </c>
      <c r="T205">
        <v>2512773379.5396338</v>
      </c>
      <c r="U205">
        <v>3284273711.3321662</v>
      </c>
      <c r="V205">
        <v>3617564943.3868394</v>
      </c>
      <c r="W205">
        <v>4052000413.7460341</v>
      </c>
      <c r="X205">
        <v>5632962998.3192444</v>
      </c>
      <c r="Y205">
        <v>7829165977.5850134</v>
      </c>
      <c r="Z205">
        <v>8661263766.1157322</v>
      </c>
      <c r="AA205">
        <v>7596703216.3727207</v>
      </c>
      <c r="AB205">
        <v>6467582309.4691162</v>
      </c>
      <c r="AC205">
        <v>6704395824.9432755</v>
      </c>
      <c r="AD205">
        <v>6153296456.0439558</v>
      </c>
      <c r="AE205">
        <v>5053021950.5494499</v>
      </c>
      <c r="AF205">
        <v>5446428681.3186808</v>
      </c>
      <c r="AG205">
        <v>6038187032.9670324</v>
      </c>
      <c r="AH205">
        <v>6487912087.9120874</v>
      </c>
      <c r="AI205">
        <v>7360439423.0769224</v>
      </c>
      <c r="AJ205">
        <v>6883516483.5164833</v>
      </c>
      <c r="AK205">
        <v>7646153983.5164833</v>
      </c>
      <c r="AL205">
        <v>7156593653.8461533</v>
      </c>
      <c r="AM205">
        <v>7374450769.2307692</v>
      </c>
      <c r="AN205">
        <v>8137911978.0219774</v>
      </c>
      <c r="AO205">
        <v>9059340384.6153851</v>
      </c>
      <c r="AP205">
        <v>11297802115.384615</v>
      </c>
      <c r="AQ205">
        <v>10255495027.472527</v>
      </c>
      <c r="AR205">
        <v>12393131868.131868</v>
      </c>
      <c r="AS205">
        <v>17759890109.89011</v>
      </c>
      <c r="AT205">
        <v>17538461538.461536</v>
      </c>
      <c r="AU205">
        <v>19363736263.736263</v>
      </c>
      <c r="AV205">
        <v>23533791208.791206</v>
      </c>
      <c r="AW205">
        <v>31734065934.065933</v>
      </c>
      <c r="AX205">
        <v>44530494505.494507</v>
      </c>
      <c r="AY205">
        <v>60882142857.142853</v>
      </c>
      <c r="AZ205">
        <v>79712087912.087906</v>
      </c>
      <c r="BA205">
        <v>115270054945.05495</v>
      </c>
      <c r="BB205">
        <v>97798351648.351639</v>
      </c>
      <c r="BC205">
        <v>125122306346.15384</v>
      </c>
      <c r="BD205">
        <v>167775268626.37363</v>
      </c>
      <c r="BE205">
        <v>186833502362.63736</v>
      </c>
      <c r="BF205">
        <v>198727642967.03296</v>
      </c>
      <c r="BG205">
        <v>206224598571.42856</v>
      </c>
      <c r="BH205">
        <v>161739955576.92307</v>
      </c>
      <c r="BI205">
        <v>151732181868.13187</v>
      </c>
      <c r="BJ205">
        <v>161099122225.27472</v>
      </c>
      <c r="BK205">
        <v>183334953818.6813</v>
      </c>
      <c r="BL205">
        <v>176371267689.08157</v>
      </c>
      <c r="BM205">
        <v>144411363345.27032</v>
      </c>
      <c r="BN205">
        <v>179677131707.29449</v>
      </c>
      <c r="BO205" s="190">
        <v>237295575171.10327</v>
      </c>
    </row>
    <row r="206" spans="1:67">
      <c r="A206" t="s">
        <v>888</v>
      </c>
      <c r="B206" t="s">
        <v>889</v>
      </c>
      <c r="C206" t="s">
        <v>1018</v>
      </c>
      <c r="D206" t="s">
        <v>1019</v>
      </c>
      <c r="AF206">
        <v>38067565160.583885</v>
      </c>
      <c r="AG206">
        <v>40424526825.790344</v>
      </c>
      <c r="AH206">
        <v>41450779108.672424</v>
      </c>
      <c r="AI206">
        <v>38244330107.546906</v>
      </c>
      <c r="AJ206">
        <v>28851673544.996056</v>
      </c>
      <c r="AK206">
        <v>25121666666.666668</v>
      </c>
      <c r="AL206">
        <v>26361131547.122406</v>
      </c>
      <c r="AM206">
        <v>30072880812.324501</v>
      </c>
      <c r="AN206">
        <v>37430238805.93351</v>
      </c>
      <c r="AO206">
        <v>36937074278.300354</v>
      </c>
      <c r="AP206">
        <v>35575197534.578743</v>
      </c>
      <c r="AQ206">
        <v>41696111548.06765</v>
      </c>
      <c r="AR206">
        <v>35953162615.856323</v>
      </c>
      <c r="AS206">
        <v>37253738081.06694</v>
      </c>
      <c r="AT206">
        <v>40395114264.781113</v>
      </c>
      <c r="AU206">
        <v>46065502702.581696</v>
      </c>
      <c r="AV206">
        <v>57806382692.205658</v>
      </c>
      <c r="AW206">
        <v>74973660680.521988</v>
      </c>
      <c r="AX206">
        <v>98454374488.292618</v>
      </c>
      <c r="AY206">
        <v>122023721512.52841</v>
      </c>
      <c r="AZ206">
        <v>174588782938.58301</v>
      </c>
      <c r="BA206">
        <v>214317174116.58087</v>
      </c>
      <c r="BB206">
        <v>174102268534.83966</v>
      </c>
      <c r="BC206">
        <v>170029359010.66742</v>
      </c>
      <c r="BD206">
        <v>192613558645.61172</v>
      </c>
      <c r="BE206">
        <v>179132893143.41733</v>
      </c>
      <c r="BF206">
        <v>189789277576.06091</v>
      </c>
      <c r="BG206">
        <v>199713780259.3176</v>
      </c>
      <c r="BH206">
        <v>177883897811.43365</v>
      </c>
      <c r="BI206">
        <v>185287615324.92184</v>
      </c>
      <c r="BJ206">
        <v>210147181055.27652</v>
      </c>
      <c r="BK206">
        <v>243316050520.72522</v>
      </c>
      <c r="BL206">
        <v>251017797625.017</v>
      </c>
      <c r="BM206">
        <v>251362534092.31464</v>
      </c>
      <c r="BN206">
        <v>285404683024.53656</v>
      </c>
      <c r="BO206" s="190">
        <v>301261582924.08508</v>
      </c>
    </row>
    <row r="207" spans="1:67">
      <c r="A207" t="s">
        <v>890</v>
      </c>
      <c r="B207" t="s">
        <v>891</v>
      </c>
      <c r="C207" t="s">
        <v>1018</v>
      </c>
      <c r="D207" t="s">
        <v>1019</v>
      </c>
      <c r="AG207">
        <v>554713455149.50159</v>
      </c>
      <c r="AH207">
        <v>506500173960.26923</v>
      </c>
      <c r="AI207">
        <v>516814274021.95587</v>
      </c>
      <c r="AJ207">
        <v>517962962962.96295</v>
      </c>
      <c r="AK207">
        <v>460290556900.72638</v>
      </c>
      <c r="AL207">
        <v>435083713850.83716</v>
      </c>
      <c r="AM207">
        <v>395077301248.46368</v>
      </c>
      <c r="AN207">
        <v>395537185734.85437</v>
      </c>
      <c r="AO207">
        <v>391724890744.49817</v>
      </c>
      <c r="AP207">
        <v>404928954191.87555</v>
      </c>
      <c r="AQ207">
        <v>270955486862.44205</v>
      </c>
      <c r="AR207">
        <v>195907128350.9342</v>
      </c>
      <c r="AS207">
        <v>259710142196.94278</v>
      </c>
      <c r="AT207">
        <v>306602070620.50049</v>
      </c>
      <c r="AU207">
        <v>345470494417.86279</v>
      </c>
      <c r="AV207">
        <v>430347420194.65967</v>
      </c>
      <c r="AW207">
        <v>591016690742.79761</v>
      </c>
      <c r="AX207">
        <v>764015982495.67615</v>
      </c>
      <c r="AY207">
        <v>989932059220.66748</v>
      </c>
      <c r="AZ207">
        <v>1299703459799.9585</v>
      </c>
      <c r="BA207">
        <v>1660848058303.1138</v>
      </c>
      <c r="BB207">
        <v>1222645887209.3191</v>
      </c>
      <c r="BC207">
        <v>1524916698232.7131</v>
      </c>
      <c r="BD207">
        <v>2045922727569.7834</v>
      </c>
      <c r="BE207">
        <v>2208293528673.9741</v>
      </c>
      <c r="BF207">
        <v>2292470104248.1816</v>
      </c>
      <c r="BG207">
        <v>2059241582146.1104</v>
      </c>
      <c r="BH207">
        <v>1363482179761.1711</v>
      </c>
      <c r="BI207">
        <v>1276786344534.2651</v>
      </c>
      <c r="BJ207">
        <v>1574199355092.7134</v>
      </c>
      <c r="BK207">
        <v>1657328764645.9346</v>
      </c>
      <c r="BL207">
        <v>1693114993990.49</v>
      </c>
      <c r="BM207">
        <v>1493075887459.8118</v>
      </c>
      <c r="BN207">
        <v>1836892075547.5239</v>
      </c>
      <c r="BO207" s="190">
        <v>2240422438363.2739</v>
      </c>
    </row>
    <row r="208" spans="1:67">
      <c r="A208" t="s">
        <v>892</v>
      </c>
      <c r="B208" t="s">
        <v>893</v>
      </c>
      <c r="C208" t="s">
        <v>1018</v>
      </c>
      <c r="D208" t="s">
        <v>1019</v>
      </c>
      <c r="E208">
        <v>119000024.11900002</v>
      </c>
      <c r="F208">
        <v>122000016.12200001</v>
      </c>
      <c r="G208">
        <v>125000008.125</v>
      </c>
      <c r="H208">
        <v>128000000.12799999</v>
      </c>
      <c r="I208">
        <v>129999994.12999998</v>
      </c>
      <c r="J208">
        <v>148799980.14879999</v>
      </c>
      <c r="K208">
        <v>124525702.98166856</v>
      </c>
      <c r="L208">
        <v>159560018.15955999</v>
      </c>
      <c r="M208">
        <v>172200018.17219999</v>
      </c>
      <c r="N208">
        <v>188700037.18870002</v>
      </c>
      <c r="O208">
        <v>219900006.21989998</v>
      </c>
      <c r="P208">
        <v>222952503.88432068</v>
      </c>
      <c r="Q208">
        <v>246457838.60426453</v>
      </c>
      <c r="R208">
        <v>290746157.49236929</v>
      </c>
      <c r="S208">
        <v>308458423.18385434</v>
      </c>
      <c r="T208">
        <v>571863503.0084914</v>
      </c>
      <c r="U208">
        <v>637753856.05311692</v>
      </c>
      <c r="V208">
        <v>746650611.31218541</v>
      </c>
      <c r="W208">
        <v>905709080.93025815</v>
      </c>
      <c r="X208">
        <v>1109346136.6514034</v>
      </c>
      <c r="Y208">
        <v>1254765643.1540589</v>
      </c>
      <c r="Z208">
        <v>1407062526.2863123</v>
      </c>
      <c r="AA208">
        <v>1407243132.6166406</v>
      </c>
      <c r="AB208">
        <v>1479687583.1350651</v>
      </c>
      <c r="AC208">
        <v>1587413091.4647477</v>
      </c>
      <c r="AD208">
        <v>1715626336.5332551</v>
      </c>
      <c r="AE208">
        <v>1944710687.9418812</v>
      </c>
      <c r="AF208">
        <v>2157432667.8422408</v>
      </c>
      <c r="AG208">
        <v>2395492695.1376657</v>
      </c>
      <c r="AH208">
        <v>2405022587.8004465</v>
      </c>
      <c r="AI208">
        <v>2550185692.5372052</v>
      </c>
      <c r="AJ208">
        <v>1911600232.0927932</v>
      </c>
      <c r="AK208">
        <v>2029026956.6355369</v>
      </c>
      <c r="AL208">
        <v>1971525718.1606159</v>
      </c>
      <c r="AM208">
        <v>753636370.4545455</v>
      </c>
      <c r="AN208">
        <v>1293535192.2166138</v>
      </c>
      <c r="AO208">
        <v>1382334879.4081221</v>
      </c>
      <c r="AP208">
        <v>1851558199.3577287</v>
      </c>
      <c r="AQ208">
        <v>1989343548.2991712</v>
      </c>
      <c r="AR208">
        <v>2157024758.1222391</v>
      </c>
      <c r="AS208">
        <v>2068762706.745975</v>
      </c>
      <c r="AT208">
        <v>1966548409.548578</v>
      </c>
      <c r="AU208">
        <v>1965932546.3583436</v>
      </c>
      <c r="AV208">
        <v>2138185328.1515584</v>
      </c>
      <c r="AW208">
        <v>2376464519.6403618</v>
      </c>
      <c r="AX208">
        <v>2933765825.2803717</v>
      </c>
      <c r="AY208">
        <v>3319711249.4418893</v>
      </c>
      <c r="AZ208">
        <v>4070391531.2959929</v>
      </c>
      <c r="BA208">
        <v>5179804290.63377</v>
      </c>
      <c r="BB208">
        <v>5674428927.6035643</v>
      </c>
      <c r="BC208">
        <v>6124693374.470645</v>
      </c>
      <c r="BD208">
        <v>6884907733.0048437</v>
      </c>
      <c r="BE208">
        <v>7654782978.5873594</v>
      </c>
      <c r="BF208">
        <v>7820052084.0338745</v>
      </c>
      <c r="BG208">
        <v>8239042500.2873278</v>
      </c>
      <c r="BH208">
        <v>8543869360.36164</v>
      </c>
      <c r="BI208">
        <v>8695318854.1105537</v>
      </c>
      <c r="BJ208">
        <v>9252833678.0891647</v>
      </c>
      <c r="BK208">
        <v>9636510839.3070736</v>
      </c>
      <c r="BL208">
        <v>10346675636.339691</v>
      </c>
      <c r="BM208">
        <v>10172925171.586851</v>
      </c>
      <c r="BN208">
        <v>11055281971.045393</v>
      </c>
      <c r="BO208" s="190">
        <v>13312796765.233641</v>
      </c>
    </row>
    <row r="209" spans="1:67">
      <c r="A209" t="s">
        <v>894</v>
      </c>
      <c r="B209" t="s">
        <v>895</v>
      </c>
      <c r="C209" t="s">
        <v>1018</v>
      </c>
      <c r="D209" t="s">
        <v>1019</v>
      </c>
      <c r="E209">
        <v>47156704038.6455</v>
      </c>
      <c r="F209">
        <v>50316837320.196487</v>
      </c>
      <c r="G209">
        <v>53705580292.751671</v>
      </c>
      <c r="H209">
        <v>60408326895.492935</v>
      </c>
      <c r="I209">
        <v>69158968713.73645</v>
      </c>
      <c r="J209">
        <v>74274468929.555313</v>
      </c>
      <c r="K209">
        <v>62456580600.221962</v>
      </c>
      <c r="L209">
        <v>68712964033.034157</v>
      </c>
      <c r="M209">
        <v>72018446516.85849</v>
      </c>
      <c r="N209">
        <v>79171992803.877945</v>
      </c>
      <c r="O209">
        <v>85711844745.381042</v>
      </c>
      <c r="P209">
        <v>91169238617.006714</v>
      </c>
      <c r="Q209">
        <v>91653327298.465683</v>
      </c>
      <c r="R209">
        <v>104781402787.84641</v>
      </c>
      <c r="S209">
        <v>126934580819.77951</v>
      </c>
      <c r="T209">
        <v>135867507778.86086</v>
      </c>
      <c r="U209">
        <v>132608444905.69814</v>
      </c>
      <c r="V209">
        <v>153553587500.20941</v>
      </c>
      <c r="W209">
        <v>174721808669.43271</v>
      </c>
      <c r="X209">
        <v>195693075714.57629</v>
      </c>
      <c r="Y209">
        <v>235962137572.70047</v>
      </c>
      <c r="Z209">
        <v>250140235557.80508</v>
      </c>
      <c r="AA209">
        <v>258792952697.99405</v>
      </c>
      <c r="AB209">
        <v>273951368607.72211</v>
      </c>
      <c r="AC209">
        <v>272676312680.72058</v>
      </c>
      <c r="AD209">
        <v>296510765025.75391</v>
      </c>
      <c r="AE209">
        <v>314034899880.35291</v>
      </c>
      <c r="AF209">
        <v>348690416778.91949</v>
      </c>
      <c r="AG209">
        <v>374679367843.73615</v>
      </c>
      <c r="AH209">
        <v>378112968995.07916</v>
      </c>
      <c r="AI209">
        <v>407066728402.15198</v>
      </c>
      <c r="AJ209">
        <v>362155183204.79944</v>
      </c>
      <c r="AK209">
        <v>384619247242.88605</v>
      </c>
      <c r="AL209">
        <v>380986910706.29224</v>
      </c>
      <c r="AM209">
        <v>432196055451.72174</v>
      </c>
      <c r="AN209">
        <v>479707317022.57056</v>
      </c>
      <c r="AO209">
        <v>524814569929.73138</v>
      </c>
      <c r="AP209">
        <v>550548635667.58313</v>
      </c>
      <c r="AQ209">
        <v>558258844530.03125</v>
      </c>
      <c r="AR209">
        <v>598146534949.58765</v>
      </c>
      <c r="AS209">
        <v>630242098666.01587</v>
      </c>
      <c r="AT209">
        <v>645678633202.56848</v>
      </c>
      <c r="AU209">
        <v>677426539845.30261</v>
      </c>
      <c r="AV209">
        <v>791026613085.97498</v>
      </c>
      <c r="AW209">
        <v>917083438858.5188</v>
      </c>
      <c r="AX209">
        <v>1050602379999.6326</v>
      </c>
      <c r="AY209">
        <v>1196088124853.0818</v>
      </c>
      <c r="AZ209">
        <v>1504162366252.8945</v>
      </c>
      <c r="BA209">
        <v>1527612730733.4111</v>
      </c>
      <c r="BB209">
        <v>1683173926491.5037</v>
      </c>
      <c r="BC209">
        <v>2062468955967.6968</v>
      </c>
      <c r="BD209">
        <v>2277346353954.8926</v>
      </c>
      <c r="BE209">
        <v>2302398278355.3418</v>
      </c>
      <c r="BF209">
        <v>2362708983919.2241</v>
      </c>
      <c r="BG209">
        <v>2587787935996.4155</v>
      </c>
      <c r="BH209">
        <v>2704835939982.5107</v>
      </c>
      <c r="BI209">
        <v>3010757329892.833</v>
      </c>
      <c r="BJ209">
        <v>3433883301221.7539</v>
      </c>
      <c r="BK209">
        <v>3534209044993.8716</v>
      </c>
      <c r="BL209">
        <v>3658004814522.0073</v>
      </c>
      <c r="BM209">
        <v>3490012356687.8335</v>
      </c>
      <c r="BN209">
        <v>4062783801939.27</v>
      </c>
      <c r="BO209" s="190">
        <v>4361631457999.0156</v>
      </c>
    </row>
    <row r="210" spans="1:67">
      <c r="A210" t="s">
        <v>896</v>
      </c>
      <c r="B210" t="s">
        <v>897</v>
      </c>
      <c r="C210" t="s">
        <v>1018</v>
      </c>
      <c r="D210" t="s">
        <v>1019</v>
      </c>
      <c r="M210">
        <v>4187777707.8539505</v>
      </c>
      <c r="N210">
        <v>4485777640.9555063</v>
      </c>
      <c r="O210">
        <v>5377268844.3471241</v>
      </c>
      <c r="P210">
        <v>7184816176.8767529</v>
      </c>
      <c r="Q210">
        <v>9664177036.6720924</v>
      </c>
      <c r="R210">
        <v>14947535254.228748</v>
      </c>
      <c r="S210">
        <v>45412971922.171829</v>
      </c>
      <c r="T210">
        <v>46773137523.074844</v>
      </c>
      <c r="U210">
        <v>64005623888.454567</v>
      </c>
      <c r="V210">
        <v>74189100135.365479</v>
      </c>
      <c r="W210">
        <v>80266637389.663193</v>
      </c>
      <c r="X210">
        <v>111858506074.44746</v>
      </c>
      <c r="Y210">
        <v>164539597502.00363</v>
      </c>
      <c r="Z210">
        <v>184291434776.43393</v>
      </c>
      <c r="AA210">
        <v>153240295657.77145</v>
      </c>
      <c r="AB210">
        <v>129171602025.14703</v>
      </c>
      <c r="AC210">
        <v>119624918956.20943</v>
      </c>
      <c r="AD210">
        <v>103897892810.97874</v>
      </c>
      <c r="AE210">
        <v>86962013010.555222</v>
      </c>
      <c r="AF210">
        <v>85695941760.045135</v>
      </c>
      <c r="AG210">
        <v>88256162068.972488</v>
      </c>
      <c r="AH210">
        <v>95344352823.69693</v>
      </c>
      <c r="AI210">
        <v>117630261604.88786</v>
      </c>
      <c r="AJ210">
        <v>132223257865.57784</v>
      </c>
      <c r="AK210">
        <v>137087867284.34232</v>
      </c>
      <c r="AL210">
        <v>132967891655.20506</v>
      </c>
      <c r="AM210">
        <v>135174876355.65553</v>
      </c>
      <c r="AN210">
        <v>143343025756.2988</v>
      </c>
      <c r="AO210">
        <v>158662377388.98904</v>
      </c>
      <c r="AP210">
        <v>165963594803.63577</v>
      </c>
      <c r="AQ210">
        <v>146775428759.27838</v>
      </c>
      <c r="AR210">
        <v>161717040000</v>
      </c>
      <c r="AS210">
        <v>189514910222.66666</v>
      </c>
      <c r="AT210">
        <v>184137517724.86267</v>
      </c>
      <c r="AU210">
        <v>189605920240.51572</v>
      </c>
      <c r="AV210">
        <v>215807655244.42401</v>
      </c>
      <c r="AW210">
        <v>258742263029.00797</v>
      </c>
      <c r="AX210">
        <v>328459700124.06396</v>
      </c>
      <c r="AY210">
        <v>376900135720.729</v>
      </c>
      <c r="AZ210">
        <v>415964583059.20477</v>
      </c>
      <c r="BA210">
        <v>519796738631.12799</v>
      </c>
      <c r="BB210">
        <v>429097899279.01337</v>
      </c>
      <c r="BC210">
        <v>528207298529.87201</v>
      </c>
      <c r="BD210">
        <v>676634577273.04529</v>
      </c>
      <c r="BE210">
        <v>741849984943.25598</v>
      </c>
      <c r="BF210">
        <v>753864543430.24805</v>
      </c>
      <c r="BG210">
        <v>766605946720.42664</v>
      </c>
      <c r="BH210">
        <v>669484381328.89075</v>
      </c>
      <c r="BI210">
        <v>665999879694.19189</v>
      </c>
      <c r="BJ210">
        <v>714994694991.65063</v>
      </c>
      <c r="BK210">
        <v>846583785179.85596</v>
      </c>
      <c r="BL210">
        <v>838564705624.6427</v>
      </c>
      <c r="BM210">
        <v>734271183954.88013</v>
      </c>
      <c r="BN210">
        <v>868585871464.54126</v>
      </c>
      <c r="BO210" s="190">
        <v>1108148978218.488</v>
      </c>
    </row>
    <row r="211" spans="1:67">
      <c r="A211" t="s">
        <v>898</v>
      </c>
      <c r="B211" t="s">
        <v>899</v>
      </c>
      <c r="C211" t="s">
        <v>1018</v>
      </c>
      <c r="D211" t="s">
        <v>1019</v>
      </c>
      <c r="E211">
        <v>1126364161.7644002</v>
      </c>
      <c r="F211">
        <v>1222860428.555027</v>
      </c>
      <c r="G211">
        <v>1328259624.7221701</v>
      </c>
      <c r="H211">
        <v>1351234926.3389859</v>
      </c>
      <c r="I211">
        <v>1388282600.1961017</v>
      </c>
      <c r="J211">
        <v>1446869619.3189821</v>
      </c>
      <c r="K211">
        <v>1484491675.7165182</v>
      </c>
      <c r="L211">
        <v>1607409539.3664834</v>
      </c>
      <c r="M211">
        <v>1677771400.5679824</v>
      </c>
      <c r="N211">
        <v>1847501441.2622097</v>
      </c>
      <c r="O211">
        <v>2100229759.0471847</v>
      </c>
      <c r="P211">
        <v>2288340041.0348649</v>
      </c>
      <c r="Q211">
        <v>2483055722.23738</v>
      </c>
      <c r="R211">
        <v>3077254460.3022814</v>
      </c>
      <c r="S211">
        <v>3958931659.8475924</v>
      </c>
      <c r="T211">
        <v>4823090191.9100809</v>
      </c>
      <c r="U211">
        <v>6013210815.6611452</v>
      </c>
      <c r="V211">
        <v>7499005639.3764896</v>
      </c>
      <c r="W211">
        <v>8128719315.0792007</v>
      </c>
      <c r="X211">
        <v>8418407786.6059923</v>
      </c>
      <c r="Y211">
        <v>8951800017.9036007</v>
      </c>
      <c r="Z211">
        <v>10753888154.279812</v>
      </c>
      <c r="AA211">
        <v>8732542273.7342396</v>
      </c>
      <c r="AB211">
        <v>8230153846.1538467</v>
      </c>
      <c r="AC211">
        <v>10447615384.615385</v>
      </c>
      <c r="AD211">
        <v>8075259600.3398018</v>
      </c>
      <c r="AE211">
        <v>10092200000</v>
      </c>
      <c r="AF211">
        <v>12093333333.333334</v>
      </c>
      <c r="AG211">
        <v>14372555555.555559</v>
      </c>
      <c r="AH211">
        <v>21408111111.111115</v>
      </c>
      <c r="AI211">
        <v>33641222222.222225</v>
      </c>
      <c r="AJ211">
        <v>44171194366.203911</v>
      </c>
      <c r="AK211">
        <v>7031933491.8489866</v>
      </c>
      <c r="AL211">
        <v>8881010081.2494221</v>
      </c>
      <c r="AM211">
        <v>12793798418.384317</v>
      </c>
      <c r="AN211">
        <v>13830369852.313004</v>
      </c>
      <c r="AO211">
        <v>9018303128.0188961</v>
      </c>
      <c r="AP211">
        <v>11681179570.900702</v>
      </c>
      <c r="AQ211">
        <v>11250220602.973974</v>
      </c>
      <c r="AR211">
        <v>10682027634.746183</v>
      </c>
      <c r="AS211">
        <v>12257299147.293604</v>
      </c>
      <c r="AT211">
        <v>15716361539.064255</v>
      </c>
      <c r="AU211">
        <v>18137126092.281811</v>
      </c>
      <c r="AV211">
        <v>21355295732.053516</v>
      </c>
      <c r="AW211">
        <v>26646007250.731857</v>
      </c>
      <c r="AX211">
        <v>35182707173.815674</v>
      </c>
      <c r="AY211">
        <v>45263824686.089775</v>
      </c>
      <c r="AZ211">
        <v>59440139774.812767</v>
      </c>
      <c r="BA211">
        <v>64833088568.393997</v>
      </c>
      <c r="BB211">
        <v>58315346841.236366</v>
      </c>
      <c r="BC211">
        <v>74151157011.525055</v>
      </c>
      <c r="BD211">
        <v>78402841444.952423</v>
      </c>
      <c r="BE211">
        <v>63196236489.370445</v>
      </c>
      <c r="BF211">
        <v>66027147864.79155</v>
      </c>
      <c r="BG211">
        <v>76818773784.760498</v>
      </c>
      <c r="BH211">
        <v>84984672415.940125</v>
      </c>
      <c r="BI211">
        <v>102943515502.99355</v>
      </c>
      <c r="BJ211">
        <v>129718581297.43123</v>
      </c>
      <c r="BK211">
        <v>32333780383.292381</v>
      </c>
      <c r="BL211">
        <v>32338079165.289257</v>
      </c>
      <c r="BM211">
        <v>27034593750</v>
      </c>
      <c r="BN211">
        <v>34229513774.993607</v>
      </c>
      <c r="BO211" s="190">
        <v>51662241775.242538</v>
      </c>
    </row>
    <row r="212" spans="1:67">
      <c r="A212" t="s">
        <v>900</v>
      </c>
      <c r="B212" t="s">
        <v>901</v>
      </c>
      <c r="C212" t="s">
        <v>1018</v>
      </c>
      <c r="D212" t="s">
        <v>1019</v>
      </c>
      <c r="E212">
        <v>1003692368.8380305</v>
      </c>
      <c r="F212">
        <v>1058975258.6059928</v>
      </c>
      <c r="G212">
        <v>1085475791.9798131</v>
      </c>
      <c r="H212">
        <v>1122139863.0699809</v>
      </c>
      <c r="I212">
        <v>1188930644.9607017</v>
      </c>
      <c r="J212">
        <v>1210058227.1455035</v>
      </c>
      <c r="K212">
        <v>1246908188.2085457</v>
      </c>
      <c r="L212">
        <v>1246480767.0374177</v>
      </c>
      <c r="M212">
        <v>1309384863.2076943</v>
      </c>
      <c r="N212">
        <v>1245234929.7498808</v>
      </c>
      <c r="O212">
        <v>1297407654.8023081</v>
      </c>
      <c r="P212">
        <v>1339549034.3686156</v>
      </c>
      <c r="Q212">
        <v>1620857100.5595036</v>
      </c>
      <c r="R212">
        <v>1863398590.0106103</v>
      </c>
      <c r="S212">
        <v>2099325232.115263</v>
      </c>
      <c r="T212">
        <v>2830388400.3912864</v>
      </c>
      <c r="U212">
        <v>2869777881.2443047</v>
      </c>
      <c r="V212">
        <v>2938046467.8930488</v>
      </c>
      <c r="W212">
        <v>3280354917.450573</v>
      </c>
      <c r="X212">
        <v>4084877817.8783822</v>
      </c>
      <c r="Y212">
        <v>4510108281.8431511</v>
      </c>
      <c r="Z212">
        <v>4095892787.3609552</v>
      </c>
      <c r="AA212">
        <v>4013951446.3476739</v>
      </c>
      <c r="AB212">
        <v>3569356124.700901</v>
      </c>
      <c r="AC212">
        <v>3485165433.4043894</v>
      </c>
      <c r="AD212">
        <v>3818944920.0186062</v>
      </c>
      <c r="AE212">
        <v>5392093452.4472198</v>
      </c>
      <c r="AF212">
        <v>6487353094.1485596</v>
      </c>
      <c r="AG212">
        <v>6418419392.5272646</v>
      </c>
      <c r="AH212">
        <v>6366039362.8003712</v>
      </c>
      <c r="AI212">
        <v>7390967361.6592674</v>
      </c>
      <c r="AJ212">
        <v>7255210474.4341841</v>
      </c>
      <c r="AK212">
        <v>7769817847.277997</v>
      </c>
      <c r="AL212">
        <v>7367986228.2080507</v>
      </c>
      <c r="AM212">
        <v>5034588198.680192</v>
      </c>
      <c r="AN212">
        <v>6326342634.6542196</v>
      </c>
      <c r="AO212">
        <v>6559712162.4705667</v>
      </c>
      <c r="AP212">
        <v>6041478722.24648</v>
      </c>
      <c r="AQ212">
        <v>6505607913.8244286</v>
      </c>
      <c r="AR212">
        <v>6592834929.3899393</v>
      </c>
      <c r="AS212">
        <v>6013185003.7096739</v>
      </c>
      <c r="AT212">
        <v>6507824826.950242</v>
      </c>
      <c r="AU212">
        <v>7006402324.8451147</v>
      </c>
      <c r="AV212">
        <v>8768721560.5742207</v>
      </c>
      <c r="AW212">
        <v>10076816661.047958</v>
      </c>
      <c r="AX212">
        <v>11009033445.254768</v>
      </c>
      <c r="AY212">
        <v>11697918245.35066</v>
      </c>
      <c r="AZ212">
        <v>13994218399.034044</v>
      </c>
      <c r="BA212">
        <v>16853989611.193321</v>
      </c>
      <c r="BB212">
        <v>16145867483.219795</v>
      </c>
      <c r="BC212">
        <v>16121315901.811733</v>
      </c>
      <c r="BD212">
        <v>17814283649.936707</v>
      </c>
      <c r="BE212">
        <v>17660870395.810329</v>
      </c>
      <c r="BF212">
        <v>18918667730.541698</v>
      </c>
      <c r="BG212">
        <v>19797253445.267292</v>
      </c>
      <c r="BH212">
        <v>17774766696.698723</v>
      </c>
      <c r="BI212">
        <v>19040312331.161495</v>
      </c>
      <c r="BJ212">
        <v>20996562958.50098</v>
      </c>
      <c r="BK212">
        <v>23116701539.564644</v>
      </c>
      <c r="BL212">
        <v>23403995984.930641</v>
      </c>
      <c r="BM212">
        <v>24530513058.594551</v>
      </c>
      <c r="BN212">
        <v>27569136728.25647</v>
      </c>
      <c r="BO212" s="190">
        <v>27684430244.490704</v>
      </c>
    </row>
    <row r="213" spans="1:67">
      <c r="A213" t="s">
        <v>902</v>
      </c>
      <c r="B213" t="s">
        <v>903</v>
      </c>
      <c r="C213" t="s">
        <v>1018</v>
      </c>
      <c r="D213" t="s">
        <v>1019</v>
      </c>
      <c r="E213">
        <v>704751699.82796133</v>
      </c>
      <c r="F213">
        <v>764629787.60883892</v>
      </c>
      <c r="G213">
        <v>826239211.26117659</v>
      </c>
      <c r="H213">
        <v>917608011.873896</v>
      </c>
      <c r="I213">
        <v>894153310.82279396</v>
      </c>
      <c r="J213">
        <v>974644095.48841441</v>
      </c>
      <c r="K213">
        <v>1096425607.3526325</v>
      </c>
      <c r="L213">
        <v>1238035814.9522529</v>
      </c>
      <c r="M213">
        <v>1425706090.0756254</v>
      </c>
      <c r="N213">
        <v>1659893766.7265317</v>
      </c>
      <c r="O213">
        <v>1920574148.8822346</v>
      </c>
      <c r="P213">
        <v>2263785443.6168823</v>
      </c>
      <c r="Q213">
        <v>2721440980.7585139</v>
      </c>
      <c r="R213">
        <v>3696213333.3333335</v>
      </c>
      <c r="S213">
        <v>5221534955.6441774</v>
      </c>
      <c r="T213">
        <v>5633673929.9930239</v>
      </c>
      <c r="U213">
        <v>6327077974.107029</v>
      </c>
      <c r="V213">
        <v>6618585073.6603527</v>
      </c>
      <c r="W213">
        <v>7517176354.8413544</v>
      </c>
      <c r="X213">
        <v>9296921723.8346519</v>
      </c>
      <c r="Y213">
        <v>11896256782.856619</v>
      </c>
      <c r="Z213">
        <v>14175228843.63908</v>
      </c>
      <c r="AA213">
        <v>16084252378.473043</v>
      </c>
      <c r="AB213">
        <v>17784112149.532711</v>
      </c>
      <c r="AC213">
        <v>19749361097.964977</v>
      </c>
      <c r="AD213">
        <v>19156532745.769066</v>
      </c>
      <c r="AE213">
        <v>18586746056.99741</v>
      </c>
      <c r="AF213">
        <v>20919215578.212547</v>
      </c>
      <c r="AG213">
        <v>25371462488.129158</v>
      </c>
      <c r="AH213">
        <v>30465364738.620552</v>
      </c>
      <c r="AI213">
        <v>36144336768.702255</v>
      </c>
      <c r="AJ213">
        <v>45466164978.292328</v>
      </c>
      <c r="AK213">
        <v>52131330700.443939</v>
      </c>
      <c r="AL213">
        <v>60603821967.468071</v>
      </c>
      <c r="AM213">
        <v>73688716390.615311</v>
      </c>
      <c r="AN213">
        <v>87812540788.429306</v>
      </c>
      <c r="AO213">
        <v>96293097894.919357</v>
      </c>
      <c r="AP213">
        <v>100123798454.00684</v>
      </c>
      <c r="AQ213">
        <v>85728224856.372467</v>
      </c>
      <c r="AR213">
        <v>86286866724.22287</v>
      </c>
      <c r="AS213">
        <v>96076521349.062134</v>
      </c>
      <c r="AT213">
        <v>89793815727.602905</v>
      </c>
      <c r="AU213">
        <v>92538355642.884781</v>
      </c>
      <c r="AV213">
        <v>97646382412.872925</v>
      </c>
      <c r="AW213">
        <v>115033570415.04277</v>
      </c>
      <c r="AX213">
        <v>127807810333.76942</v>
      </c>
      <c r="AY213">
        <v>148627255181.67355</v>
      </c>
      <c r="AZ213">
        <v>180941741377.76553</v>
      </c>
      <c r="BA213">
        <v>193617346346.78485</v>
      </c>
      <c r="BB213">
        <v>194150322022.0918</v>
      </c>
      <c r="BC213">
        <v>239807921966.00739</v>
      </c>
      <c r="BD213">
        <v>279356526366.33435</v>
      </c>
      <c r="BE213">
        <v>295092839974.91882</v>
      </c>
      <c r="BF213">
        <v>307576360584.99158</v>
      </c>
      <c r="BG213">
        <v>314863580758.45465</v>
      </c>
      <c r="BH213">
        <v>307998545269.39795</v>
      </c>
      <c r="BI213">
        <v>319029973659.29303</v>
      </c>
      <c r="BJ213">
        <v>343272878686.38776</v>
      </c>
      <c r="BK213">
        <v>376869585632.11548</v>
      </c>
      <c r="BL213">
        <v>376837488316.9729</v>
      </c>
      <c r="BM213">
        <v>348392174863.65118</v>
      </c>
      <c r="BN213">
        <v>423796995372.7262</v>
      </c>
      <c r="BO213" s="190">
        <v>466788539651.83636</v>
      </c>
    </row>
    <row r="214" spans="1:67">
      <c r="A214" t="s">
        <v>904</v>
      </c>
      <c r="B214" t="s">
        <v>905</v>
      </c>
      <c r="C214" t="s">
        <v>1018</v>
      </c>
      <c r="D214" t="s">
        <v>1019</v>
      </c>
      <c r="L214">
        <v>25203524.032563843</v>
      </c>
      <c r="M214">
        <v>28084252.758274823</v>
      </c>
      <c r="N214">
        <v>28606411.398040961</v>
      </c>
      <c r="P214">
        <v>50056882.821387939</v>
      </c>
      <c r="Q214">
        <v>40606712.050638959</v>
      </c>
      <c r="R214">
        <v>55272108.843537413</v>
      </c>
      <c r="S214">
        <v>84539332.282561973</v>
      </c>
      <c r="T214">
        <v>74620352.592075378</v>
      </c>
      <c r="U214">
        <v>83100800.456239715</v>
      </c>
      <c r="V214">
        <v>93145317.784472048</v>
      </c>
      <c r="W214">
        <v>111027384.84724201</v>
      </c>
      <c r="X214">
        <v>151276440.25880837</v>
      </c>
      <c r="Y214">
        <v>182852054.19283372</v>
      </c>
      <c r="Z214">
        <v>193750476.47208157</v>
      </c>
      <c r="AA214">
        <v>192901942.93311027</v>
      </c>
      <c r="AB214">
        <v>181220349.80406713</v>
      </c>
      <c r="AC214">
        <v>181570454.32585609</v>
      </c>
      <c r="AD214">
        <v>165524980.92041564</v>
      </c>
      <c r="AE214">
        <v>147620047.54212105</v>
      </c>
      <c r="AF214">
        <v>155128568.05174792</v>
      </c>
      <c r="AG214">
        <v>176494422.13987857</v>
      </c>
      <c r="AH214">
        <v>172882435.80811709</v>
      </c>
      <c r="AI214">
        <v>214877638.37550366</v>
      </c>
      <c r="AJ214">
        <v>227540473.34008658</v>
      </c>
      <c r="AK214">
        <v>269034595.81298453</v>
      </c>
      <c r="AL214">
        <v>300746329.68044204</v>
      </c>
      <c r="AM214">
        <v>402836964.47515374</v>
      </c>
      <c r="AN214">
        <v>469443201.50327373</v>
      </c>
      <c r="AO214">
        <v>510586382.46764374</v>
      </c>
      <c r="AP214">
        <v>526554053.17543721</v>
      </c>
      <c r="AQ214">
        <v>457579824.38850802</v>
      </c>
      <c r="AR214">
        <v>488024547.9927724</v>
      </c>
      <c r="AS214">
        <v>419842687.97784501</v>
      </c>
      <c r="AT214">
        <v>409508556.61339206</v>
      </c>
      <c r="AU214">
        <v>346406733.6035561</v>
      </c>
      <c r="AV214">
        <v>417668997.39761525</v>
      </c>
      <c r="AW214">
        <v>468005324.46033913</v>
      </c>
      <c r="AX214">
        <v>552864568.40229273</v>
      </c>
      <c r="AY214">
        <v>617258127.22105742</v>
      </c>
      <c r="AZ214">
        <v>695295347.62153685</v>
      </c>
      <c r="BA214">
        <v>776337725.1949445</v>
      </c>
      <c r="BB214">
        <v>805557595.91560125</v>
      </c>
      <c r="BC214">
        <v>898133646.57835221</v>
      </c>
      <c r="BD214">
        <v>1063895356.5084078</v>
      </c>
      <c r="BE214">
        <v>1185283421.9760034</v>
      </c>
      <c r="BF214">
        <v>1285911568.5145178</v>
      </c>
      <c r="BG214">
        <v>1335571356.6871419</v>
      </c>
      <c r="BH214">
        <v>1307909891.2937517</v>
      </c>
      <c r="BI214">
        <v>1379490315.0228646</v>
      </c>
      <c r="BJ214">
        <v>1469789050.3085139</v>
      </c>
      <c r="BK214">
        <v>1615478421.4597356</v>
      </c>
      <c r="BL214">
        <v>1619154958.4023297</v>
      </c>
      <c r="BM214">
        <v>1536145831.0639005</v>
      </c>
      <c r="BN214">
        <v>1580303517.1709242</v>
      </c>
      <c r="BO214" s="190">
        <v>1595710784.3137255</v>
      </c>
    </row>
    <row r="215" spans="1:67">
      <c r="A215" t="s">
        <v>906</v>
      </c>
      <c r="B215" t="s">
        <v>907</v>
      </c>
      <c r="C215" t="s">
        <v>1018</v>
      </c>
      <c r="D215" t="s">
        <v>1019</v>
      </c>
      <c r="E215">
        <v>321993630.57324839</v>
      </c>
      <c r="F215">
        <v>327818552.99689692</v>
      </c>
      <c r="G215">
        <v>342704719.90854156</v>
      </c>
      <c r="H215">
        <v>348529805.65082479</v>
      </c>
      <c r="I215">
        <v>371829821.98268825</v>
      </c>
      <c r="J215">
        <v>359379856.24805748</v>
      </c>
      <c r="K215">
        <v>375479849.80806011</v>
      </c>
      <c r="L215">
        <v>348795351.16276854</v>
      </c>
      <c r="M215">
        <v>329860091.94403678</v>
      </c>
      <c r="N215">
        <v>408690163.4760654</v>
      </c>
      <c r="O215">
        <v>434410373.76414949</v>
      </c>
      <c r="P215">
        <v>419549425.07708561</v>
      </c>
      <c r="Q215">
        <v>465381264.33208954</v>
      </c>
      <c r="R215">
        <v>575230445.78024137</v>
      </c>
      <c r="S215">
        <v>648590794.57527447</v>
      </c>
      <c r="T215">
        <v>679336126.55536914</v>
      </c>
      <c r="U215">
        <v>594895244.67470992</v>
      </c>
      <c r="V215">
        <v>691779749.56229711</v>
      </c>
      <c r="W215">
        <v>960725310.97806573</v>
      </c>
      <c r="X215">
        <v>1109372098.138788</v>
      </c>
      <c r="Y215">
        <v>1100688361.2612565</v>
      </c>
      <c r="Z215">
        <v>1114831914.6302061</v>
      </c>
      <c r="AA215">
        <v>1295361467.6102314</v>
      </c>
      <c r="AB215">
        <v>995104199.78420758</v>
      </c>
      <c r="AC215">
        <v>1087471861.9892826</v>
      </c>
      <c r="AD215">
        <v>856863164.45539379</v>
      </c>
      <c r="AE215">
        <v>490177396.18152434</v>
      </c>
      <c r="AF215">
        <v>660115531.97067499</v>
      </c>
      <c r="AG215">
        <v>1055081242.2873996</v>
      </c>
      <c r="AH215">
        <v>932978182.01438808</v>
      </c>
      <c r="AI215">
        <v>649644812.64470685</v>
      </c>
      <c r="AJ215">
        <v>780098205.21503556</v>
      </c>
      <c r="AK215">
        <v>679997997.59711647</v>
      </c>
      <c r="AL215">
        <v>768812334.8017621</v>
      </c>
      <c r="AM215">
        <v>911915970.68348396</v>
      </c>
      <c r="AN215">
        <v>870758739.40677965</v>
      </c>
      <c r="AO215">
        <v>941742152.70989466</v>
      </c>
      <c r="AP215">
        <v>850218033.62200713</v>
      </c>
      <c r="AQ215">
        <v>672375927.34714758</v>
      </c>
      <c r="AR215">
        <v>669384768.87263048</v>
      </c>
      <c r="AS215">
        <v>635874002.19874775</v>
      </c>
      <c r="AT215">
        <v>1074851475.1787333</v>
      </c>
      <c r="AU215">
        <v>1236235826.5840876</v>
      </c>
      <c r="AV215">
        <v>1369685676.5620341</v>
      </c>
      <c r="AW215">
        <v>1430217080.6648653</v>
      </c>
      <c r="AX215">
        <v>1627058706.4762702</v>
      </c>
      <c r="AY215">
        <v>1862116164.8034315</v>
      </c>
      <c r="AZ215">
        <v>2126679686.0684516</v>
      </c>
      <c r="BA215">
        <v>2451896681.9113789</v>
      </c>
      <c r="BB215">
        <v>2419014960.199666</v>
      </c>
      <c r="BC215">
        <v>2578159479.9008317</v>
      </c>
      <c r="BD215">
        <v>2932274241.9741035</v>
      </c>
      <c r="BE215">
        <v>3789251962.2758327</v>
      </c>
      <c r="BF215">
        <v>4920343203.3026857</v>
      </c>
      <c r="BG215">
        <v>5015180836.194953</v>
      </c>
      <c r="BH215">
        <v>4252029353.8219075</v>
      </c>
      <c r="BI215">
        <v>3862721204.6105175</v>
      </c>
      <c r="BJ215">
        <v>3719443317.5241284</v>
      </c>
      <c r="BK215">
        <v>4085114542.0683112</v>
      </c>
      <c r="BL215">
        <v>4076578653.5471363</v>
      </c>
      <c r="BM215">
        <v>4062906363.5562344</v>
      </c>
      <c r="BN215">
        <v>4249234573.9870777</v>
      </c>
      <c r="BO215" s="190">
        <v>3970343852.319387</v>
      </c>
    </row>
    <row r="216" spans="1:67">
      <c r="A216" t="s">
        <v>908</v>
      </c>
      <c r="B216" t="s">
        <v>909</v>
      </c>
      <c r="C216" t="s">
        <v>1018</v>
      </c>
      <c r="D216" t="s">
        <v>1019</v>
      </c>
      <c r="J216">
        <v>877720000</v>
      </c>
      <c r="K216">
        <v>929520000</v>
      </c>
      <c r="L216">
        <v>976200000</v>
      </c>
      <c r="M216">
        <v>1009760100</v>
      </c>
      <c r="N216">
        <v>1049400000.0000001</v>
      </c>
      <c r="O216">
        <v>1132920000</v>
      </c>
      <c r="P216">
        <v>1186120000</v>
      </c>
      <c r="Q216">
        <v>1263720000</v>
      </c>
      <c r="R216">
        <v>1442320000</v>
      </c>
      <c r="S216">
        <v>1665880000</v>
      </c>
      <c r="T216">
        <v>1884120100</v>
      </c>
      <c r="U216">
        <v>2328280100</v>
      </c>
      <c r="V216">
        <v>2941640100</v>
      </c>
      <c r="W216">
        <v>3127960000</v>
      </c>
      <c r="X216">
        <v>3463639900</v>
      </c>
      <c r="Y216">
        <v>3573959900</v>
      </c>
      <c r="Z216">
        <v>3437200200</v>
      </c>
      <c r="AA216">
        <v>3399189100</v>
      </c>
      <c r="AB216">
        <v>3506347800</v>
      </c>
      <c r="AC216">
        <v>3661683400</v>
      </c>
      <c r="AD216">
        <v>3800368600</v>
      </c>
      <c r="AE216">
        <v>3771663200</v>
      </c>
      <c r="AF216">
        <v>3958045800</v>
      </c>
      <c r="AG216">
        <v>4189880000</v>
      </c>
      <c r="AH216">
        <v>4372215300</v>
      </c>
      <c r="AI216">
        <v>4817542204</v>
      </c>
      <c r="AJ216">
        <v>5252342400</v>
      </c>
      <c r="AK216">
        <v>5813399300</v>
      </c>
      <c r="AL216">
        <v>6680269200</v>
      </c>
      <c r="AM216">
        <v>7679384000</v>
      </c>
      <c r="AN216">
        <v>8921947100</v>
      </c>
      <c r="AO216">
        <v>9586327800</v>
      </c>
      <c r="AP216">
        <v>10221705900</v>
      </c>
      <c r="AQ216">
        <v>10936669900</v>
      </c>
      <c r="AR216">
        <v>11284197000</v>
      </c>
      <c r="AS216">
        <v>11784927700</v>
      </c>
      <c r="AT216">
        <v>12282533600</v>
      </c>
      <c r="AU216">
        <v>12664190300</v>
      </c>
      <c r="AV216">
        <v>13243892200</v>
      </c>
      <c r="AW216">
        <v>13724810900</v>
      </c>
      <c r="AX216">
        <v>14698000000</v>
      </c>
      <c r="AY216">
        <v>15999890000</v>
      </c>
      <c r="AZ216">
        <v>17011750000</v>
      </c>
      <c r="BA216">
        <v>17986890000</v>
      </c>
      <c r="BB216">
        <v>17601620000</v>
      </c>
      <c r="BC216">
        <v>18447920000</v>
      </c>
      <c r="BD216">
        <v>20283780000</v>
      </c>
      <c r="BE216">
        <v>21386150000</v>
      </c>
      <c r="BF216">
        <v>21990960000</v>
      </c>
      <c r="BG216">
        <v>22593470000</v>
      </c>
      <c r="BH216">
        <v>23438240000</v>
      </c>
      <c r="BI216">
        <v>24191430000</v>
      </c>
      <c r="BJ216">
        <v>24979190000</v>
      </c>
      <c r="BK216">
        <v>26020850000</v>
      </c>
      <c r="BL216">
        <v>26881140000</v>
      </c>
      <c r="BM216">
        <v>24930080000</v>
      </c>
      <c r="BN216">
        <v>29451240000</v>
      </c>
      <c r="BO216" s="190">
        <v>32488720000</v>
      </c>
    </row>
    <row r="217" spans="1:67">
      <c r="A217" t="s">
        <v>910</v>
      </c>
      <c r="B217" t="s">
        <v>911</v>
      </c>
      <c r="C217" t="s">
        <v>1018</v>
      </c>
      <c r="D217" t="s">
        <v>1019</v>
      </c>
      <c r="AR217">
        <v>1109098657.5751119</v>
      </c>
      <c r="AS217">
        <v>1005159388.2439654</v>
      </c>
      <c r="AT217">
        <v>1077413479.0528233</v>
      </c>
      <c r="AU217">
        <v>1168269230.7692308</v>
      </c>
      <c r="AV217">
        <v>1464326160.815402</v>
      </c>
      <c r="AW217">
        <v>1723750000</v>
      </c>
      <c r="AX217">
        <v>1785847531.401567</v>
      </c>
      <c r="AY217">
        <v>1908167105.758374</v>
      </c>
      <c r="AZ217">
        <v>2185874623.5970435</v>
      </c>
      <c r="BA217">
        <v>2393437820.4189248</v>
      </c>
      <c r="BB217">
        <v>2056126701.8616283</v>
      </c>
      <c r="BC217">
        <v>1881191950.0000036</v>
      </c>
      <c r="BD217">
        <v>1813717694.5525327</v>
      </c>
      <c r="BE217">
        <v>1604701051.1718755</v>
      </c>
      <c r="BF217">
        <v>1678741201.5686321</v>
      </c>
      <c r="BG217">
        <v>1673910988.2352881</v>
      </c>
      <c r="BH217">
        <v>1419400403.8233864</v>
      </c>
      <c r="BI217">
        <v>1468342430.6883647</v>
      </c>
      <c r="BJ217">
        <v>1528621195.4584899</v>
      </c>
      <c r="BK217">
        <v>1655354303.8288491</v>
      </c>
      <c r="BL217">
        <v>1616188702.3440502</v>
      </c>
      <c r="BM217">
        <v>1541247884.0020726</v>
      </c>
      <c r="BN217">
        <v>1855382833.1467772</v>
      </c>
    </row>
    <row r="218" spans="1:67">
      <c r="A218" t="s">
        <v>912</v>
      </c>
      <c r="B218" t="s">
        <v>913</v>
      </c>
      <c r="C218" t="s">
        <v>1018</v>
      </c>
      <c r="D218" t="s">
        <v>1019</v>
      </c>
      <c r="E218">
        <v>180459936.62082973</v>
      </c>
      <c r="F218">
        <v>191659914.2112067</v>
      </c>
      <c r="G218">
        <v>203531927.37219152</v>
      </c>
      <c r="H218">
        <v>216145935.75574011</v>
      </c>
      <c r="I218">
        <v>229529912.4706392</v>
      </c>
      <c r="J218">
        <v>243725897.8200365</v>
      </c>
      <c r="K218">
        <v>257375896.82829788</v>
      </c>
      <c r="L218">
        <v>271781886.57351285</v>
      </c>
      <c r="M218">
        <v>286719885.06546676</v>
      </c>
      <c r="N218">
        <v>306357284.5714286</v>
      </c>
      <c r="O218">
        <v>322600009.14285713</v>
      </c>
      <c r="P218">
        <v>331104677.24256843</v>
      </c>
      <c r="Q218">
        <v>416940943.667476</v>
      </c>
      <c r="R218">
        <v>507028428.32237971</v>
      </c>
      <c r="S218">
        <v>467577432.32209331</v>
      </c>
      <c r="T218">
        <v>710850226.64191425</v>
      </c>
      <c r="U218">
        <v>807275808.8653338</v>
      </c>
      <c r="V218">
        <v>498550873.04347825</v>
      </c>
      <c r="W218">
        <v>564986059.66850829</v>
      </c>
      <c r="X218">
        <v>590419855.11811018</v>
      </c>
      <c r="Y218">
        <v>603592656.82220912</v>
      </c>
      <c r="Z218">
        <v>699112266.83576417</v>
      </c>
      <c r="AA218">
        <v>774419569.69906604</v>
      </c>
      <c r="AB218">
        <v>733901365.93535423</v>
      </c>
      <c r="AC218">
        <v>788307213.43823516</v>
      </c>
      <c r="AD218">
        <v>876404617.6565007</v>
      </c>
      <c r="AE218">
        <v>930318705.30133498</v>
      </c>
      <c r="AF218">
        <v>1009792724.4217484</v>
      </c>
      <c r="AG218">
        <v>1038291284.4969462</v>
      </c>
      <c r="AH218">
        <v>1092392963.1950953</v>
      </c>
      <c r="AI218">
        <v>917044228.00845969</v>
      </c>
      <c r="BF218">
        <v>4577000011.760169</v>
      </c>
      <c r="BG218">
        <v>5024999991.7206078</v>
      </c>
      <c r="BH218">
        <v>5335000000</v>
      </c>
      <c r="BI218">
        <v>5534000000</v>
      </c>
      <c r="BJ218">
        <v>5609000000</v>
      </c>
      <c r="BK218">
        <v>5856000006.2202091</v>
      </c>
      <c r="BL218">
        <v>6485000000</v>
      </c>
      <c r="BM218">
        <v>6883000000</v>
      </c>
      <c r="BN218">
        <v>7628000011.4635696</v>
      </c>
      <c r="BO218" s="190">
        <v>8126105600.0000029</v>
      </c>
    </row>
    <row r="219" spans="1:67">
      <c r="A219" t="s">
        <v>914</v>
      </c>
      <c r="B219" t="s">
        <v>915</v>
      </c>
      <c r="C219" t="s">
        <v>1018</v>
      </c>
      <c r="D219" t="s">
        <v>1019</v>
      </c>
      <c r="AN219">
        <v>16832598870.056498</v>
      </c>
      <c r="AO219">
        <v>21818007448.78957</v>
      </c>
      <c r="AP219">
        <v>25676487999.594067</v>
      </c>
      <c r="AQ219">
        <v>19457979423.376003</v>
      </c>
      <c r="AR219">
        <v>19388663551.001156</v>
      </c>
      <c r="AS219">
        <v>6875845986.5212088</v>
      </c>
      <c r="AT219">
        <v>12960546471.378193</v>
      </c>
      <c r="AU219">
        <v>17120906918.350328</v>
      </c>
      <c r="AV219">
        <v>22482365321.765587</v>
      </c>
      <c r="AW219">
        <v>26141968161.092403</v>
      </c>
      <c r="AX219">
        <v>27683225959.246811</v>
      </c>
      <c r="AY219">
        <v>32482070360.320381</v>
      </c>
      <c r="AZ219">
        <v>43170990616.472923</v>
      </c>
      <c r="BA219">
        <v>52194221468.500725</v>
      </c>
      <c r="BB219">
        <v>45162894380.931801</v>
      </c>
      <c r="BC219">
        <v>41819468691.82505</v>
      </c>
      <c r="BD219">
        <v>49258136128.967155</v>
      </c>
      <c r="BE219">
        <v>43309252921.056732</v>
      </c>
      <c r="BF219">
        <v>48394239474.676163</v>
      </c>
      <c r="BG219">
        <v>47062202241.43782</v>
      </c>
      <c r="BH219">
        <v>39655949731.381615</v>
      </c>
      <c r="BI219">
        <v>40692661657.283997</v>
      </c>
      <c r="BJ219">
        <v>44179075778.926743</v>
      </c>
      <c r="BK219">
        <v>50640662859.498726</v>
      </c>
      <c r="BL219">
        <v>51514242775.524086</v>
      </c>
      <c r="BM219">
        <v>53356484763.839027</v>
      </c>
      <c r="BN219">
        <v>63082021205.929497</v>
      </c>
      <c r="BO219" s="190">
        <v>63501748652.296822</v>
      </c>
    </row>
    <row r="220" spans="1:67">
      <c r="A220" t="s">
        <v>916</v>
      </c>
      <c r="B220" t="s">
        <v>917</v>
      </c>
      <c r="C220" t="s">
        <v>1018</v>
      </c>
      <c r="D220" t="s">
        <v>1019</v>
      </c>
      <c r="E220">
        <v>31027714943.157513</v>
      </c>
      <c r="F220">
        <v>32263804167.374622</v>
      </c>
      <c r="G220">
        <v>34913239385.50383</v>
      </c>
      <c r="H220">
        <v>39962028720.746338</v>
      </c>
      <c r="I220">
        <v>39224536060.354805</v>
      </c>
      <c r="J220">
        <v>43662665168.751122</v>
      </c>
      <c r="K220">
        <v>47099671961.870415</v>
      </c>
      <c r="L220">
        <v>46766192279.437935</v>
      </c>
      <c r="M220">
        <v>50111072585.353035</v>
      </c>
      <c r="N220">
        <v>57246081129.950302</v>
      </c>
      <c r="O220">
        <v>67248358817.601158</v>
      </c>
      <c r="P220">
        <v>68555667236.627762</v>
      </c>
      <c r="Q220">
        <v>77082698723.183258</v>
      </c>
      <c r="R220">
        <v>99480296893.042068</v>
      </c>
      <c r="S220">
        <v>127850076182.42305</v>
      </c>
      <c r="T220">
        <v>140842882957.69272</v>
      </c>
      <c r="U220">
        <v>151949762433.18961</v>
      </c>
      <c r="V220">
        <v>166682438981.62729</v>
      </c>
      <c r="W220">
        <v>185998188491.49222</v>
      </c>
      <c r="X220">
        <v>221888413697.26181</v>
      </c>
      <c r="Y220">
        <v>281896939235.68549</v>
      </c>
      <c r="Z220">
        <v>389734246636.87061</v>
      </c>
      <c r="AA220">
        <v>357608755228.59528</v>
      </c>
      <c r="AB220">
        <v>314695230286.81958</v>
      </c>
      <c r="AC220">
        <v>275527482096.39862</v>
      </c>
      <c r="AD220">
        <v>254278552801.71677</v>
      </c>
      <c r="AE220">
        <v>261182778464.13776</v>
      </c>
      <c r="AF220">
        <v>296944898332.11188</v>
      </c>
      <c r="AG220">
        <v>313276890344.11432</v>
      </c>
      <c r="AH220">
        <v>319238233553.95563</v>
      </c>
      <c r="AI220">
        <v>375031690306.90692</v>
      </c>
      <c r="AJ220">
        <v>393057781842.0813</v>
      </c>
      <c r="AK220">
        <v>363398293662.59692</v>
      </c>
      <c r="AL220">
        <v>340402814717.36554</v>
      </c>
      <c r="AM220">
        <v>324340772654.15381</v>
      </c>
      <c r="AN220">
        <v>377022370501.93524</v>
      </c>
      <c r="AO220">
        <v>393974496885.45636</v>
      </c>
      <c r="AP220">
        <v>409061975713.87177</v>
      </c>
      <c r="AQ220">
        <v>395484290671.91101</v>
      </c>
      <c r="AR220">
        <v>399358172061.34906</v>
      </c>
      <c r="AS220">
        <v>423785327342.33667</v>
      </c>
      <c r="AT220">
        <v>406642457658.92816</v>
      </c>
      <c r="AU220">
        <v>442445993204.25714</v>
      </c>
      <c r="AV220">
        <v>557495188798.27258</v>
      </c>
      <c r="AW220">
        <v>692416392727.32434</v>
      </c>
      <c r="AX220">
        <v>822378325932.18567</v>
      </c>
      <c r="AY220">
        <v>972440937663.84814</v>
      </c>
      <c r="AZ220">
        <v>1126288215958.8279</v>
      </c>
      <c r="BA220">
        <v>1277264006648.2043</v>
      </c>
      <c r="BB220">
        <v>1229155220209.9429</v>
      </c>
      <c r="BC220">
        <v>1460726974193.6492</v>
      </c>
      <c r="BD220">
        <v>1648437203064.262</v>
      </c>
      <c r="BE220">
        <v>1711634494143.7334</v>
      </c>
      <c r="BF220">
        <v>1818610270272.4182</v>
      </c>
      <c r="BG220">
        <v>1899461295889.2517</v>
      </c>
      <c r="BH220">
        <v>1694601782532.8965</v>
      </c>
      <c r="BI220">
        <v>1575080887302.1497</v>
      </c>
      <c r="BJ220">
        <v>1704412183051.2266</v>
      </c>
      <c r="BK220">
        <v>1772634125817.1646</v>
      </c>
      <c r="BL220">
        <v>1821727380112.9546</v>
      </c>
      <c r="BM220">
        <v>1712869841645.042</v>
      </c>
      <c r="BN220">
        <v>1925171173472.2744</v>
      </c>
      <c r="BO220" s="190">
        <v>2045758612586.3716</v>
      </c>
    </row>
    <row r="221" spans="1:67">
      <c r="A221" t="s">
        <v>918</v>
      </c>
      <c r="B221" t="s">
        <v>919</v>
      </c>
      <c r="C221" t="s">
        <v>1018</v>
      </c>
      <c r="D221" t="s">
        <v>1019</v>
      </c>
      <c r="BA221">
        <v>14586253383.063168</v>
      </c>
      <c r="BB221">
        <v>12231264525.067104</v>
      </c>
      <c r="BC221">
        <v>14602072410.950586</v>
      </c>
      <c r="BD221">
        <v>14907308932.753429</v>
      </c>
      <c r="BE221">
        <v>11931472169.491526</v>
      </c>
      <c r="BF221">
        <v>18426469016.94915</v>
      </c>
      <c r="BG221">
        <v>13962212847.457626</v>
      </c>
      <c r="BH221">
        <v>11997800760.224182</v>
      </c>
    </row>
    <row r="222" spans="1:67">
      <c r="A222" t="s">
        <v>920</v>
      </c>
      <c r="B222" t="s">
        <v>921</v>
      </c>
      <c r="C222" t="s">
        <v>1018</v>
      </c>
      <c r="D222" t="s">
        <v>1019</v>
      </c>
      <c r="E222">
        <v>31038651924.715542</v>
      </c>
      <c r="F222">
        <v>32274153936.368973</v>
      </c>
      <c r="G222">
        <v>34924550100.162491</v>
      </c>
      <c r="H222">
        <v>39974355837.202446</v>
      </c>
      <c r="I222">
        <v>39238590134.768959</v>
      </c>
      <c r="J222">
        <v>43676575967.691132</v>
      </c>
      <c r="K222">
        <v>47114238410.838631</v>
      </c>
      <c r="L222">
        <v>46781000881.708023</v>
      </c>
      <c r="M222">
        <v>50124977708.063492</v>
      </c>
      <c r="N222">
        <v>57259820309.899208</v>
      </c>
      <c r="O222">
        <v>67263493916.489464</v>
      </c>
      <c r="P222">
        <v>68574658267.438957</v>
      </c>
      <c r="Q222">
        <v>77110721964.552673</v>
      </c>
      <c r="R222">
        <v>99513486866.777206</v>
      </c>
      <c r="S222">
        <v>127887926562.71619</v>
      </c>
      <c r="T222">
        <v>140884899647.39822</v>
      </c>
      <c r="U222">
        <v>151992519730.33966</v>
      </c>
      <c r="V222">
        <v>166741023605.75137</v>
      </c>
      <c r="W222">
        <v>186078689801.53705</v>
      </c>
      <c r="X222">
        <v>222012586577.62985</v>
      </c>
      <c r="Y222">
        <v>282049229145.84839</v>
      </c>
      <c r="Z222">
        <v>389887980091.44104</v>
      </c>
      <c r="AA222">
        <v>357757127665.33136</v>
      </c>
      <c r="AB222">
        <v>314844448352.91608</v>
      </c>
      <c r="AC222">
        <v>275683682181.11816</v>
      </c>
      <c r="AD222">
        <v>254455395790.10001</v>
      </c>
      <c r="AE222">
        <v>261402850880.42871</v>
      </c>
      <c r="AF222">
        <v>297209471954.19238</v>
      </c>
      <c r="AG222">
        <v>313579138925.44629</v>
      </c>
      <c r="AH222">
        <v>319563247910.2099</v>
      </c>
      <c r="AI222">
        <v>375424931159.04132</v>
      </c>
      <c r="AJ222">
        <v>393456869265.36884</v>
      </c>
      <c r="AK222">
        <v>363862082115.38855</v>
      </c>
      <c r="AL222">
        <v>340910457626.42743</v>
      </c>
      <c r="AM222">
        <v>324862204377.18213</v>
      </c>
      <c r="AN222">
        <v>377566591336.15851</v>
      </c>
      <c r="AO222">
        <v>394512902071.40643</v>
      </c>
      <c r="AP222">
        <v>409664928804.90503</v>
      </c>
      <c r="AQ222">
        <v>396136552874.17273</v>
      </c>
      <c r="AR222">
        <v>400026185636.78247</v>
      </c>
      <c r="AS222">
        <v>424444223042.83087</v>
      </c>
      <c r="AT222">
        <v>407309506890.50146</v>
      </c>
      <c r="AU222">
        <v>443193859516.71533</v>
      </c>
      <c r="AV222">
        <v>558250655633.10706</v>
      </c>
      <c r="AW222">
        <v>693314583942.31653</v>
      </c>
      <c r="AX222">
        <v>823361208064.24561</v>
      </c>
      <c r="AY222">
        <v>973527213201.02441</v>
      </c>
      <c r="AZ222">
        <v>1127368649186.1235</v>
      </c>
      <c r="BA222">
        <v>1278243727731.7727</v>
      </c>
      <c r="BB222">
        <v>1230006172548.7017</v>
      </c>
      <c r="BC222">
        <v>1461708684777.3118</v>
      </c>
      <c r="BD222">
        <v>1649496095768.7451</v>
      </c>
      <c r="BE222">
        <v>1712723978723.0366</v>
      </c>
      <c r="BF222">
        <v>1819935185494.1392</v>
      </c>
      <c r="BG222">
        <v>1900848872303.1101</v>
      </c>
      <c r="BH222">
        <v>1695993210500.2314</v>
      </c>
      <c r="BI222">
        <v>1576539841411.969</v>
      </c>
      <c r="BJ222">
        <v>1705941956337.7231</v>
      </c>
      <c r="BK222">
        <v>1774221939062.4465</v>
      </c>
      <c r="BL222">
        <v>1823372470680.0007</v>
      </c>
      <c r="BM222">
        <v>1714053357042.6909</v>
      </c>
      <c r="BN222">
        <v>1926457861345.4592</v>
      </c>
      <c r="BO222" s="190">
        <v>2047347019065.5266</v>
      </c>
    </row>
    <row r="223" spans="1:67">
      <c r="A223" t="s">
        <v>922</v>
      </c>
      <c r="B223" t="s">
        <v>923</v>
      </c>
      <c r="C223" t="s">
        <v>1018</v>
      </c>
      <c r="D223" t="s">
        <v>1019</v>
      </c>
      <c r="O223">
        <v>7870516442.7002964</v>
      </c>
      <c r="P223">
        <v>8854444228.0163021</v>
      </c>
      <c r="Q223">
        <v>10432353641.969656</v>
      </c>
      <c r="R223">
        <v>13000903185.426617</v>
      </c>
      <c r="S223">
        <v>20195896869.208923</v>
      </c>
      <c r="T223">
        <v>22990972083.895351</v>
      </c>
      <c r="U223">
        <v>26244271976.958965</v>
      </c>
      <c r="V223">
        <v>29802486040.866497</v>
      </c>
      <c r="W223">
        <v>32042454157.240631</v>
      </c>
      <c r="X223">
        <v>39764312931.061867</v>
      </c>
      <c r="Y223">
        <v>52929369092.32093</v>
      </c>
      <c r="Z223">
        <v>54690453042.737885</v>
      </c>
      <c r="AA223">
        <v>54430175682.79863</v>
      </c>
      <c r="AB223">
        <v>52658286980.575821</v>
      </c>
      <c r="AC223">
        <v>52176614051.187813</v>
      </c>
      <c r="AD223">
        <v>50257275477.24704</v>
      </c>
      <c r="AE223">
        <v>49329292752.896149</v>
      </c>
      <c r="AF223">
        <v>56349718832.880409</v>
      </c>
      <c r="AG223">
        <v>62054839423.069054</v>
      </c>
      <c r="AH223">
        <v>64562256112.874016</v>
      </c>
      <c r="AI223">
        <v>74906851774.976074</v>
      </c>
      <c r="AJ223">
        <v>76506139354.827377</v>
      </c>
      <c r="AK223">
        <v>81410676569.04541</v>
      </c>
      <c r="AL223">
        <v>80324622895.990509</v>
      </c>
      <c r="AM223">
        <v>84517547648.952011</v>
      </c>
      <c r="AN223">
        <v>95833246426.512787</v>
      </c>
      <c r="AO223">
        <v>101908296167.18376</v>
      </c>
      <c r="AP223">
        <v>109151101381.79103</v>
      </c>
      <c r="AQ223">
        <v>109039291186.28761</v>
      </c>
      <c r="AR223">
        <v>116942513682.56401</v>
      </c>
      <c r="AS223">
        <v>129662529705.50284</v>
      </c>
      <c r="AT223">
        <v>130206285495.10707</v>
      </c>
      <c r="AU223">
        <v>139256082315.69418</v>
      </c>
      <c r="AV223">
        <v>166347398195.54788</v>
      </c>
      <c r="AW223">
        <v>200138874578.17743</v>
      </c>
      <c r="AX223">
        <v>238393416493.65912</v>
      </c>
      <c r="AY223">
        <v>277387442226.42474</v>
      </c>
      <c r="AZ223">
        <v>332461229660.50873</v>
      </c>
      <c r="BA223">
        <v>400481612490.77545</v>
      </c>
      <c r="BB223">
        <v>343064897906.73236</v>
      </c>
      <c r="BC223">
        <v>394134704446.14771</v>
      </c>
      <c r="BD223">
        <v>474785544180.85962</v>
      </c>
      <c r="BE223">
        <v>496043381693.94025</v>
      </c>
      <c r="BF223">
        <v>515807509296.91345</v>
      </c>
      <c r="BG223">
        <v>532806126587.15582</v>
      </c>
      <c r="BH223">
        <v>454984827185.88214</v>
      </c>
      <c r="BI223">
        <v>446993497560.63245</v>
      </c>
      <c r="BJ223">
        <v>482865468720.16034</v>
      </c>
      <c r="BK223">
        <v>530086499061.06287</v>
      </c>
      <c r="BL223">
        <v>522141646080.05334</v>
      </c>
      <c r="BM223">
        <v>453727992926.42737</v>
      </c>
      <c r="BN223">
        <v>540833833541.34363</v>
      </c>
      <c r="BO223" s="190">
        <v>633046575611.15747</v>
      </c>
    </row>
    <row r="224" spans="1:67">
      <c r="A224" t="s">
        <v>924</v>
      </c>
      <c r="B224" t="s">
        <v>925</v>
      </c>
      <c r="C224" t="s">
        <v>1018</v>
      </c>
      <c r="D224" t="s">
        <v>1019</v>
      </c>
      <c r="AT224">
        <v>75951131.946176842</v>
      </c>
      <c r="AU224">
        <v>85171073.877749756</v>
      </c>
      <c r="AV224">
        <v>102085765.48305717</v>
      </c>
      <c r="AW224">
        <v>114582281.98783968</v>
      </c>
      <c r="AX224">
        <v>136450658.0826098</v>
      </c>
      <c r="AY224">
        <v>142775109.81619081</v>
      </c>
      <c r="AZ224">
        <v>149146918.88861105</v>
      </c>
      <c r="BA224">
        <v>188021169.26829022</v>
      </c>
      <c r="BB224">
        <v>187821029.42854619</v>
      </c>
      <c r="BC224">
        <v>196652514.26725528</v>
      </c>
      <c r="BD224">
        <v>231489270.14452913</v>
      </c>
      <c r="BE224">
        <v>250680845.74783722</v>
      </c>
      <c r="BF224">
        <v>300554483.61162645</v>
      </c>
      <c r="BG224">
        <v>346528329.1832267</v>
      </c>
      <c r="BH224">
        <v>316066072.34375423</v>
      </c>
      <c r="BI224">
        <v>345495614.97998238</v>
      </c>
      <c r="BJ224">
        <v>375614126.19387698</v>
      </c>
      <c r="BK224">
        <v>412253809.72879899</v>
      </c>
      <c r="BL224">
        <v>427425039.68433946</v>
      </c>
      <c r="BM224">
        <v>472551023.61041892</v>
      </c>
      <c r="BN224">
        <v>526653790.6708138</v>
      </c>
      <c r="BO224" s="190">
        <v>546680341.64727437</v>
      </c>
    </row>
    <row r="225" spans="1:67">
      <c r="A225" t="s">
        <v>926</v>
      </c>
      <c r="B225" t="s">
        <v>927</v>
      </c>
      <c r="C225" t="s">
        <v>1018</v>
      </c>
      <c r="D225" t="s">
        <v>1019</v>
      </c>
      <c r="E225">
        <v>99650000</v>
      </c>
      <c r="F225">
        <v>107700000</v>
      </c>
      <c r="G225">
        <v>116150000</v>
      </c>
      <c r="H225">
        <v>125950000</v>
      </c>
      <c r="I225">
        <v>134400000</v>
      </c>
      <c r="J225">
        <v>154150000</v>
      </c>
      <c r="K225">
        <v>190350000</v>
      </c>
      <c r="L225">
        <v>220700000</v>
      </c>
      <c r="M225">
        <v>241350000</v>
      </c>
      <c r="N225">
        <v>259650000</v>
      </c>
      <c r="O225">
        <v>274900000</v>
      </c>
      <c r="P225">
        <v>301000000</v>
      </c>
      <c r="Q225">
        <v>311950000</v>
      </c>
      <c r="R225">
        <v>339449999.99999994</v>
      </c>
      <c r="S225">
        <v>409850000</v>
      </c>
      <c r="T225">
        <v>465500000.00000006</v>
      </c>
      <c r="U225">
        <v>505499999.99999994</v>
      </c>
      <c r="V225">
        <v>641500000</v>
      </c>
      <c r="W225">
        <v>735500000</v>
      </c>
      <c r="X225">
        <v>782500000</v>
      </c>
      <c r="Y225">
        <v>795000000</v>
      </c>
      <c r="Z225">
        <v>889000000</v>
      </c>
      <c r="AA225">
        <v>915000000</v>
      </c>
      <c r="AB225">
        <v>883500000</v>
      </c>
      <c r="AC225">
        <v>864000000</v>
      </c>
      <c r="AD225">
        <v>873000000</v>
      </c>
      <c r="AE225">
        <v>891000000</v>
      </c>
      <c r="AF225">
        <v>980000000</v>
      </c>
      <c r="AG225">
        <v>1161000000</v>
      </c>
      <c r="AH225">
        <v>542600000</v>
      </c>
      <c r="AI225">
        <v>388400000</v>
      </c>
      <c r="AJ225">
        <v>448100000</v>
      </c>
      <c r="AK225">
        <v>404600000</v>
      </c>
      <c r="AL225">
        <v>428764705.88235289</v>
      </c>
      <c r="AM225">
        <v>605492537.31343281</v>
      </c>
      <c r="AN225">
        <v>691590497.73755658</v>
      </c>
      <c r="AO225">
        <v>861372046.45405817</v>
      </c>
      <c r="AP225">
        <v>926422500</v>
      </c>
      <c r="AQ225">
        <v>1110850000</v>
      </c>
      <c r="AR225">
        <v>886290697.67441857</v>
      </c>
      <c r="AS225">
        <v>947671969.69696963</v>
      </c>
      <c r="AT225">
        <v>834279357.79816508</v>
      </c>
      <c r="AU225">
        <v>1093574468.0851064</v>
      </c>
      <c r="AV225">
        <v>1274190311.4186852</v>
      </c>
      <c r="AW225">
        <v>1484092538.405267</v>
      </c>
      <c r="AX225">
        <v>1793410617.0093458</v>
      </c>
      <c r="AY225">
        <v>2626380435.1787729</v>
      </c>
      <c r="AZ225">
        <v>2936612021.8579235</v>
      </c>
      <c r="BA225">
        <v>3532969034.6083789</v>
      </c>
      <c r="BB225">
        <v>3875409836.0655737</v>
      </c>
      <c r="BC225">
        <v>4368371528.3047447</v>
      </c>
      <c r="BD225">
        <v>4422276621.7870264</v>
      </c>
      <c r="BE225">
        <v>4980000000</v>
      </c>
      <c r="BF225">
        <v>5145757575.757576</v>
      </c>
      <c r="BG225">
        <v>5240606060.606061</v>
      </c>
      <c r="BH225">
        <v>5126238146.3414583</v>
      </c>
      <c r="BI225">
        <v>3317421499.7731414</v>
      </c>
      <c r="BJ225">
        <v>3591679371.0399122</v>
      </c>
      <c r="BK225">
        <v>3996198760.3238931</v>
      </c>
      <c r="BL225">
        <v>4016040575.0879593</v>
      </c>
      <c r="BM225">
        <v>2911807496.2022653</v>
      </c>
      <c r="BN225">
        <v>2984706243.6548223</v>
      </c>
      <c r="BO225" s="190">
        <v>3620655116.2207355</v>
      </c>
    </row>
    <row r="226" spans="1:67">
      <c r="A226" t="s">
        <v>928</v>
      </c>
      <c r="B226" t="s">
        <v>929</v>
      </c>
      <c r="C226" t="s">
        <v>1018</v>
      </c>
      <c r="D226" t="s">
        <v>1019</v>
      </c>
      <c r="AI226">
        <v>12747380650.076181</v>
      </c>
      <c r="AJ226">
        <v>14272201755.470392</v>
      </c>
      <c r="AK226">
        <v>15495514296.804243</v>
      </c>
      <c r="AL226">
        <v>16520676973.5301</v>
      </c>
      <c r="AM226">
        <v>20162936291.375015</v>
      </c>
      <c r="AN226">
        <v>25840146405.228756</v>
      </c>
      <c r="AO226">
        <v>27925036755.386562</v>
      </c>
      <c r="AP226">
        <v>27706028095.615723</v>
      </c>
      <c r="AQ226">
        <v>29856000671.216019</v>
      </c>
      <c r="AR226">
        <v>30463670123.593117</v>
      </c>
      <c r="AS226">
        <v>29242558796.550652</v>
      </c>
      <c r="AT226">
        <v>30778781606.95752</v>
      </c>
      <c r="AU226">
        <v>35297794385.68634</v>
      </c>
      <c r="AV226">
        <v>46919965224.149704</v>
      </c>
      <c r="AW226">
        <v>57437444469.087021</v>
      </c>
      <c r="AX226">
        <v>62808723476.71904</v>
      </c>
      <c r="AY226">
        <v>70767338922.441071</v>
      </c>
      <c r="AZ226">
        <v>86563986799.250473</v>
      </c>
      <c r="BA226">
        <v>100879902984.98279</v>
      </c>
      <c r="BB226">
        <v>89399303222.155014</v>
      </c>
      <c r="BC226">
        <v>91162836320.352356</v>
      </c>
      <c r="BD226">
        <v>99922685424.884155</v>
      </c>
      <c r="BE226">
        <v>94623731085.610565</v>
      </c>
      <c r="BF226">
        <v>98935222174.861069</v>
      </c>
      <c r="BG226">
        <v>101437045019.8992</v>
      </c>
      <c r="BH226">
        <v>88900883130.837448</v>
      </c>
      <c r="BI226">
        <v>89952699524.896484</v>
      </c>
      <c r="BJ226">
        <v>95649966260.981033</v>
      </c>
      <c r="BK226">
        <v>106137924015.59097</v>
      </c>
      <c r="BL226">
        <v>105710052464.6254</v>
      </c>
      <c r="BM226">
        <v>106728917483.03349</v>
      </c>
      <c r="BN226">
        <v>118656591909.26553</v>
      </c>
      <c r="BO226" s="190">
        <v>115468803971.54324</v>
      </c>
    </row>
    <row r="227" spans="1:67">
      <c r="A227" t="s">
        <v>930</v>
      </c>
      <c r="B227" t="s">
        <v>931</v>
      </c>
      <c r="C227" t="s">
        <v>1018</v>
      </c>
      <c r="D227" t="s">
        <v>1019</v>
      </c>
      <c r="AN227">
        <v>21352224019.409626</v>
      </c>
      <c r="AO227">
        <v>21507232648.725212</v>
      </c>
      <c r="AP227">
        <v>20763101740.696278</v>
      </c>
      <c r="AQ227">
        <v>22146231967.686092</v>
      </c>
      <c r="AR227">
        <v>22711384311.140411</v>
      </c>
      <c r="AS227">
        <v>20289627636.676712</v>
      </c>
      <c r="AT227">
        <v>20876309970.384998</v>
      </c>
      <c r="AU227">
        <v>23489890274.314217</v>
      </c>
      <c r="AV227">
        <v>29634713641.096844</v>
      </c>
      <c r="AW227">
        <v>34414784504.235176</v>
      </c>
      <c r="AX227">
        <v>36206395970.650414</v>
      </c>
      <c r="AY227">
        <v>39481045038.263702</v>
      </c>
      <c r="AZ227">
        <v>48067401207.397804</v>
      </c>
      <c r="BA227">
        <v>55779427739.660927</v>
      </c>
      <c r="BB227">
        <v>50567734885.961296</v>
      </c>
      <c r="BC227">
        <v>48208240226.451241</v>
      </c>
      <c r="BD227">
        <v>51583869785.185287</v>
      </c>
      <c r="BE227">
        <v>46577793184.003136</v>
      </c>
      <c r="BF227">
        <v>48415657264.876205</v>
      </c>
      <c r="BG227">
        <v>49997186439.09079</v>
      </c>
      <c r="BH227">
        <v>43107506024.325371</v>
      </c>
      <c r="BI227">
        <v>44766722790.583839</v>
      </c>
      <c r="BJ227">
        <v>48589100043.095818</v>
      </c>
      <c r="BK227">
        <v>54177882425.842133</v>
      </c>
      <c r="BL227">
        <v>54331588482.304825</v>
      </c>
      <c r="BM227">
        <v>53706800043.683273</v>
      </c>
      <c r="BN227">
        <v>61748586534.867226</v>
      </c>
      <c r="BO227" s="190">
        <v>62117768014.85627</v>
      </c>
    </row>
    <row r="228" spans="1:67">
      <c r="A228" t="s">
        <v>932</v>
      </c>
      <c r="B228" t="s">
        <v>933</v>
      </c>
      <c r="C228" t="s">
        <v>1018</v>
      </c>
      <c r="D228" t="s">
        <v>1019</v>
      </c>
      <c r="E228">
        <v>15822585461.245344</v>
      </c>
      <c r="F228">
        <v>17212687079.814629</v>
      </c>
      <c r="G228">
        <v>18667251884.632103</v>
      </c>
      <c r="H228">
        <v>20204871175.861954</v>
      </c>
      <c r="I228">
        <v>22532417359.04158</v>
      </c>
      <c r="J228">
        <v>24795500355.973015</v>
      </c>
      <c r="K228">
        <v>26971487275.297604</v>
      </c>
      <c r="L228">
        <v>29275996465.990189</v>
      </c>
      <c r="M228">
        <v>31066820768.99094</v>
      </c>
      <c r="N228">
        <v>33738103394.06361</v>
      </c>
      <c r="O228">
        <v>38092378395.81855</v>
      </c>
      <c r="P228">
        <v>41566370370.151596</v>
      </c>
      <c r="Q228">
        <v>48953974498.021759</v>
      </c>
      <c r="R228">
        <v>59404966684.221367</v>
      </c>
      <c r="S228">
        <v>66012967234.723633</v>
      </c>
      <c r="T228">
        <v>82885563989.190903</v>
      </c>
      <c r="U228">
        <v>89362242653.577301</v>
      </c>
      <c r="V228">
        <v>94467862578.884048</v>
      </c>
      <c r="W228">
        <v>104442929108.70213</v>
      </c>
      <c r="X228">
        <v>123386889872.30339</v>
      </c>
      <c r="Y228">
        <v>142092908186.30548</v>
      </c>
      <c r="Z228">
        <v>129685871065.23766</v>
      </c>
      <c r="AA228">
        <v>114380406033.22359</v>
      </c>
      <c r="AB228">
        <v>105014242541.02943</v>
      </c>
      <c r="AC228">
        <v>109201362589.00124</v>
      </c>
      <c r="AD228">
        <v>114123205983.08803</v>
      </c>
      <c r="AE228">
        <v>150498409835.87387</v>
      </c>
      <c r="AF228">
        <v>183008435689.94266</v>
      </c>
      <c r="AG228">
        <v>206988363594.81976</v>
      </c>
      <c r="AH228">
        <v>217949132622.50681</v>
      </c>
      <c r="AI228">
        <v>261846636897.06848</v>
      </c>
      <c r="AJ228">
        <v>274230545848.39917</v>
      </c>
      <c r="AK228">
        <v>284319488252.29675</v>
      </c>
      <c r="AL228">
        <v>212952606992.29294</v>
      </c>
      <c r="AM228">
        <v>229034457106.49469</v>
      </c>
      <c r="AN228">
        <v>267307061910.14371</v>
      </c>
      <c r="AO228">
        <v>291745732990.83527</v>
      </c>
      <c r="AP228">
        <v>268146349551.01419</v>
      </c>
      <c r="AQ228">
        <v>270810151170.43124</v>
      </c>
      <c r="AR228">
        <v>274071242574.57007</v>
      </c>
      <c r="AS228">
        <v>262834187366.57761</v>
      </c>
      <c r="AT228">
        <v>242395011586.56219</v>
      </c>
      <c r="AU228">
        <v>266848422377.99881</v>
      </c>
      <c r="AV228">
        <v>334337040046.62189</v>
      </c>
      <c r="AW228">
        <v>385118743610.14307</v>
      </c>
      <c r="AX228">
        <v>392218701192.92511</v>
      </c>
      <c r="AY228">
        <v>423090618042.96594</v>
      </c>
      <c r="AZ228">
        <v>491254769728.81158</v>
      </c>
      <c r="BA228">
        <v>517706214656.40698</v>
      </c>
      <c r="BB228">
        <v>436535921119.11865</v>
      </c>
      <c r="BC228">
        <v>495812558843.31036</v>
      </c>
      <c r="BD228">
        <v>574094112972.73267</v>
      </c>
      <c r="BE228">
        <v>552483727282.80249</v>
      </c>
      <c r="BF228">
        <v>586841821796.89111</v>
      </c>
      <c r="BG228">
        <v>581964017237.0946</v>
      </c>
      <c r="BH228">
        <v>505103781349.7569</v>
      </c>
      <c r="BI228">
        <v>515654671469.54694</v>
      </c>
      <c r="BJ228">
        <v>541018749769.09711</v>
      </c>
      <c r="BK228">
        <v>555455371487.08936</v>
      </c>
      <c r="BL228">
        <v>533879529188.45374</v>
      </c>
      <c r="BM228">
        <v>547054174235.87585</v>
      </c>
      <c r="BN228">
        <v>636856236396.23926</v>
      </c>
      <c r="BO228" s="190">
        <v>585939170123.85596</v>
      </c>
    </row>
    <row r="229" spans="1:67">
      <c r="A229" t="s">
        <v>934</v>
      </c>
      <c r="B229" t="s">
        <v>935</v>
      </c>
      <c r="C229" t="s">
        <v>1018</v>
      </c>
      <c r="D229" t="s">
        <v>1019</v>
      </c>
      <c r="E229">
        <v>35076845.983292334</v>
      </c>
      <c r="F229">
        <v>43026042.80679328</v>
      </c>
      <c r="G229">
        <v>45927961.64718651</v>
      </c>
      <c r="H229">
        <v>54129438.369876407</v>
      </c>
      <c r="I229">
        <v>64980554.033770584</v>
      </c>
      <c r="J229">
        <v>70279971.916123196</v>
      </c>
      <c r="K229">
        <v>76859969.286756247</v>
      </c>
      <c r="L229">
        <v>74759970.125915915</v>
      </c>
      <c r="M229">
        <v>79799968.11193271</v>
      </c>
      <c r="N229">
        <v>105419957.8741848</v>
      </c>
      <c r="O229">
        <v>112139955.18887387</v>
      </c>
      <c r="P229">
        <v>136462096.70485076</v>
      </c>
      <c r="Q229">
        <v>146736433.95843878</v>
      </c>
      <c r="R229">
        <v>221915096.20545298</v>
      </c>
      <c r="S229">
        <v>264320939.5701516</v>
      </c>
      <c r="T229">
        <v>288299883.90664864</v>
      </c>
      <c r="U229">
        <v>272549999.76300001</v>
      </c>
      <c r="V229">
        <v>304059999.73559994</v>
      </c>
      <c r="W229">
        <v>340629999.70380002</v>
      </c>
      <c r="X229">
        <v>412093133.76098835</v>
      </c>
      <c r="Y229">
        <v>541977035.40209138</v>
      </c>
      <c r="Z229">
        <v>570774862.06051743</v>
      </c>
      <c r="AA229">
        <v>537568142.05084848</v>
      </c>
      <c r="AB229">
        <v>555336145.8924998</v>
      </c>
      <c r="AC229">
        <v>494483241.3722983</v>
      </c>
      <c r="AD229">
        <v>360079419.48020464</v>
      </c>
      <c r="AE229">
        <v>449140383.95337349</v>
      </c>
      <c r="AF229">
        <v>584125996.62743008</v>
      </c>
      <c r="AG229">
        <v>692026606.93412149</v>
      </c>
      <c r="AH229">
        <v>696921409.51375079</v>
      </c>
      <c r="AI229">
        <v>1114694112.4747782</v>
      </c>
      <c r="AJ229">
        <v>1156135717.9459786</v>
      </c>
      <c r="AK229">
        <v>1284759852.4668372</v>
      </c>
      <c r="AL229">
        <v>1357189724.738282</v>
      </c>
      <c r="AM229">
        <v>1419294121.1812005</v>
      </c>
      <c r="AN229">
        <v>1698989463.9910562</v>
      </c>
      <c r="AO229">
        <v>1602741771.5743396</v>
      </c>
      <c r="AP229">
        <v>1716714194.309341</v>
      </c>
      <c r="AQ229">
        <v>1576908808.8061068</v>
      </c>
      <c r="AR229">
        <v>1547888453.7578928</v>
      </c>
      <c r="AS229">
        <v>1738093756.8820755</v>
      </c>
      <c r="AT229">
        <v>1542477308.8940773</v>
      </c>
      <c r="AU229">
        <v>1432221784.415015</v>
      </c>
      <c r="AV229">
        <v>2197598417.8369422</v>
      </c>
      <c r="AW229">
        <v>2770082791.504118</v>
      </c>
      <c r="AX229">
        <v>3178112332.0937734</v>
      </c>
      <c r="AY229">
        <v>3291329938.1640744</v>
      </c>
      <c r="AZ229">
        <v>3469381231.4904904</v>
      </c>
      <c r="BA229">
        <v>3294084181.237082</v>
      </c>
      <c r="BB229">
        <v>3580427985.9481592</v>
      </c>
      <c r="BC229">
        <v>4438765109.4903612</v>
      </c>
      <c r="BD229">
        <v>4820478592.3350306</v>
      </c>
      <c r="BE229">
        <v>4886551706.1844082</v>
      </c>
      <c r="BF229">
        <v>4597552948.6464901</v>
      </c>
      <c r="BG229">
        <v>4422986447.489583</v>
      </c>
      <c r="BH229">
        <v>4063245671.2928457</v>
      </c>
      <c r="BI229">
        <v>3816019222.862679</v>
      </c>
      <c r="BJ229">
        <v>4402969225.9216471</v>
      </c>
      <c r="BK229">
        <v>4666598023.9185581</v>
      </c>
      <c r="BL229">
        <v>4466214522.1953907</v>
      </c>
      <c r="BM229">
        <v>3982236726.3678017</v>
      </c>
      <c r="BN229">
        <v>4748702400.6628313</v>
      </c>
      <c r="BO229" s="190">
        <v>4854167638.3738842</v>
      </c>
    </row>
    <row r="230" spans="1:67">
      <c r="A230" t="s">
        <v>936</v>
      </c>
      <c r="B230" t="s">
        <v>937</v>
      </c>
      <c r="C230" t="s">
        <v>1018</v>
      </c>
      <c r="D230" t="s">
        <v>1019</v>
      </c>
      <c r="BD230">
        <v>936089385.47486031</v>
      </c>
      <c r="BE230">
        <v>985865921.78770947</v>
      </c>
      <c r="BF230">
        <v>1022905027.9329609</v>
      </c>
      <c r="BG230">
        <v>1245251396.6480446</v>
      </c>
      <c r="BH230">
        <v>1253072625.698324</v>
      </c>
      <c r="BI230">
        <v>1263687150.8379889</v>
      </c>
      <c r="BJ230">
        <v>1191620111.7318435</v>
      </c>
      <c r="BK230">
        <v>1185474860.3351955</v>
      </c>
      <c r="BL230">
        <v>1459776536.312849</v>
      </c>
      <c r="BM230">
        <v>1240279329.6089385</v>
      </c>
      <c r="BN230">
        <v>1384636871.5083799</v>
      </c>
      <c r="BO230" s="190">
        <v>1571564245.8100557</v>
      </c>
    </row>
    <row r="231" spans="1:67">
      <c r="A231" t="s">
        <v>938</v>
      </c>
      <c r="B231" t="s">
        <v>939</v>
      </c>
      <c r="C231" t="s">
        <v>1018</v>
      </c>
      <c r="D231" t="s">
        <v>1019</v>
      </c>
      <c r="E231">
        <v>12012025.247787524</v>
      </c>
      <c r="F231">
        <v>11592024.364997752</v>
      </c>
      <c r="G231">
        <v>12642026.571972186</v>
      </c>
      <c r="H231">
        <v>13923029.264480995</v>
      </c>
      <c r="I231">
        <v>15393032.354245203</v>
      </c>
      <c r="J231">
        <v>15603032.795640089</v>
      </c>
      <c r="K231">
        <v>16443034.561219636</v>
      </c>
      <c r="L231">
        <v>16632032.813897707</v>
      </c>
      <c r="M231">
        <v>16074027.349587763</v>
      </c>
      <c r="N231">
        <v>16452027.992747162</v>
      </c>
      <c r="O231">
        <v>18432031.361677345</v>
      </c>
      <c r="P231">
        <v>21965951.753363572</v>
      </c>
      <c r="Q231">
        <v>30645121.012758542</v>
      </c>
      <c r="R231">
        <v>36896278.223336965</v>
      </c>
      <c r="S231">
        <v>43134498.693217747</v>
      </c>
      <c r="T231">
        <v>47803145.956030257</v>
      </c>
      <c r="U231">
        <v>49278979.547035009</v>
      </c>
      <c r="V231">
        <v>64526398.658254735</v>
      </c>
      <c r="W231">
        <v>85552369.914594159</v>
      </c>
      <c r="X231">
        <v>127261099.24395965</v>
      </c>
      <c r="Y231">
        <v>156783829.56480944</v>
      </c>
      <c r="Z231">
        <v>163750728.23727137</v>
      </c>
      <c r="AA231">
        <v>157211797.72691938</v>
      </c>
      <c r="AB231">
        <v>156098244.66909537</v>
      </c>
      <c r="AC231">
        <v>160992928.61324486</v>
      </c>
      <c r="AD231">
        <v>179691474.28538063</v>
      </c>
      <c r="AE231">
        <v>221147073.28265065</v>
      </c>
      <c r="AF231">
        <v>265212941.11645684</v>
      </c>
      <c r="AG231">
        <v>301985636.80954981</v>
      </c>
      <c r="AH231">
        <v>324333385.60560644</v>
      </c>
      <c r="AI231">
        <v>392163560.8799116</v>
      </c>
      <c r="AJ231">
        <v>398307144.7590031</v>
      </c>
      <c r="AK231">
        <v>461409398.85589331</v>
      </c>
      <c r="AL231">
        <v>504230588.11420077</v>
      </c>
      <c r="AM231">
        <v>517570058.15103447</v>
      </c>
      <c r="AN231">
        <v>540733047.73304772</v>
      </c>
      <c r="AO231">
        <v>535250347.08947867</v>
      </c>
      <c r="AP231">
        <v>598967022.07205009</v>
      </c>
      <c r="AQ231">
        <v>647287375.7625283</v>
      </c>
      <c r="AR231">
        <v>662838614.88067377</v>
      </c>
      <c r="AS231">
        <v>654212432.43716216</v>
      </c>
      <c r="AT231">
        <v>662064193.59657383</v>
      </c>
      <c r="AU231">
        <v>742134792.36744344</v>
      </c>
      <c r="AV231">
        <v>750847276.4417063</v>
      </c>
      <c r="AW231">
        <v>893012218.18181813</v>
      </c>
      <c r="AX231">
        <v>977899381.81818187</v>
      </c>
      <c r="AY231">
        <v>1081441348.6260548</v>
      </c>
      <c r="AZ231">
        <v>1077308888.1631658</v>
      </c>
      <c r="BA231">
        <v>979597364.93330038</v>
      </c>
      <c r="BB231">
        <v>851064318.79214072</v>
      </c>
      <c r="BC231">
        <v>981918002.86976767</v>
      </c>
      <c r="BD231">
        <v>1059249939.5933286</v>
      </c>
      <c r="BE231">
        <v>1089880668.3777366</v>
      </c>
      <c r="BF231">
        <v>1324915221.7211044</v>
      </c>
      <c r="BG231">
        <v>1387576413.8583915</v>
      </c>
      <c r="BH231">
        <v>1391427967.3349521</v>
      </c>
      <c r="BI231">
        <v>1458954109.8195915</v>
      </c>
      <c r="BJ231">
        <v>1529773286.4964569</v>
      </c>
      <c r="BK231">
        <v>1587813245.2822464</v>
      </c>
      <c r="BL231">
        <v>1645090567.0461226</v>
      </c>
      <c r="BM231">
        <v>1183515397.6489053</v>
      </c>
      <c r="BN231">
        <v>1286687873.1844692</v>
      </c>
      <c r="BO231" s="190">
        <v>1588406479.1551094</v>
      </c>
    </row>
    <row r="232" spans="1:67">
      <c r="A232" t="s">
        <v>940</v>
      </c>
      <c r="B232" t="s">
        <v>941</v>
      </c>
      <c r="C232" t="s">
        <v>1018</v>
      </c>
      <c r="D232" t="s">
        <v>1019</v>
      </c>
      <c r="E232">
        <v>857704413.64740348</v>
      </c>
      <c r="F232">
        <v>945244972.331074</v>
      </c>
      <c r="G232">
        <v>1110565881.0597739</v>
      </c>
      <c r="H232">
        <v>1200447408.6912165</v>
      </c>
      <c r="I232">
        <v>1339494267.3663597</v>
      </c>
      <c r="J232">
        <v>1329842434.9031</v>
      </c>
      <c r="K232">
        <v>1321204502.963666</v>
      </c>
      <c r="L232">
        <v>1443717801.4250569</v>
      </c>
      <c r="M232">
        <v>1562303429.7283516</v>
      </c>
      <c r="N232">
        <v>1796596911.4650776</v>
      </c>
      <c r="O232">
        <v>1780104712.5078807</v>
      </c>
      <c r="P232">
        <v>2097643979.6067131</v>
      </c>
      <c r="Q232">
        <v>2415706806.9151063</v>
      </c>
      <c r="R232">
        <v>2579219250.6375465</v>
      </c>
      <c r="S232">
        <v>4244670165.2179008</v>
      </c>
      <c r="T232">
        <v>5566756758.2612858</v>
      </c>
      <c r="U232">
        <v>6417632810.1101255</v>
      </c>
      <c r="V232">
        <v>6882292995.3840237</v>
      </c>
      <c r="W232">
        <v>8251974524.3954067</v>
      </c>
      <c r="X232">
        <v>9929681531.192276</v>
      </c>
      <c r="Y232">
        <v>13062420385.49361</v>
      </c>
      <c r="Z232">
        <v>16758471341.849291</v>
      </c>
      <c r="AA232">
        <v>17525605100.006523</v>
      </c>
      <c r="AB232">
        <v>18672866246.795635</v>
      </c>
      <c r="AC232">
        <v>19195414014.7766</v>
      </c>
      <c r="AD232">
        <v>21203821656.050957</v>
      </c>
      <c r="AE232">
        <v>25460636942.675159</v>
      </c>
      <c r="AF232">
        <v>32538089171.974525</v>
      </c>
      <c r="AG232">
        <v>16574342984.4098</v>
      </c>
      <c r="AH232">
        <v>18609532293.986637</v>
      </c>
      <c r="AI232">
        <v>23904498886.414253</v>
      </c>
      <c r="AJ232">
        <v>27756258351.893097</v>
      </c>
      <c r="AK232">
        <v>33107349665.924278</v>
      </c>
      <c r="AL232">
        <v>36860133630.289536</v>
      </c>
      <c r="AM232">
        <v>45086948775.055679</v>
      </c>
      <c r="AN232">
        <v>50866369710.467705</v>
      </c>
      <c r="AO232">
        <v>61546280623.608017</v>
      </c>
      <c r="AP232">
        <v>66420400890.868599</v>
      </c>
      <c r="AQ232">
        <v>70418173719.376389</v>
      </c>
      <c r="AR232">
        <v>72970334075.723831</v>
      </c>
      <c r="AS232">
        <v>80590022271.71492</v>
      </c>
      <c r="AT232">
        <v>86771314031.180405</v>
      </c>
      <c r="AU232">
        <v>90558485523.3853</v>
      </c>
      <c r="AV232">
        <v>95693808463.251678</v>
      </c>
      <c r="AW232">
        <v>112863340757.23831</v>
      </c>
      <c r="AX232">
        <v>134203830734.9666</v>
      </c>
      <c r="AY232">
        <v>153799910913.14032</v>
      </c>
      <c r="AZ232">
        <v>180030111358.57462</v>
      </c>
      <c r="BA232">
        <v>218089977728.2851</v>
      </c>
      <c r="BB232">
        <v>224561692650.33408</v>
      </c>
      <c r="BC232">
        <v>252518218262.80624</v>
      </c>
      <c r="BD232">
        <v>67539427670.995773</v>
      </c>
      <c r="BE232">
        <v>43190317724.708771</v>
      </c>
      <c r="BF232">
        <v>21361254647.99036</v>
      </c>
      <c r="BG232">
        <v>21502061462.212151</v>
      </c>
      <c r="BH232">
        <v>16468399180.382212</v>
      </c>
      <c r="BI232">
        <v>12598742886.936825</v>
      </c>
      <c r="BJ232">
        <v>16369724433.275146</v>
      </c>
      <c r="BK232">
        <v>21496337967.867672</v>
      </c>
      <c r="BL232">
        <v>22600896352.126598</v>
      </c>
      <c r="BM232">
        <v>11159274040.270842</v>
      </c>
    </row>
    <row r="233" spans="1:67">
      <c r="A233" t="s">
        <v>942</v>
      </c>
      <c r="B233" t="s">
        <v>943</v>
      </c>
      <c r="C233" t="s">
        <v>1018</v>
      </c>
      <c r="D233" t="s">
        <v>1019</v>
      </c>
      <c r="AT233">
        <v>358744800</v>
      </c>
      <c r="AU233">
        <v>366707900</v>
      </c>
      <c r="AV233">
        <v>409753600</v>
      </c>
      <c r="AW233">
        <v>485598800</v>
      </c>
      <c r="AX233">
        <v>578645800</v>
      </c>
      <c r="AY233">
        <v>721891500</v>
      </c>
      <c r="AZ233">
        <v>773489700</v>
      </c>
      <c r="BA233">
        <v>862683600</v>
      </c>
      <c r="BB233">
        <v>703175800</v>
      </c>
      <c r="BC233">
        <v>686787800</v>
      </c>
      <c r="BD233">
        <v>728789600</v>
      </c>
      <c r="BE233">
        <v>727161000</v>
      </c>
      <c r="BF233">
        <v>754238000</v>
      </c>
      <c r="BG233">
        <v>841070000</v>
      </c>
      <c r="BH233">
        <v>942070000</v>
      </c>
      <c r="BI233">
        <v>1032452000</v>
      </c>
      <c r="BJ233">
        <v>1022365000</v>
      </c>
      <c r="BK233">
        <v>1113178000</v>
      </c>
      <c r="BL233">
        <v>1197415000</v>
      </c>
      <c r="BM233">
        <v>924583000</v>
      </c>
      <c r="BN233">
        <v>1044778790.0000001</v>
      </c>
      <c r="BO233" s="190">
        <v>1138808881.0999999</v>
      </c>
    </row>
    <row r="234" spans="1:67">
      <c r="A234" t="s">
        <v>944</v>
      </c>
      <c r="B234" t="s">
        <v>945</v>
      </c>
      <c r="C234" t="s">
        <v>1018</v>
      </c>
      <c r="D234" t="s">
        <v>1019</v>
      </c>
      <c r="E234">
        <v>313582727.63810849</v>
      </c>
      <c r="F234">
        <v>333975336.6265958</v>
      </c>
      <c r="G234">
        <v>357635713.87685776</v>
      </c>
      <c r="H234">
        <v>371767002.65603614</v>
      </c>
      <c r="I234">
        <v>392247517.60194892</v>
      </c>
      <c r="J234">
        <v>416926302.96349508</v>
      </c>
      <c r="K234">
        <v>432794922.45975757</v>
      </c>
      <c r="L234">
        <v>449826322.99510705</v>
      </c>
      <c r="M234">
        <v>453980096.65440989</v>
      </c>
      <c r="N234">
        <v>471635620.924366</v>
      </c>
      <c r="O234">
        <v>469266736.60510057</v>
      </c>
      <c r="P234">
        <v>501866730.72250277</v>
      </c>
      <c r="Q234">
        <v>585427545.72359848</v>
      </c>
      <c r="R234">
        <v>647199482.82798243</v>
      </c>
      <c r="S234">
        <v>652532796.06664038</v>
      </c>
      <c r="T234">
        <v>864602103.30307376</v>
      </c>
      <c r="U234">
        <v>866044961.04835379</v>
      </c>
      <c r="V234">
        <v>935360466.35148823</v>
      </c>
      <c r="W234">
        <v>1113920122.6123292</v>
      </c>
      <c r="X234">
        <v>1004316495.1117549</v>
      </c>
      <c r="Y234">
        <v>1033002401.8254334</v>
      </c>
      <c r="Z234">
        <v>876937559.72495079</v>
      </c>
      <c r="AA234">
        <v>834369860.42731726</v>
      </c>
      <c r="AB234">
        <v>832415805.95626545</v>
      </c>
      <c r="AC234">
        <v>919103735.32290411</v>
      </c>
      <c r="AD234">
        <v>1033069709.9950572</v>
      </c>
      <c r="AE234">
        <v>1067828247.2357877</v>
      </c>
      <c r="AF234">
        <v>1163426850.6502371</v>
      </c>
      <c r="AG234">
        <v>1482597298.8872888</v>
      </c>
      <c r="AH234">
        <v>1433686309.83641</v>
      </c>
      <c r="AI234">
        <v>1738605558.0543621</v>
      </c>
      <c r="AJ234">
        <v>1877137983.0292327</v>
      </c>
      <c r="AK234">
        <v>1881847671.4712155</v>
      </c>
      <c r="AL234">
        <v>1463251161.3349447</v>
      </c>
      <c r="AM234">
        <v>1179837963.9537878</v>
      </c>
      <c r="AN234">
        <v>1445919894.8624909</v>
      </c>
      <c r="AO234">
        <v>1607345354.9267132</v>
      </c>
      <c r="AP234">
        <v>1544689575.9918559</v>
      </c>
      <c r="AQ234">
        <v>1744794532.4936378</v>
      </c>
      <c r="AR234">
        <v>1534673583.2487004</v>
      </c>
      <c r="AS234">
        <v>1388506771.5262322</v>
      </c>
      <c r="AT234">
        <v>1710843376.3933096</v>
      </c>
      <c r="AU234">
        <v>1997005710.2655532</v>
      </c>
      <c r="AV234">
        <v>2742815070.7586651</v>
      </c>
      <c r="AW234">
        <v>4422855658.3804321</v>
      </c>
      <c r="AX234">
        <v>6649307528.062376</v>
      </c>
      <c r="AY234">
        <v>7428701455.4056492</v>
      </c>
      <c r="AZ234">
        <v>8650137734.7163715</v>
      </c>
      <c r="BA234">
        <v>10393833755.279123</v>
      </c>
      <c r="BB234">
        <v>9290728312.2438297</v>
      </c>
      <c r="BC234">
        <v>10668103549.312336</v>
      </c>
      <c r="BD234">
        <v>12172308858.299326</v>
      </c>
      <c r="BE234">
        <v>12367362746.130699</v>
      </c>
      <c r="BF234">
        <v>12953534870.304037</v>
      </c>
      <c r="BG234">
        <v>13940767222.105333</v>
      </c>
      <c r="BH234">
        <v>10950392257.27639</v>
      </c>
      <c r="BI234">
        <v>10097778097.096865</v>
      </c>
      <c r="BJ234">
        <v>10000394388.115839</v>
      </c>
      <c r="BK234">
        <v>11239167890.281643</v>
      </c>
      <c r="BL234">
        <v>11314951088.245092</v>
      </c>
      <c r="BM234">
        <v>10715396051.438772</v>
      </c>
      <c r="BN234">
        <v>11779981332.159912</v>
      </c>
      <c r="BO234" s="190">
        <v>12704149842.037258</v>
      </c>
    </row>
    <row r="235" spans="1:67">
      <c r="A235" t="s">
        <v>946</v>
      </c>
      <c r="B235" t="s">
        <v>947</v>
      </c>
      <c r="C235" t="s">
        <v>1018</v>
      </c>
      <c r="D235" t="s">
        <v>1019</v>
      </c>
      <c r="E235">
        <v>81224776384.707413</v>
      </c>
      <c r="F235">
        <v>71506835328.254501</v>
      </c>
      <c r="G235">
        <v>65298419617.701347</v>
      </c>
      <c r="H235">
        <v>70737487657.739426</v>
      </c>
      <c r="I235">
        <v>81639971519.202316</v>
      </c>
      <c r="J235">
        <v>95037675059.471817</v>
      </c>
      <c r="K235">
        <v>103921128849.55096</v>
      </c>
      <c r="L235">
        <v>100855079888.29974</v>
      </c>
      <c r="M235">
        <v>102125373416.71286</v>
      </c>
      <c r="N235">
        <v>114623412917.81863</v>
      </c>
      <c r="O235">
        <v>127295734440.72781</v>
      </c>
      <c r="P235">
        <v>136858919192.23219</v>
      </c>
      <c r="Q235">
        <v>155214569008.12637</v>
      </c>
      <c r="R235">
        <v>195289915128.06735</v>
      </c>
      <c r="S235">
        <v>220929823664.41092</v>
      </c>
      <c r="T235">
        <v>248290348400.14291</v>
      </c>
      <c r="U235">
        <v>252311828473.48221</v>
      </c>
      <c r="V235">
        <v>291212135813.59082</v>
      </c>
      <c r="W235">
        <v>282398728342.15863</v>
      </c>
      <c r="X235">
        <v>327142679832.48523</v>
      </c>
      <c r="Y235">
        <v>377561719824.85889</v>
      </c>
      <c r="Z235">
        <v>403046355974.10583</v>
      </c>
      <c r="AA235">
        <v>423156559869.69202</v>
      </c>
      <c r="AB235">
        <v>443283114260.85858</v>
      </c>
      <c r="AC235">
        <v>480300216521.68646</v>
      </c>
      <c r="AD235">
        <v>525667890496.15955</v>
      </c>
      <c r="AE235">
        <v>524370868953.53796</v>
      </c>
      <c r="AF235">
        <v>518290373654.71564</v>
      </c>
      <c r="AG235">
        <v>574764937806.37292</v>
      </c>
      <c r="AH235">
        <v>621596110509.65796</v>
      </c>
      <c r="AI235">
        <v>666366770410.33594</v>
      </c>
      <c r="AJ235">
        <v>722756599317.84509</v>
      </c>
      <c r="AK235">
        <v>810051537303.65833</v>
      </c>
      <c r="AL235">
        <v>889186161626.55017</v>
      </c>
      <c r="AM235">
        <v>1069986366066.8385</v>
      </c>
      <c r="AN235">
        <v>1320085097807.8323</v>
      </c>
      <c r="AO235">
        <v>1516195666676.533</v>
      </c>
      <c r="AP235">
        <v>1569690177940.6042</v>
      </c>
      <c r="AQ235">
        <v>1429654561465.3657</v>
      </c>
      <c r="AR235">
        <v>1573343371558.063</v>
      </c>
      <c r="AS235">
        <v>1732058262387.603</v>
      </c>
      <c r="AT235">
        <v>1844710221138.6108</v>
      </c>
      <c r="AU235">
        <v>2041300111259.7476</v>
      </c>
      <c r="AV235">
        <v>2308408754163.3408</v>
      </c>
      <c r="AW235">
        <v>2678572954339.4722</v>
      </c>
      <c r="AX235">
        <v>3102603620227.8511</v>
      </c>
      <c r="AY235">
        <v>3735650251543.7163</v>
      </c>
      <c r="AZ235">
        <v>4721464960584.3271</v>
      </c>
      <c r="BA235">
        <v>5970961310988.0342</v>
      </c>
      <c r="BB235">
        <v>6475879226565.0732</v>
      </c>
      <c r="BC235">
        <v>7879104830183.9443</v>
      </c>
      <c r="BD235">
        <v>9632969004624.752</v>
      </c>
      <c r="BE235">
        <v>10745080937107.859</v>
      </c>
      <c r="BF235">
        <v>11855762712168.93</v>
      </c>
      <c r="BG235">
        <v>12782174580093.705</v>
      </c>
      <c r="BH235">
        <v>13310296419270.848</v>
      </c>
      <c r="BI235">
        <v>13594851920373.377</v>
      </c>
      <c r="BJ235">
        <v>14858183903103.918</v>
      </c>
      <c r="BK235">
        <v>16619140999210.246</v>
      </c>
      <c r="BL235">
        <v>17185664986074.439</v>
      </c>
      <c r="BM235">
        <v>17465598594220.658</v>
      </c>
      <c r="BN235">
        <v>20811347144902.629</v>
      </c>
      <c r="BO235" s="190">
        <v>21162883158375.414</v>
      </c>
    </row>
    <row r="236" spans="1:67">
      <c r="A236" t="s">
        <v>948</v>
      </c>
      <c r="B236" t="s">
        <v>949</v>
      </c>
      <c r="C236" t="s">
        <v>1018</v>
      </c>
      <c r="D236" t="s">
        <v>1019</v>
      </c>
      <c r="AG236">
        <v>988478286834.95593</v>
      </c>
      <c r="AH236">
        <v>959311297803.81458</v>
      </c>
      <c r="AI236">
        <v>1019407140680.2428</v>
      </c>
      <c r="AJ236">
        <v>1005323422102.0085</v>
      </c>
      <c r="AK236">
        <v>939714425054.60437</v>
      </c>
      <c r="AL236">
        <v>928587913954.41895</v>
      </c>
      <c r="AM236">
        <v>834808706479.04419</v>
      </c>
      <c r="AN236">
        <v>924003946473.74988</v>
      </c>
      <c r="AO236">
        <v>950622147030.59253</v>
      </c>
      <c r="AP236">
        <v>980494801830.29431</v>
      </c>
      <c r="AQ236">
        <v>947828497154.12524</v>
      </c>
      <c r="AR236">
        <v>821675687106.13721</v>
      </c>
      <c r="AS236">
        <v>894544912879.61035</v>
      </c>
      <c r="AT236">
        <v>909540989189.30811</v>
      </c>
      <c r="AU236">
        <v>1022699841892.1849</v>
      </c>
      <c r="AV236">
        <v>1258196381063.0227</v>
      </c>
      <c r="AW236">
        <v>1628013726359.2439</v>
      </c>
      <c r="AX236">
        <v>2039291725254.9465</v>
      </c>
      <c r="AY236">
        <v>2466294505435.1367</v>
      </c>
      <c r="AZ236">
        <v>3172257385086.2158</v>
      </c>
      <c r="BA236">
        <v>3926652288409.1685</v>
      </c>
      <c r="BB236">
        <v>3113586357347.7173</v>
      </c>
      <c r="BC236">
        <v>3657536381245.6191</v>
      </c>
      <c r="BD236">
        <v>4449677432130.8438</v>
      </c>
      <c r="BE236">
        <v>4646279764256.9717</v>
      </c>
      <c r="BF236">
        <v>4915186910591.0205</v>
      </c>
      <c r="BG236">
        <v>4643782927094.0645</v>
      </c>
      <c r="BH236">
        <v>3627425557555.8276</v>
      </c>
      <c r="BI236">
        <v>3485571017748.0449</v>
      </c>
      <c r="BJ236">
        <v>3909150827560.0303</v>
      </c>
      <c r="BK236">
        <v>4076336318031.9717</v>
      </c>
      <c r="BL236">
        <v>4156449775997.6011</v>
      </c>
      <c r="BM236">
        <v>3899326823730.1699</v>
      </c>
      <c r="BN236">
        <v>4615367974096.2627</v>
      </c>
      <c r="BO236" s="190">
        <v>5185102776173.9727</v>
      </c>
    </row>
    <row r="237" spans="1:67">
      <c r="A237" t="s">
        <v>950</v>
      </c>
      <c r="B237" t="s">
        <v>951</v>
      </c>
      <c r="C237" t="s">
        <v>1018</v>
      </c>
      <c r="D237" t="s">
        <v>1019</v>
      </c>
      <c r="E237">
        <v>164603553.98228079</v>
      </c>
      <c r="F237">
        <v>171762891.7133185</v>
      </c>
      <c r="G237">
        <v>179700351.92884567</v>
      </c>
      <c r="H237">
        <v>194673419.07015923</v>
      </c>
      <c r="I237">
        <v>225722420.01692861</v>
      </c>
      <c r="J237">
        <v>254526437.24517319</v>
      </c>
      <c r="K237">
        <v>293712193.86878037</v>
      </c>
      <c r="L237">
        <v>314870885.99678886</v>
      </c>
      <c r="M237">
        <v>328800480.45420295</v>
      </c>
      <c r="N237">
        <v>363827440.30114925</v>
      </c>
      <c r="O237">
        <v>345134276.95892173</v>
      </c>
      <c r="P237">
        <v>389382093.171242</v>
      </c>
      <c r="Q237">
        <v>456159541.70559341</v>
      </c>
      <c r="R237">
        <v>552374366.44459665</v>
      </c>
      <c r="S237">
        <v>761591056.26165402</v>
      </c>
      <c r="T237">
        <v>838891749.34766948</v>
      </c>
      <c r="U237">
        <v>841682268.53456998</v>
      </c>
      <c r="V237">
        <v>1056473299.6875474</v>
      </c>
      <c r="W237">
        <v>1120110135.7572474</v>
      </c>
      <c r="X237">
        <v>1211853289.7222042</v>
      </c>
      <c r="Y237">
        <v>1544290809.9266629</v>
      </c>
      <c r="Z237">
        <v>1307754354.7026255</v>
      </c>
      <c r="AA237">
        <v>1116560700.7588985</v>
      </c>
      <c r="AB237">
        <v>1040589483.7419527</v>
      </c>
      <c r="AC237">
        <v>975908209.64252031</v>
      </c>
      <c r="AD237">
        <v>1035987180.1348811</v>
      </c>
      <c r="AE237">
        <v>1441695857.9415834</v>
      </c>
      <c r="AF237">
        <v>1697428000.6852541</v>
      </c>
      <c r="AG237">
        <v>1873745515.3574367</v>
      </c>
      <c r="AH237">
        <v>1838552523.377408</v>
      </c>
      <c r="AI237">
        <v>2212905422.6408596</v>
      </c>
      <c r="AJ237">
        <v>2177399825.4550915</v>
      </c>
      <c r="AK237">
        <v>2300598696.1939092</v>
      </c>
      <c r="AL237">
        <v>1676225629.2412741</v>
      </c>
      <c r="AM237">
        <v>1335309429.6589866</v>
      </c>
      <c r="AN237">
        <v>1779348593.1489322</v>
      </c>
      <c r="AO237">
        <v>1991429217.6411002</v>
      </c>
      <c r="AP237">
        <v>2036956850.5988824</v>
      </c>
      <c r="AQ237">
        <v>2157078792.4712982</v>
      </c>
      <c r="AR237">
        <v>2142574540.9752378</v>
      </c>
      <c r="AS237">
        <v>2027363116.9541309</v>
      </c>
      <c r="AT237">
        <v>2014516700.5267537</v>
      </c>
      <c r="AU237">
        <v>2319268823.4097114</v>
      </c>
      <c r="AV237">
        <v>2875255592.536664</v>
      </c>
      <c r="AW237">
        <v>3071152629.2958999</v>
      </c>
      <c r="AX237">
        <v>3100356551.9287639</v>
      </c>
      <c r="AY237">
        <v>3195618966.3073616</v>
      </c>
      <c r="AZ237">
        <v>3618281293.0792823</v>
      </c>
      <c r="BA237">
        <v>4516616223.9103079</v>
      </c>
      <c r="BB237">
        <v>4592147227.9068003</v>
      </c>
      <c r="BC237">
        <v>4660369658.3712292</v>
      </c>
      <c r="BD237">
        <v>5262368232.3034658</v>
      </c>
      <c r="BE237">
        <v>5263522037.2272415</v>
      </c>
      <c r="BF237">
        <v>5872790935.4872904</v>
      </c>
      <c r="BG237">
        <v>6217047648.6398516</v>
      </c>
      <c r="BH237">
        <v>5681469374.1036243</v>
      </c>
      <c r="BI237">
        <v>6031632014.8601265</v>
      </c>
      <c r="BJ237">
        <v>6395472028.2436094</v>
      </c>
      <c r="BK237">
        <v>7029217931.7502871</v>
      </c>
      <c r="BL237">
        <v>6992656428.9358082</v>
      </c>
      <c r="BM237">
        <v>7389329392.7703962</v>
      </c>
      <c r="BN237">
        <v>8334047485.5139618</v>
      </c>
      <c r="BO237" s="190">
        <v>8126439480.6130228</v>
      </c>
    </row>
    <row r="238" spans="1:67">
      <c r="A238" t="s">
        <v>952</v>
      </c>
      <c r="B238" t="s">
        <v>953</v>
      </c>
      <c r="C238" t="s">
        <v>1018</v>
      </c>
      <c r="D238" t="s">
        <v>1019</v>
      </c>
      <c r="E238">
        <v>2760750921.4010119</v>
      </c>
      <c r="F238">
        <v>3034037871.7559619</v>
      </c>
      <c r="G238">
        <v>3308912796.934866</v>
      </c>
      <c r="H238">
        <v>3540403456.5530486</v>
      </c>
      <c r="I238">
        <v>3889129938.6055398</v>
      </c>
      <c r="J238">
        <v>4388937644.8605309</v>
      </c>
      <c r="K238">
        <v>5279230812.2822714</v>
      </c>
      <c r="L238">
        <v>5638461436.9403114</v>
      </c>
      <c r="M238">
        <v>6081009422.0959625</v>
      </c>
      <c r="N238">
        <v>6695336560.934247</v>
      </c>
      <c r="O238">
        <v>7086538430.7541609</v>
      </c>
      <c r="P238">
        <v>7375000017.6325998</v>
      </c>
      <c r="Q238">
        <v>8177872957.5896187</v>
      </c>
      <c r="R238">
        <v>10838587357.74659</v>
      </c>
      <c r="S238">
        <v>13702998648.216045</v>
      </c>
      <c r="T238">
        <v>14882770239.314917</v>
      </c>
      <c r="U238">
        <v>16985208712.105438</v>
      </c>
      <c r="V238">
        <v>19779312335.720478</v>
      </c>
      <c r="W238">
        <v>24006567108.45631</v>
      </c>
      <c r="X238">
        <v>27371650353.058865</v>
      </c>
      <c r="Y238">
        <v>32353514501.999992</v>
      </c>
      <c r="Z238">
        <v>34846038517.928726</v>
      </c>
      <c r="AA238">
        <v>36589772336.849007</v>
      </c>
      <c r="AB238">
        <v>40042798315.273361</v>
      </c>
      <c r="AC238">
        <v>41797647303.348335</v>
      </c>
      <c r="AD238">
        <v>38900711298.193413</v>
      </c>
      <c r="AE238">
        <v>43096774496.624962</v>
      </c>
      <c r="AF238">
        <v>50535445679.810646</v>
      </c>
      <c r="AG238">
        <v>61667254410.672997</v>
      </c>
      <c r="AH238">
        <v>72250747142.17337</v>
      </c>
      <c r="AI238">
        <v>85343189320.751877</v>
      </c>
      <c r="AJ238">
        <v>98234713407.73233</v>
      </c>
      <c r="AK238">
        <v>111452745855.98874</v>
      </c>
      <c r="AL238">
        <v>128889262554.62677</v>
      </c>
      <c r="AM238">
        <v>146683779608.91721</v>
      </c>
      <c r="AN238">
        <v>169278918603.43552</v>
      </c>
      <c r="AO238">
        <v>183035238433.43774</v>
      </c>
      <c r="AP238">
        <v>150180454390.44586</v>
      </c>
      <c r="AQ238">
        <v>113675595413.49591</v>
      </c>
      <c r="AR238">
        <v>126669212337.24503</v>
      </c>
      <c r="AS238">
        <v>126392223203.46117</v>
      </c>
      <c r="AT238">
        <v>120296476180.40192</v>
      </c>
      <c r="AU238">
        <v>134300903357.96223</v>
      </c>
      <c r="AV238">
        <v>152280616469.4783</v>
      </c>
      <c r="AW238">
        <v>172895685509.27463</v>
      </c>
      <c r="AX238">
        <v>189318407487.95868</v>
      </c>
      <c r="AY238">
        <v>221758294724.76367</v>
      </c>
      <c r="AZ238">
        <v>262942624565.27277</v>
      </c>
      <c r="BA238">
        <v>291382985568.98834</v>
      </c>
      <c r="BB238">
        <v>281710629173.19934</v>
      </c>
      <c r="BC238">
        <v>341104766329.16962</v>
      </c>
      <c r="BD238">
        <v>370818735569.85974</v>
      </c>
      <c r="BE238">
        <v>397558329541.97186</v>
      </c>
      <c r="BF238">
        <v>420333659152.573</v>
      </c>
      <c r="BG238">
        <v>407339036017.22131</v>
      </c>
      <c r="BH238">
        <v>401296242133.90344</v>
      </c>
      <c r="BI238">
        <v>413366345843.74353</v>
      </c>
      <c r="BJ238">
        <v>456356812774.56287</v>
      </c>
      <c r="BK238">
        <v>506754212432.99097</v>
      </c>
      <c r="BL238">
        <v>543976695638.81158</v>
      </c>
      <c r="BM238">
        <v>500457261548.07605</v>
      </c>
      <c r="BN238">
        <v>505568057004.25427</v>
      </c>
      <c r="BO238" s="190">
        <v>495340592811.18781</v>
      </c>
    </row>
    <row r="239" spans="1:67">
      <c r="A239" t="s">
        <v>954</v>
      </c>
      <c r="B239" t="s">
        <v>955</v>
      </c>
      <c r="C239" t="s">
        <v>1018</v>
      </c>
      <c r="D239" t="s">
        <v>1019</v>
      </c>
      <c r="AI239">
        <v>2629395066.2701721</v>
      </c>
      <c r="AJ239">
        <v>2534720480.324399</v>
      </c>
      <c r="AK239">
        <v>1909246640.8083768</v>
      </c>
      <c r="AL239">
        <v>1646693642.1108849</v>
      </c>
      <c r="AM239">
        <v>1522018435.6953597</v>
      </c>
      <c r="AN239">
        <v>1231567145.3550835</v>
      </c>
      <c r="AO239">
        <v>1043654822.3350254</v>
      </c>
      <c r="AP239">
        <v>921517486.66271555</v>
      </c>
      <c r="AQ239">
        <v>1320199581.5226138</v>
      </c>
      <c r="AR239">
        <v>1086612582.8929179</v>
      </c>
      <c r="AS239">
        <v>860541842.26369655</v>
      </c>
      <c r="AT239">
        <v>1080772703.1612804</v>
      </c>
      <c r="AU239">
        <v>1221106073.0307283</v>
      </c>
      <c r="AV239">
        <v>1555318430.7662139</v>
      </c>
      <c r="AW239">
        <v>2076176636.4342828</v>
      </c>
      <c r="AX239">
        <v>2312352267.9872055</v>
      </c>
      <c r="AY239">
        <v>2830213562.6021671</v>
      </c>
      <c r="AZ239">
        <v>3719524180.7028875</v>
      </c>
      <c r="BA239">
        <v>5161299725.2767277</v>
      </c>
      <c r="BB239">
        <v>4979471963.7918072</v>
      </c>
      <c r="BC239">
        <v>5642221528.6711435</v>
      </c>
      <c r="BD239">
        <v>6522755783.3925667</v>
      </c>
      <c r="BE239">
        <v>7633036366.0349197</v>
      </c>
      <c r="BF239">
        <v>8448410727.1544275</v>
      </c>
      <c r="BG239">
        <v>9112606074.5171318</v>
      </c>
      <c r="BH239">
        <v>8271431932.4367771</v>
      </c>
      <c r="BI239">
        <v>6992416096.8901844</v>
      </c>
      <c r="BJ239">
        <v>7536403146.6837664</v>
      </c>
      <c r="BK239">
        <v>7765000282.293973</v>
      </c>
      <c r="BL239">
        <v>8300813889.6369829</v>
      </c>
      <c r="BM239">
        <v>8133963813.3328981</v>
      </c>
      <c r="BN239">
        <v>8937805347.1396294</v>
      </c>
      <c r="BO239" s="190">
        <v>10492123387.793121</v>
      </c>
    </row>
    <row r="240" spans="1:67">
      <c r="A240" t="s">
        <v>956</v>
      </c>
      <c r="B240" t="s">
        <v>957</v>
      </c>
      <c r="C240" t="s">
        <v>1018</v>
      </c>
      <c r="D240" t="s">
        <v>1019</v>
      </c>
      <c r="AF240">
        <v>2331358819.7595434</v>
      </c>
      <c r="AG240">
        <v>3010982414.2442522</v>
      </c>
      <c r="AH240">
        <v>3006988216.550447</v>
      </c>
      <c r="AI240">
        <v>3189539641.3171048</v>
      </c>
      <c r="AJ240">
        <v>3208098919.0145984</v>
      </c>
      <c r="AK240">
        <v>3200539816.0600963</v>
      </c>
      <c r="AL240">
        <v>3179225948.5811377</v>
      </c>
      <c r="AM240">
        <v>2561118608.3551626</v>
      </c>
      <c r="AN240">
        <v>2482228439.7140694</v>
      </c>
      <c r="AO240">
        <v>2378759975.4450583</v>
      </c>
      <c r="AP240">
        <v>2450349634.4743605</v>
      </c>
      <c r="AQ240">
        <v>2605688065.0833807</v>
      </c>
      <c r="AR240">
        <v>2450564467.5831518</v>
      </c>
      <c r="AS240">
        <v>2904662604.820529</v>
      </c>
      <c r="AT240">
        <v>3534771968.5118895</v>
      </c>
      <c r="AU240">
        <v>4462028988.7294865</v>
      </c>
      <c r="AV240">
        <v>5977440582.8017139</v>
      </c>
      <c r="AW240">
        <v>6838351088.4668837</v>
      </c>
      <c r="AX240">
        <v>8103901996.3702354</v>
      </c>
      <c r="AY240">
        <v>10276674364.896074</v>
      </c>
      <c r="AZ240">
        <v>12664165103.189493</v>
      </c>
      <c r="BA240">
        <v>19271523178.807945</v>
      </c>
      <c r="BB240">
        <v>20214385964.912281</v>
      </c>
      <c r="BC240">
        <v>22583157894.736843</v>
      </c>
      <c r="BD240">
        <v>29233333333.333332</v>
      </c>
      <c r="BE240">
        <v>35164210526.315788</v>
      </c>
      <c r="BF240">
        <v>39197543859.649124</v>
      </c>
      <c r="BG240">
        <v>43524210526.315788</v>
      </c>
      <c r="BH240">
        <v>35799714285.714287</v>
      </c>
      <c r="BI240">
        <v>36169428571.428574</v>
      </c>
      <c r="BJ240">
        <v>37926285714.285713</v>
      </c>
      <c r="BK240">
        <v>40765428571.428574</v>
      </c>
      <c r="BL240">
        <v>44220285714.285713</v>
      </c>
      <c r="BM240">
        <v>45610571428.571426</v>
      </c>
    </row>
    <row r="241" spans="1:67">
      <c r="A241" t="s">
        <v>958</v>
      </c>
      <c r="B241" t="s">
        <v>959</v>
      </c>
      <c r="C241" t="s">
        <v>1018</v>
      </c>
      <c r="D241" t="s">
        <v>1019</v>
      </c>
      <c r="E241">
        <v>79315282447.444824</v>
      </c>
      <c r="F241">
        <v>84250590001.338394</v>
      </c>
      <c r="G241">
        <v>92203741567.232056</v>
      </c>
      <c r="H241">
        <v>93477829839.747787</v>
      </c>
      <c r="I241">
        <v>103971029018.66806</v>
      </c>
      <c r="J241">
        <v>111624496289.09071</v>
      </c>
      <c r="K241">
        <v>122890761036.25162</v>
      </c>
      <c r="L241">
        <v>124995671389.65274</v>
      </c>
      <c r="M241">
        <v>133972063278.55003</v>
      </c>
      <c r="N241">
        <v>149564865387.49789</v>
      </c>
      <c r="O241">
        <v>163035462319.48218</v>
      </c>
      <c r="P241">
        <v>181256770704.0549</v>
      </c>
      <c r="Q241">
        <v>203566728912.76361</v>
      </c>
      <c r="R241">
        <v>273148758074.25967</v>
      </c>
      <c r="S241">
        <v>357287703638.82397</v>
      </c>
      <c r="T241">
        <v>373551821303.12238</v>
      </c>
      <c r="U241">
        <v>410203988414.58154</v>
      </c>
      <c r="V241">
        <v>451343454783.01563</v>
      </c>
      <c r="W241">
        <v>541143245103.21655</v>
      </c>
      <c r="X241">
        <v>607151446385.03796</v>
      </c>
      <c r="Y241">
        <v>742956710455.854</v>
      </c>
      <c r="Z241">
        <v>851543041538.72644</v>
      </c>
      <c r="AA241">
        <v>784904152926.70142</v>
      </c>
      <c r="AB241">
        <v>680609173310.1134</v>
      </c>
      <c r="AC241">
        <v>714278722532.59607</v>
      </c>
      <c r="AD241">
        <v>705537546137.0293</v>
      </c>
      <c r="AE241">
        <v>711641297660.48083</v>
      </c>
      <c r="AF241">
        <v>764012497642.10828</v>
      </c>
      <c r="AG241">
        <v>838320487980.65527</v>
      </c>
      <c r="AH241">
        <v>929914241888.60486</v>
      </c>
      <c r="AI241">
        <v>1112474893935.6301</v>
      </c>
      <c r="AJ241">
        <v>1187645180028.5049</v>
      </c>
      <c r="AK241">
        <v>1293163079803.5569</v>
      </c>
      <c r="AL241">
        <v>1505498659371.342</v>
      </c>
      <c r="AM241">
        <v>1708158258793.4966</v>
      </c>
      <c r="AN241">
        <v>1833883373145.9937</v>
      </c>
      <c r="AO241">
        <v>1993801976965.8428</v>
      </c>
      <c r="AP241">
        <v>2187247412386.5029</v>
      </c>
      <c r="AQ241">
        <v>2200298432576.2256</v>
      </c>
      <c r="AR241">
        <v>1969284663624.8481</v>
      </c>
      <c r="AS241">
        <v>2178185355320.6519</v>
      </c>
      <c r="AT241">
        <v>2120324403166.2104</v>
      </c>
      <c r="AU241">
        <v>1887242432115.4045</v>
      </c>
      <c r="AV241">
        <v>1922534458021.3801</v>
      </c>
      <c r="AW241">
        <v>2225384515789.7627</v>
      </c>
      <c r="AX241">
        <v>2708927963301.1538</v>
      </c>
      <c r="AY241">
        <v>3186236239229.9663</v>
      </c>
      <c r="AZ241">
        <v>3773229879831.729</v>
      </c>
      <c r="BA241">
        <v>4409097095011.0547</v>
      </c>
      <c r="BB241">
        <v>4130162256669.2148</v>
      </c>
      <c r="BC241">
        <v>5159729033221.1104</v>
      </c>
      <c r="BD241">
        <v>5887034342421.416</v>
      </c>
      <c r="BE241">
        <v>5947252224241.9961</v>
      </c>
      <c r="BF241">
        <v>6095171749897.2275</v>
      </c>
      <c r="BG241">
        <v>6215504429530.9824</v>
      </c>
      <c r="BH241">
        <v>5148471978658.5195</v>
      </c>
      <c r="BI241">
        <v>5015399889886.7988</v>
      </c>
      <c r="BJ241">
        <v>5593216809529.6348</v>
      </c>
      <c r="BK241">
        <v>5464428426578.0957</v>
      </c>
      <c r="BL241">
        <v>5371331762438.7988</v>
      </c>
      <c r="BM241">
        <v>4529215519228.9258</v>
      </c>
      <c r="BN241">
        <v>5238233593531.7705</v>
      </c>
      <c r="BO241" s="190">
        <v>5945540330771.4551</v>
      </c>
    </row>
    <row r="242" spans="1:67">
      <c r="A242" t="s">
        <v>960</v>
      </c>
      <c r="B242" t="s">
        <v>961</v>
      </c>
      <c r="C242" t="s">
        <v>1018</v>
      </c>
      <c r="D242" t="s">
        <v>1019</v>
      </c>
      <c r="AS242">
        <v>367087900</v>
      </c>
      <c r="AT242">
        <v>477443500</v>
      </c>
      <c r="AU242">
        <v>469506700</v>
      </c>
      <c r="AV242">
        <v>490439100</v>
      </c>
      <c r="AW242">
        <v>440764600</v>
      </c>
      <c r="AX242">
        <v>462283600</v>
      </c>
      <c r="AY242">
        <v>453805100</v>
      </c>
      <c r="AZ242">
        <v>542795400</v>
      </c>
      <c r="BA242">
        <v>648492700</v>
      </c>
      <c r="BB242">
        <v>726882400</v>
      </c>
      <c r="BC242">
        <v>881827800</v>
      </c>
      <c r="BD242">
        <v>1042411499.9999999</v>
      </c>
      <c r="BE242">
        <v>1160389600</v>
      </c>
      <c r="BF242">
        <v>1395519600</v>
      </c>
      <c r="BG242">
        <v>1447310400</v>
      </c>
      <c r="BH242">
        <v>1594447600</v>
      </c>
      <c r="BI242">
        <v>1650619400</v>
      </c>
      <c r="BJ242">
        <v>1595724300</v>
      </c>
      <c r="BK242">
        <v>1563887900</v>
      </c>
      <c r="BL242">
        <v>2028551600</v>
      </c>
      <c r="BM242">
        <v>2158392500</v>
      </c>
      <c r="BN242">
        <v>3621222400</v>
      </c>
      <c r="BO242" s="190">
        <v>3163324631.03158</v>
      </c>
    </row>
    <row r="243" spans="1:67">
      <c r="A243" t="s">
        <v>962</v>
      </c>
      <c r="B243" t="s">
        <v>963</v>
      </c>
      <c r="C243" t="s">
        <v>1018</v>
      </c>
      <c r="D243" t="s">
        <v>1019</v>
      </c>
      <c r="J243">
        <v>23597763392.426678</v>
      </c>
      <c r="K243">
        <v>24596781059.612423</v>
      </c>
      <c r="L243">
        <v>26628327477.812828</v>
      </c>
      <c r="M243">
        <v>29295797647.995281</v>
      </c>
      <c r="N243">
        <v>32502994399.445908</v>
      </c>
      <c r="O243">
        <v>36710422417.972733</v>
      </c>
      <c r="P243">
        <v>42086833718.42691</v>
      </c>
      <c r="Q243">
        <v>50218784350.907272</v>
      </c>
      <c r="R243">
        <v>66663487502.246246</v>
      </c>
      <c r="S243">
        <v>101622548936.70239</v>
      </c>
      <c r="T243">
        <v>118247163046.70079</v>
      </c>
      <c r="U243">
        <v>145959079987.83249</v>
      </c>
      <c r="V243">
        <v>168918635105.69513</v>
      </c>
      <c r="W243">
        <v>181557961772.86444</v>
      </c>
      <c r="X243">
        <v>226458417647.58826</v>
      </c>
      <c r="Y243">
        <v>271186212358.52432</v>
      </c>
      <c r="Z243">
        <v>264651823390.35538</v>
      </c>
      <c r="AA243">
        <v>303546936551.65344</v>
      </c>
      <c r="AB243">
        <v>341135380443.95374</v>
      </c>
      <c r="AC243">
        <v>361165794970.42426</v>
      </c>
      <c r="AD243">
        <v>393776784308.7384</v>
      </c>
      <c r="AE243">
        <v>442524708559.63293</v>
      </c>
      <c r="AF243">
        <v>386999801388.47845</v>
      </c>
      <c r="AG243">
        <v>355279720214.66711</v>
      </c>
      <c r="AH243">
        <v>357272264599.86853</v>
      </c>
      <c r="AI243">
        <v>502614551355.26086</v>
      </c>
      <c r="AJ243">
        <v>260421226491.20938</v>
      </c>
      <c r="AK243">
        <v>286793794636.33875</v>
      </c>
      <c r="AL243">
        <v>294466227502.75958</v>
      </c>
      <c r="AM243">
        <v>315703229596.62329</v>
      </c>
      <c r="AN243">
        <v>367908612877.51685</v>
      </c>
      <c r="AO243">
        <v>424485950438.95215</v>
      </c>
      <c r="AP243">
        <v>448652490027.7514</v>
      </c>
      <c r="AQ243">
        <v>461879719773.79675</v>
      </c>
      <c r="AR243">
        <v>501955439650.33472</v>
      </c>
      <c r="AS243">
        <v>531861706891.65131</v>
      </c>
      <c r="AT243">
        <v>538324769799.70667</v>
      </c>
      <c r="AU243">
        <v>524741475874.73566</v>
      </c>
      <c r="AV243">
        <v>573739880430.59521</v>
      </c>
      <c r="AW243">
        <v>681180472798.75049</v>
      </c>
      <c r="AX243">
        <v>803410584369.61487</v>
      </c>
      <c r="AY243">
        <v>936957615002.96924</v>
      </c>
      <c r="AZ243">
        <v>1142496167090.2402</v>
      </c>
      <c r="BA243">
        <v>1408940171755.3071</v>
      </c>
      <c r="BB243">
        <v>1370510388772.1682</v>
      </c>
      <c r="BC243">
        <v>1578098820761.4658</v>
      </c>
      <c r="BD243">
        <v>1625215002296.0994</v>
      </c>
      <c r="BE243">
        <v>1752600151707.2981</v>
      </c>
      <c r="BF243">
        <v>1610532044310.3501</v>
      </c>
      <c r="BG243">
        <v>1586867031724.6089</v>
      </c>
      <c r="BH243">
        <v>1425097281066.1055</v>
      </c>
      <c r="BI243">
        <v>1460439514342.2419</v>
      </c>
      <c r="BJ243">
        <v>1460779778479.7344</v>
      </c>
      <c r="BK243">
        <v>1383769733583.24</v>
      </c>
      <c r="BL243">
        <v>1391491110717.2292</v>
      </c>
      <c r="BM243">
        <v>1269397606042.4949</v>
      </c>
      <c r="BN243">
        <v>1488905605615.52</v>
      </c>
      <c r="BO243" s="190">
        <v>1657891406469.5662</v>
      </c>
    </row>
    <row r="244" spans="1:67">
      <c r="A244" t="s">
        <v>964</v>
      </c>
      <c r="B244" t="s">
        <v>965</v>
      </c>
      <c r="C244" t="s">
        <v>1018</v>
      </c>
      <c r="D244" t="s">
        <v>1019</v>
      </c>
      <c r="T244">
        <v>32506741.720120434</v>
      </c>
      <c r="U244">
        <v>30036416.961994376</v>
      </c>
      <c r="V244">
        <v>34139387.890884899</v>
      </c>
      <c r="W244">
        <v>41567471.67219869</v>
      </c>
      <c r="X244">
        <v>44667002.012072437</v>
      </c>
      <c r="Y244">
        <v>53260077.431109086</v>
      </c>
      <c r="Z244">
        <v>62242013.330268905</v>
      </c>
      <c r="AA244">
        <v>62068161.071102545</v>
      </c>
      <c r="AB244">
        <v>60863963.963963956</v>
      </c>
      <c r="AC244">
        <v>64248354.541465558</v>
      </c>
      <c r="AD244">
        <v>60058663.314477272</v>
      </c>
      <c r="AE244">
        <v>68195855.614973262</v>
      </c>
      <c r="AF244">
        <v>81667133.45469822</v>
      </c>
      <c r="AG244">
        <v>106657267.36734171</v>
      </c>
      <c r="AH244">
        <v>106344854.98609458</v>
      </c>
      <c r="AI244">
        <v>113563821.57740392</v>
      </c>
      <c r="AJ244">
        <v>132201141.44686103</v>
      </c>
      <c r="AK244">
        <v>137066290.55007052</v>
      </c>
      <c r="AL244">
        <v>138489884.3930636</v>
      </c>
      <c r="AM244">
        <v>195990986.21420997</v>
      </c>
      <c r="AN244">
        <v>208871665.74868202</v>
      </c>
      <c r="AO244">
        <v>222100576.34548259</v>
      </c>
      <c r="AP244">
        <v>214991452.314998</v>
      </c>
      <c r="AQ244">
        <v>191504892.76139411</v>
      </c>
      <c r="AR244">
        <v>199208752.45367482</v>
      </c>
      <c r="AS244">
        <v>204848436.57702062</v>
      </c>
      <c r="AT244">
        <v>181117272.4031378</v>
      </c>
      <c r="AU244">
        <v>182764299.85451323</v>
      </c>
      <c r="AV244">
        <v>202246621.15156144</v>
      </c>
      <c r="AW244">
        <v>230657579.05893695</v>
      </c>
      <c r="AX244">
        <v>261803692.13041973</v>
      </c>
      <c r="AY244">
        <v>292230634.19757283</v>
      </c>
      <c r="AZ244">
        <v>298519087.68586427</v>
      </c>
      <c r="BA244">
        <v>344436494.40469986</v>
      </c>
      <c r="BB244">
        <v>312377751.08712131</v>
      </c>
      <c r="BC244">
        <v>366832186.49347609</v>
      </c>
      <c r="BD244">
        <v>414533045.12695616</v>
      </c>
      <c r="BE244">
        <v>470705334.75604302</v>
      </c>
      <c r="BF244">
        <v>450650718.15437937</v>
      </c>
      <c r="BG244">
        <v>439877675.69334477</v>
      </c>
      <c r="BH244">
        <v>437003006.74478376</v>
      </c>
      <c r="BI244">
        <v>420548768.07280481</v>
      </c>
      <c r="BJ244">
        <v>460374252.20613706</v>
      </c>
      <c r="BK244">
        <v>488906860.87405837</v>
      </c>
      <c r="BL244">
        <v>512053639.84263098</v>
      </c>
      <c r="BM244">
        <v>484796858.83900863</v>
      </c>
      <c r="BN244">
        <v>469228124.15391362</v>
      </c>
    </row>
    <row r="245" spans="1:67">
      <c r="A245" t="s">
        <v>966</v>
      </c>
      <c r="B245" t="s">
        <v>967</v>
      </c>
      <c r="C245" t="s">
        <v>1018</v>
      </c>
      <c r="D245" t="s">
        <v>1019</v>
      </c>
      <c r="E245">
        <v>47156704038.645477</v>
      </c>
      <c r="F245">
        <v>50316837320.196457</v>
      </c>
      <c r="G245">
        <v>53705580292.75164</v>
      </c>
      <c r="H245">
        <v>60408326895.492905</v>
      </c>
      <c r="I245">
        <v>69158968713.736404</v>
      </c>
      <c r="J245">
        <v>74274468929.555267</v>
      </c>
      <c r="K245">
        <v>62456580600.221931</v>
      </c>
      <c r="L245">
        <v>68712964033.034142</v>
      </c>
      <c r="M245">
        <v>72018446516.858444</v>
      </c>
      <c r="N245">
        <v>79171992803.877899</v>
      </c>
      <c r="O245">
        <v>85711844745.380981</v>
      </c>
      <c r="P245">
        <v>91169238617.006653</v>
      </c>
      <c r="Q245">
        <v>91653327298.465622</v>
      </c>
      <c r="R245">
        <v>104781402787.84631</v>
      </c>
      <c r="S245">
        <v>126934580819.77943</v>
      </c>
      <c r="T245">
        <v>135867507778.86075</v>
      </c>
      <c r="U245">
        <v>132608444905.69803</v>
      </c>
      <c r="V245">
        <v>153553587500.20929</v>
      </c>
      <c r="W245">
        <v>174721808669.43256</v>
      </c>
      <c r="X245">
        <v>195693075714.57617</v>
      </c>
      <c r="Y245">
        <v>235962137572.70035</v>
      </c>
      <c r="Z245">
        <v>250140235557.80493</v>
      </c>
      <c r="AA245">
        <v>258792952697.99396</v>
      </c>
      <c r="AB245">
        <v>273951368607.72208</v>
      </c>
      <c r="AC245">
        <v>272676312680.72052</v>
      </c>
      <c r="AD245">
        <v>296510765025.75385</v>
      </c>
      <c r="AE245">
        <v>314034899880.35278</v>
      </c>
      <c r="AF245">
        <v>348690416778.91943</v>
      </c>
      <c r="AG245">
        <v>374679367843.73608</v>
      </c>
      <c r="AH245">
        <v>378112968995.0791</v>
      </c>
      <c r="AI245">
        <v>407066728402.15186</v>
      </c>
      <c r="AJ245">
        <v>362155183204.79938</v>
      </c>
      <c r="AK245">
        <v>384619247242.88586</v>
      </c>
      <c r="AL245">
        <v>380986910706.29211</v>
      </c>
      <c r="AM245">
        <v>432196055451.7215</v>
      </c>
      <c r="AN245">
        <v>479707317022.57031</v>
      </c>
      <c r="AO245">
        <v>524814569929.73108</v>
      </c>
      <c r="AP245">
        <v>550548635667.58289</v>
      </c>
      <c r="AQ245">
        <v>558258844530.03101</v>
      </c>
      <c r="AR245">
        <v>598146534949.58752</v>
      </c>
      <c r="AS245">
        <v>630242098666.01563</v>
      </c>
      <c r="AT245">
        <v>645678633202.56824</v>
      </c>
      <c r="AU245">
        <v>677426539845.30237</v>
      </c>
      <c r="AV245">
        <v>791026613085.97461</v>
      </c>
      <c r="AW245">
        <v>917083438858.51855</v>
      </c>
      <c r="AX245">
        <v>1050602379999.6323</v>
      </c>
      <c r="AY245">
        <v>1196088124853.0815</v>
      </c>
      <c r="AZ245">
        <v>1504162366252.8945</v>
      </c>
      <c r="BA245">
        <v>1527612730733.4111</v>
      </c>
      <c r="BB245">
        <v>1683173926491.5034</v>
      </c>
      <c r="BC245">
        <v>2062468955967.6965</v>
      </c>
      <c r="BD245">
        <v>2277346353954.8921</v>
      </c>
      <c r="BE245">
        <v>2302398278355.3418</v>
      </c>
      <c r="BF245">
        <v>2362708983919.2241</v>
      </c>
      <c r="BG245">
        <v>2587787935996.415</v>
      </c>
      <c r="BH245">
        <v>2704835939982.5103</v>
      </c>
      <c r="BI245">
        <v>3010757329892.833</v>
      </c>
      <c r="BJ245">
        <v>3433883301221.7539</v>
      </c>
      <c r="BK245">
        <v>3534209044993.8716</v>
      </c>
      <c r="BL245">
        <v>3658004814522.0083</v>
      </c>
      <c r="BM245">
        <v>3490012356687.834</v>
      </c>
      <c r="BN245">
        <v>4062783801939.271</v>
      </c>
      <c r="BO245" s="190">
        <v>4361631457999.0166</v>
      </c>
    </row>
    <row r="246" spans="1:67">
      <c r="A246" t="s">
        <v>968</v>
      </c>
      <c r="B246" t="s">
        <v>969</v>
      </c>
      <c r="C246" t="s">
        <v>1018</v>
      </c>
      <c r="D246" t="s">
        <v>1019</v>
      </c>
      <c r="E246">
        <v>31038651924.715542</v>
      </c>
      <c r="F246">
        <v>32274153936.368973</v>
      </c>
      <c r="G246">
        <v>34924550100.162491</v>
      </c>
      <c r="H246">
        <v>39974355837.202446</v>
      </c>
      <c r="I246">
        <v>39238590134.768959</v>
      </c>
      <c r="J246">
        <v>43676575967.691132</v>
      </c>
      <c r="K246">
        <v>47114238410.838631</v>
      </c>
      <c r="L246">
        <v>46781000881.708023</v>
      </c>
      <c r="M246">
        <v>50124977708.063492</v>
      </c>
      <c r="N246">
        <v>57259820309.899208</v>
      </c>
      <c r="O246">
        <v>67263493916.489464</v>
      </c>
      <c r="P246">
        <v>68574658267.438957</v>
      </c>
      <c r="Q246">
        <v>77110721964.552673</v>
      </c>
      <c r="R246">
        <v>99513486866.777206</v>
      </c>
      <c r="S246">
        <v>127887926562.71619</v>
      </c>
      <c r="T246">
        <v>140884899647.39822</v>
      </c>
      <c r="U246">
        <v>151992519730.33966</v>
      </c>
      <c r="V246">
        <v>166741023605.75137</v>
      </c>
      <c r="W246">
        <v>186078689801.53705</v>
      </c>
      <c r="X246">
        <v>222012586577.62985</v>
      </c>
      <c r="Y246">
        <v>282049229145.84839</v>
      </c>
      <c r="Z246">
        <v>389887980091.44104</v>
      </c>
      <c r="AA246">
        <v>357757127665.33136</v>
      </c>
      <c r="AB246">
        <v>314844448352.91608</v>
      </c>
      <c r="AC246">
        <v>275683682181.11816</v>
      </c>
      <c r="AD246">
        <v>254455395790.09998</v>
      </c>
      <c r="AE246">
        <v>261402850880.42868</v>
      </c>
      <c r="AF246">
        <v>297209471954.19238</v>
      </c>
      <c r="AG246">
        <v>313579138925.44635</v>
      </c>
      <c r="AH246">
        <v>319563247910.2099</v>
      </c>
      <c r="AI246">
        <v>375424931159.04138</v>
      </c>
      <c r="AJ246">
        <v>393456869265.3689</v>
      </c>
      <c r="AK246">
        <v>363862082115.38861</v>
      </c>
      <c r="AL246">
        <v>340910457626.42749</v>
      </c>
      <c r="AM246">
        <v>324862204377.18213</v>
      </c>
      <c r="AN246">
        <v>377566591336.15851</v>
      </c>
      <c r="AO246">
        <v>394512902071.40643</v>
      </c>
      <c r="AP246">
        <v>409664928804.90503</v>
      </c>
      <c r="AQ246">
        <v>396136552874.17273</v>
      </c>
      <c r="AR246">
        <v>400026185636.78247</v>
      </c>
      <c r="AS246">
        <v>424444223042.83087</v>
      </c>
      <c r="AT246">
        <v>407309506890.50146</v>
      </c>
      <c r="AU246">
        <v>443193859516.71533</v>
      </c>
      <c r="AV246">
        <v>558250655633.10706</v>
      </c>
      <c r="AW246">
        <v>693314583942.31653</v>
      </c>
      <c r="AX246">
        <v>823361208064.24561</v>
      </c>
      <c r="AY246">
        <v>973527213201.02441</v>
      </c>
      <c r="AZ246">
        <v>1127368649186.1235</v>
      </c>
      <c r="BA246">
        <v>1278243727731.7727</v>
      </c>
      <c r="BB246">
        <v>1230006172548.7017</v>
      </c>
      <c r="BC246">
        <v>1461708684777.3118</v>
      </c>
      <c r="BD246">
        <v>1649496095768.7451</v>
      </c>
      <c r="BE246">
        <v>1712723978723.0366</v>
      </c>
      <c r="BF246">
        <v>1819935185494.1392</v>
      </c>
      <c r="BG246">
        <v>1900848872303.1101</v>
      </c>
      <c r="BH246">
        <v>1695993210500.2314</v>
      </c>
      <c r="BI246">
        <v>1576539841411.969</v>
      </c>
      <c r="BJ246">
        <v>1705941956337.7231</v>
      </c>
      <c r="BK246">
        <v>1774221939062.4465</v>
      </c>
      <c r="BL246">
        <v>1823372470680.0007</v>
      </c>
      <c r="BM246">
        <v>1714053357042.6909</v>
      </c>
      <c r="BN246">
        <v>1926457861345.4592</v>
      </c>
      <c r="BO246" s="190">
        <v>2047347019065.5266</v>
      </c>
    </row>
    <row r="247" spans="1:67">
      <c r="A247" t="s">
        <v>970</v>
      </c>
      <c r="B247" t="s">
        <v>971</v>
      </c>
      <c r="C247" t="s">
        <v>1018</v>
      </c>
      <c r="D247" t="s">
        <v>1019</v>
      </c>
      <c r="E247">
        <v>535673252.26033747</v>
      </c>
      <c r="F247">
        <v>584964620.67804492</v>
      </c>
      <c r="G247">
        <v>619322809.76825619</v>
      </c>
      <c r="H247">
        <v>678239329.11907578</v>
      </c>
      <c r="I247">
        <v>711897519.95957434</v>
      </c>
      <c r="J247">
        <v>736573158.26019704</v>
      </c>
      <c r="K247">
        <v>723739857.01546407</v>
      </c>
      <c r="L247">
        <v>761981839.09516215</v>
      </c>
      <c r="M247">
        <v>758899949.62055004</v>
      </c>
      <c r="N247">
        <v>779199999.61039996</v>
      </c>
      <c r="O247">
        <v>821849999.58907497</v>
      </c>
      <c r="P247">
        <v>896765145.61911929</v>
      </c>
      <c r="Q247">
        <v>1083391921.2216249</v>
      </c>
      <c r="R247">
        <v>1308785739.5343745</v>
      </c>
      <c r="S247">
        <v>2042001159.2311893</v>
      </c>
      <c r="T247">
        <v>2442670280.2716794</v>
      </c>
      <c r="U247">
        <v>2500424512.0740237</v>
      </c>
      <c r="V247">
        <v>3138666667.9744449</v>
      </c>
      <c r="W247">
        <v>3562333459.8176394</v>
      </c>
      <c r="X247">
        <v>4602416626.9176741</v>
      </c>
      <c r="Y247">
        <v>6235833335.9315977</v>
      </c>
      <c r="Z247">
        <v>6992083336.2467022</v>
      </c>
      <c r="AA247">
        <v>8140416670.0585079</v>
      </c>
      <c r="AB247">
        <v>7763750003.2348967</v>
      </c>
      <c r="AC247">
        <v>7757083334.6800594</v>
      </c>
      <c r="AD247">
        <v>7375918367.3469381</v>
      </c>
      <c r="AE247">
        <v>4794444444.4444447</v>
      </c>
      <c r="AF247">
        <v>4797777777.7777777</v>
      </c>
      <c r="AG247">
        <v>4496910569.105691</v>
      </c>
      <c r="AH247">
        <v>4323058823.5294113</v>
      </c>
      <c r="AI247">
        <v>5068000000</v>
      </c>
      <c r="AJ247">
        <v>5307905882.3529415</v>
      </c>
      <c r="AK247">
        <v>5439552941.1764708</v>
      </c>
      <c r="AL247">
        <v>4669491425.1221991</v>
      </c>
      <c r="AM247">
        <v>4947181506.3893137</v>
      </c>
      <c r="AN247">
        <v>5329217896.5457125</v>
      </c>
      <c r="AO247">
        <v>5759570495.9659786</v>
      </c>
      <c r="AP247">
        <v>5737771217.1691523</v>
      </c>
      <c r="AQ247">
        <v>6043687133.4084597</v>
      </c>
      <c r="AR247">
        <v>6808982520.7575932</v>
      </c>
      <c r="AS247">
        <v>8154342547.5636997</v>
      </c>
      <c r="AT247">
        <v>8824849662.9616013</v>
      </c>
      <c r="AU247">
        <v>9008297748.0589294</v>
      </c>
      <c r="AV247">
        <v>11305459802.068275</v>
      </c>
      <c r="AW247">
        <v>13280292692.3489</v>
      </c>
      <c r="AX247">
        <v>15982388172.71582</v>
      </c>
      <c r="AY247">
        <v>18369361094.388645</v>
      </c>
      <c r="AZ247">
        <v>21641620049.935211</v>
      </c>
      <c r="BA247">
        <v>27871587349.541267</v>
      </c>
      <c r="BB247">
        <v>19172165225.501511</v>
      </c>
      <c r="BC247">
        <v>22157919433.875221</v>
      </c>
      <c r="BD247">
        <v>25433008605.040718</v>
      </c>
      <c r="BE247">
        <v>27121712418.53492</v>
      </c>
      <c r="BF247">
        <v>28557451149.868626</v>
      </c>
      <c r="BG247">
        <v>29489012806.89048</v>
      </c>
      <c r="BH247">
        <v>26851970249.303196</v>
      </c>
      <c r="BI247">
        <v>23496215880.52121</v>
      </c>
      <c r="BJ247">
        <v>23797686961.844673</v>
      </c>
      <c r="BK247">
        <v>24322359037.408974</v>
      </c>
      <c r="BL247">
        <v>23849557811.395931</v>
      </c>
      <c r="BM247">
        <v>21059428846.015331</v>
      </c>
      <c r="BN247">
        <v>24460196270.115669</v>
      </c>
      <c r="BO247" s="190">
        <v>27899082337.368843</v>
      </c>
    </row>
    <row r="248" spans="1:67">
      <c r="A248" t="s">
        <v>972</v>
      </c>
      <c r="B248" t="s">
        <v>973</v>
      </c>
      <c r="C248" t="s">
        <v>1018</v>
      </c>
      <c r="D248" t="s">
        <v>1019</v>
      </c>
      <c r="J248">
        <v>991047619.9442811</v>
      </c>
      <c r="K248">
        <v>1040952381.8941951</v>
      </c>
      <c r="L248">
        <v>1085714286.6965988</v>
      </c>
      <c r="M248">
        <v>1214666667.7656507</v>
      </c>
      <c r="N248">
        <v>1289904763.0718186</v>
      </c>
      <c r="O248">
        <v>1439238096.5402632</v>
      </c>
      <c r="P248">
        <v>1685163348.0167296</v>
      </c>
      <c r="Q248">
        <v>2237554586.7161956</v>
      </c>
      <c r="R248">
        <v>2730814468.1191301</v>
      </c>
      <c r="S248">
        <v>3545865875.5179176</v>
      </c>
      <c r="T248">
        <v>4328969185.4382687</v>
      </c>
      <c r="U248">
        <v>4508191952.6749277</v>
      </c>
      <c r="V248">
        <v>5109324009.3240089</v>
      </c>
      <c r="W248">
        <v>5968462484.6810846</v>
      </c>
      <c r="X248">
        <v>7188855078.1163216</v>
      </c>
      <c r="Y248">
        <v>8744134354.1615219</v>
      </c>
      <c r="Z248">
        <v>8428442466.4199324</v>
      </c>
      <c r="AA248">
        <v>8133573180.6303225</v>
      </c>
      <c r="AB248">
        <v>8350586859.9735374</v>
      </c>
      <c r="AC248">
        <v>8254537657.2916384</v>
      </c>
      <c r="AD248">
        <v>8410227733.1532745</v>
      </c>
      <c r="AE248">
        <v>9017804761.5799122</v>
      </c>
      <c r="AF248">
        <v>9696710059.8856602</v>
      </c>
      <c r="AG248">
        <v>10096243800.789803</v>
      </c>
      <c r="AH248">
        <v>10101853518.085302</v>
      </c>
      <c r="AI248">
        <v>12290568181.818182</v>
      </c>
      <c r="AJ248">
        <v>13074782608.695652</v>
      </c>
      <c r="AK248">
        <v>15496702219.87714</v>
      </c>
      <c r="AL248">
        <v>14608340459.447517</v>
      </c>
      <c r="AM248">
        <v>15633171728.322289</v>
      </c>
      <c r="AN248">
        <v>18030876599.344402</v>
      </c>
      <c r="AO248">
        <v>19587155099.350227</v>
      </c>
      <c r="AP248">
        <v>20746204100.701599</v>
      </c>
      <c r="AQ248">
        <v>21802893587.125954</v>
      </c>
      <c r="AR248">
        <v>22943202174.966805</v>
      </c>
      <c r="AS248">
        <v>21473522938.680275</v>
      </c>
      <c r="AT248">
        <v>22065840117.466137</v>
      </c>
      <c r="AU248">
        <v>23141611178.842781</v>
      </c>
      <c r="AV248">
        <v>27453895158.943253</v>
      </c>
      <c r="AW248">
        <v>31183893587.410255</v>
      </c>
      <c r="AX248">
        <v>32272178403.514713</v>
      </c>
      <c r="AY248">
        <v>34376664600.589775</v>
      </c>
      <c r="AZ248">
        <v>38915343743.29335</v>
      </c>
      <c r="BA248">
        <v>44859452038.11779</v>
      </c>
      <c r="BB248">
        <v>43455740497.306107</v>
      </c>
      <c r="BC248">
        <v>46206091937.96283</v>
      </c>
      <c r="BD248">
        <v>48123314430.487755</v>
      </c>
      <c r="BE248">
        <v>47311411909.703407</v>
      </c>
      <c r="BF248">
        <v>48685436425.094604</v>
      </c>
      <c r="BG248">
        <v>50271812920.612015</v>
      </c>
      <c r="BH248">
        <v>45779494041.929527</v>
      </c>
      <c r="BI248">
        <v>44360065796.620232</v>
      </c>
      <c r="BJ248">
        <v>42163530590.946198</v>
      </c>
      <c r="BK248">
        <v>42686509835.528748</v>
      </c>
      <c r="BL248">
        <v>41905637658.605339</v>
      </c>
      <c r="BM248">
        <v>42538462678.120132</v>
      </c>
      <c r="BN248">
        <v>46687298709.354141</v>
      </c>
      <c r="BO248" s="190">
        <v>46664948951.657059</v>
      </c>
    </row>
    <row r="249" spans="1:67">
      <c r="A249" t="s">
        <v>974</v>
      </c>
      <c r="B249" t="s">
        <v>975</v>
      </c>
      <c r="C249" t="s">
        <v>1018</v>
      </c>
      <c r="D249" t="s">
        <v>1019</v>
      </c>
      <c r="E249">
        <v>7552470818.8086538</v>
      </c>
      <c r="F249">
        <v>7971175166.2971172</v>
      </c>
      <c r="G249">
        <v>8902439024.3902435</v>
      </c>
      <c r="H249">
        <v>10332594235.033258</v>
      </c>
      <c r="I249">
        <v>11129344520.350536</v>
      </c>
      <c r="J249">
        <v>11913716815.477182</v>
      </c>
      <c r="K249">
        <v>14037610621.02186</v>
      </c>
      <c r="L249">
        <v>15575221240.660976</v>
      </c>
      <c r="M249">
        <v>17422566373.608692</v>
      </c>
      <c r="N249">
        <v>19380530975.595192</v>
      </c>
      <c r="O249">
        <v>17345632697.828102</v>
      </c>
      <c r="P249">
        <v>16311659192.367985</v>
      </c>
      <c r="Q249">
        <v>20431095406.360424</v>
      </c>
      <c r="R249">
        <v>25724381625.441696</v>
      </c>
      <c r="S249">
        <v>35599700823.376595</v>
      </c>
      <c r="T249">
        <v>44633449700.568649</v>
      </c>
      <c r="U249">
        <v>51279868356.626083</v>
      </c>
      <c r="V249">
        <v>58675998836.73851</v>
      </c>
      <c r="W249">
        <v>65146575335.74617</v>
      </c>
      <c r="X249">
        <v>89392647416.600189</v>
      </c>
      <c r="Y249">
        <v>68789214177.120407</v>
      </c>
      <c r="Z249">
        <v>71040286283.518295</v>
      </c>
      <c r="AA249">
        <v>64546167132.12442</v>
      </c>
      <c r="AB249">
        <v>61678257318.300354</v>
      </c>
      <c r="AC249">
        <v>59990263932.898346</v>
      </c>
      <c r="AD249">
        <v>67234937530.723648</v>
      </c>
      <c r="AE249">
        <v>75727813488.765869</v>
      </c>
      <c r="AF249">
        <v>87168298081.867874</v>
      </c>
      <c r="AG249">
        <v>90853080152.213547</v>
      </c>
      <c r="AH249">
        <v>107143390749.85794</v>
      </c>
      <c r="AI249">
        <v>150676194826.80942</v>
      </c>
      <c r="AJ249">
        <v>151041399039.06763</v>
      </c>
      <c r="AK249">
        <v>159094972321.74783</v>
      </c>
      <c r="AL249">
        <v>180421862247.80533</v>
      </c>
      <c r="AM249">
        <v>130651877908.19547</v>
      </c>
      <c r="AN249">
        <v>169319354340.47952</v>
      </c>
      <c r="AO249">
        <v>181464650312.2713</v>
      </c>
      <c r="AP249">
        <v>189878399894.64328</v>
      </c>
      <c r="AQ249">
        <v>275941726172.3833</v>
      </c>
      <c r="AR249">
        <v>256395983758.49042</v>
      </c>
      <c r="AS249">
        <v>274294842523.05392</v>
      </c>
      <c r="AT249">
        <v>201753110088.57913</v>
      </c>
      <c r="AU249">
        <v>240249005455.21835</v>
      </c>
      <c r="AV249">
        <v>314595528425.30713</v>
      </c>
      <c r="AW249">
        <v>408865358516.58734</v>
      </c>
      <c r="AX249">
        <v>506314676837.41534</v>
      </c>
      <c r="AY249">
        <v>557075996577.46594</v>
      </c>
      <c r="AZ249">
        <v>681321173796.05347</v>
      </c>
      <c r="BA249">
        <v>770449308781.33838</v>
      </c>
      <c r="BB249">
        <v>649289418603.01306</v>
      </c>
      <c r="BC249">
        <v>776967457763.60205</v>
      </c>
      <c r="BD249">
        <v>838785514058.56177</v>
      </c>
      <c r="BE249">
        <v>880555912745.58154</v>
      </c>
      <c r="BF249">
        <v>957798998031.2771</v>
      </c>
      <c r="BG249">
        <v>938934430070.6593</v>
      </c>
      <c r="BH249">
        <v>864313960482.34265</v>
      </c>
      <c r="BI249">
        <v>869682954136.20776</v>
      </c>
      <c r="BJ249">
        <v>858988578709.75549</v>
      </c>
      <c r="BK249">
        <v>778476714087.96228</v>
      </c>
      <c r="BL249">
        <v>759934804372.31897</v>
      </c>
      <c r="BM249">
        <v>720288811761.91492</v>
      </c>
      <c r="BN249">
        <v>819034484303.16919</v>
      </c>
      <c r="BO249" s="190">
        <v>905987824096.12671</v>
      </c>
    </row>
    <row r="250" spans="1:67">
      <c r="A250" t="s">
        <v>976</v>
      </c>
      <c r="B250" t="s">
        <v>977</v>
      </c>
      <c r="C250" t="s">
        <v>1018</v>
      </c>
      <c r="D250" t="s">
        <v>1019</v>
      </c>
      <c r="AI250">
        <v>8824746.2381315194</v>
      </c>
      <c r="AJ250">
        <v>9365488.1152763572</v>
      </c>
      <c r="AK250">
        <v>9742603.6335862782</v>
      </c>
      <c r="AL250">
        <v>9631024.9156783801</v>
      </c>
      <c r="AM250">
        <v>10887216.909025246</v>
      </c>
      <c r="AN250">
        <v>11025679.514763357</v>
      </c>
      <c r="AO250">
        <v>12335200.164858559</v>
      </c>
      <c r="AP250">
        <v>12701093.974973653</v>
      </c>
      <c r="AQ250">
        <v>12757405.79229128</v>
      </c>
      <c r="AR250">
        <v>13687141.105877798</v>
      </c>
      <c r="AS250">
        <v>15073978.448075913</v>
      </c>
      <c r="AT250">
        <v>13964728.71574924</v>
      </c>
      <c r="AU250">
        <v>16842677.170701891</v>
      </c>
      <c r="AV250">
        <v>19456335.928772472</v>
      </c>
      <c r="AW250">
        <v>22798266.596310727</v>
      </c>
      <c r="AX250">
        <v>22909973.984451823</v>
      </c>
      <c r="AY250">
        <v>24096867.470445465</v>
      </c>
      <c r="AZ250">
        <v>28450156.789650839</v>
      </c>
      <c r="BA250">
        <v>31874425.94578281</v>
      </c>
      <c r="BB250">
        <v>28076988.129093822</v>
      </c>
      <c r="BC250">
        <v>32105394.152927268</v>
      </c>
      <c r="BD250">
        <v>39196949.344062313</v>
      </c>
      <c r="BE250">
        <v>39345578.223376662</v>
      </c>
      <c r="BF250">
        <v>38615887.033820502</v>
      </c>
      <c r="BG250">
        <v>38760972.423031457</v>
      </c>
      <c r="BH250">
        <v>36811928.824139975</v>
      </c>
      <c r="BI250">
        <v>41629064.965341605</v>
      </c>
      <c r="BJ250">
        <v>45276606.001455076</v>
      </c>
      <c r="BK250">
        <v>48015219.952623434</v>
      </c>
      <c r="BL250">
        <v>54123195.272750162</v>
      </c>
      <c r="BM250">
        <v>51746568.69711905</v>
      </c>
      <c r="BN250">
        <v>60196366.806682132</v>
      </c>
      <c r="BO250" s="190">
        <v>60349391.098803349</v>
      </c>
    </row>
    <row r="251" spans="1:67">
      <c r="A251" t="s">
        <v>978</v>
      </c>
      <c r="B251" t="s">
        <v>979</v>
      </c>
      <c r="C251" t="s">
        <v>1018</v>
      </c>
      <c r="D251" t="s">
        <v>1019</v>
      </c>
      <c r="AG251">
        <v>5100405344.3992252</v>
      </c>
      <c r="AH251">
        <v>4420167588.5762539</v>
      </c>
      <c r="AI251">
        <v>4258742898.9379468</v>
      </c>
      <c r="AJ251">
        <v>4956587901.6186543</v>
      </c>
      <c r="AK251">
        <v>4601413521.1310244</v>
      </c>
      <c r="AL251">
        <v>4257702021.4430189</v>
      </c>
      <c r="AM251">
        <v>4510847189.1543074</v>
      </c>
      <c r="AN251">
        <v>5255221043.8386106</v>
      </c>
      <c r="AO251">
        <v>6496195823.9699259</v>
      </c>
      <c r="AP251">
        <v>7683852496.8449945</v>
      </c>
      <c r="AQ251">
        <v>12270448546.35836</v>
      </c>
      <c r="AR251">
        <v>12711213451.034033</v>
      </c>
      <c r="AS251">
        <v>13375976353.699392</v>
      </c>
      <c r="AT251">
        <v>13581644245.735195</v>
      </c>
      <c r="AU251">
        <v>14142035080.284897</v>
      </c>
      <c r="AV251">
        <v>15224257698.482018</v>
      </c>
      <c r="AW251">
        <v>16675948414.757336</v>
      </c>
      <c r="AX251">
        <v>18399046025.268791</v>
      </c>
      <c r="AY251">
        <v>18649590248.262638</v>
      </c>
      <c r="AZ251">
        <v>21843529024.915356</v>
      </c>
      <c r="BA251">
        <v>27961527622.715405</v>
      </c>
      <c r="BB251">
        <v>29081826158.678692</v>
      </c>
      <c r="BC251">
        <v>32014247547.514553</v>
      </c>
      <c r="BD251">
        <v>34657141720.675934</v>
      </c>
      <c r="BE251">
        <v>39650522645.981102</v>
      </c>
      <c r="BF251">
        <v>45680532613.759094</v>
      </c>
      <c r="BG251">
        <v>49964825081.107849</v>
      </c>
      <c r="BH251">
        <v>47378603783.647087</v>
      </c>
      <c r="BI251">
        <v>49774004999.203758</v>
      </c>
      <c r="BJ251">
        <v>53275968094.853302</v>
      </c>
      <c r="BK251">
        <v>57003686049.410156</v>
      </c>
      <c r="BL251">
        <v>61026765850.305389</v>
      </c>
      <c r="BM251">
        <v>66068737757.265091</v>
      </c>
      <c r="BN251">
        <v>70655628140.582611</v>
      </c>
      <c r="BO251" s="190">
        <v>75709289056.445663</v>
      </c>
    </row>
    <row r="252" spans="1:67">
      <c r="A252" t="s">
        <v>980</v>
      </c>
      <c r="B252" t="s">
        <v>981</v>
      </c>
      <c r="C252" t="s">
        <v>1018</v>
      </c>
      <c r="D252" t="s">
        <v>1019</v>
      </c>
      <c r="E252">
        <v>423008385.7442348</v>
      </c>
      <c r="F252">
        <v>441524109.01467508</v>
      </c>
      <c r="G252">
        <v>449012578.6163522</v>
      </c>
      <c r="H252">
        <v>516147798.74213839</v>
      </c>
      <c r="I252">
        <v>589056603.77358496</v>
      </c>
      <c r="J252">
        <v>884502309.06929874</v>
      </c>
      <c r="K252">
        <v>925381491.44477105</v>
      </c>
      <c r="L252">
        <v>967240654.21965563</v>
      </c>
      <c r="M252">
        <v>1037379251.3775725</v>
      </c>
      <c r="N252">
        <v>1168556627.6988661</v>
      </c>
      <c r="O252">
        <v>1259554807.6442673</v>
      </c>
      <c r="P252">
        <v>1417191654.749685</v>
      </c>
      <c r="Q252">
        <v>1490970267.2332597</v>
      </c>
      <c r="R252">
        <v>1701817876.6058586</v>
      </c>
      <c r="S252">
        <v>2098944967.5076911</v>
      </c>
      <c r="T252">
        <v>2359555555.5555558</v>
      </c>
      <c r="U252">
        <v>2447300000</v>
      </c>
      <c r="V252">
        <v>2936470588.2352939</v>
      </c>
      <c r="W252">
        <v>2420260869.5652175</v>
      </c>
      <c r="X252">
        <v>2139025000</v>
      </c>
      <c r="Y252">
        <v>1244610000</v>
      </c>
      <c r="Z252">
        <v>1337300000</v>
      </c>
      <c r="AA252">
        <v>2177500000</v>
      </c>
      <c r="AB252">
        <v>2240333333.3333335</v>
      </c>
      <c r="AC252">
        <v>3615647477.068624</v>
      </c>
      <c r="AD252">
        <v>3519695212.5277314</v>
      </c>
      <c r="AE252">
        <v>3923244170.4414468</v>
      </c>
      <c r="AF252">
        <v>6269522147.4435329</v>
      </c>
      <c r="AG252">
        <v>6508931651.666667</v>
      </c>
      <c r="AH252">
        <v>5276480789.7539616</v>
      </c>
      <c r="AI252">
        <v>4304399314.7988281</v>
      </c>
      <c r="AJ252">
        <v>3321729157.6129599</v>
      </c>
      <c r="AK252">
        <v>2857457760.9178872</v>
      </c>
      <c r="AL252">
        <v>3220439044.1894865</v>
      </c>
      <c r="AM252">
        <v>3990430446.7121596</v>
      </c>
      <c r="AN252">
        <v>5755818844.5498829</v>
      </c>
      <c r="AO252">
        <v>6044585326.9380007</v>
      </c>
      <c r="AP252">
        <v>6269333313.1710835</v>
      </c>
      <c r="AQ252">
        <v>6584815846.5275383</v>
      </c>
      <c r="AR252">
        <v>5998563257.9465895</v>
      </c>
      <c r="AS252">
        <v>6193246837.0968733</v>
      </c>
      <c r="AT252">
        <v>5840503868.5724554</v>
      </c>
      <c r="AU252">
        <v>6178563590.8925371</v>
      </c>
      <c r="AV252">
        <v>6606884273.8491907</v>
      </c>
      <c r="AW252">
        <v>7939487548.4060478</v>
      </c>
      <c r="AX252">
        <v>9239221760.4823246</v>
      </c>
      <c r="AY252">
        <v>9977647685.2851486</v>
      </c>
      <c r="AZ252">
        <v>11902564496.690805</v>
      </c>
      <c r="BA252">
        <v>14440404136.566851</v>
      </c>
      <c r="BB252">
        <v>25127805566.451115</v>
      </c>
      <c r="BC252">
        <v>26673441432.457886</v>
      </c>
      <c r="BD252">
        <v>27871725245.168827</v>
      </c>
      <c r="BE252">
        <v>27305915907.99395</v>
      </c>
      <c r="BF252">
        <v>28915786520.393501</v>
      </c>
      <c r="BG252">
        <v>32612397253.239521</v>
      </c>
      <c r="BH252">
        <v>32387183733.020748</v>
      </c>
      <c r="BI252">
        <v>29203988697.458973</v>
      </c>
      <c r="BJ252">
        <v>30744473839.743942</v>
      </c>
      <c r="BK252">
        <v>32927025621.384838</v>
      </c>
      <c r="BL252">
        <v>35348155092.291977</v>
      </c>
      <c r="BM252">
        <v>37605430214.347031</v>
      </c>
      <c r="BN252">
        <v>40510241365.90287</v>
      </c>
      <c r="BO252" s="190">
        <v>45559202048.734489</v>
      </c>
    </row>
    <row r="253" spans="1:67">
      <c r="A253" t="s">
        <v>982</v>
      </c>
      <c r="B253" t="s">
        <v>983</v>
      </c>
      <c r="C253" t="s">
        <v>1018</v>
      </c>
      <c r="D253" t="s">
        <v>1019</v>
      </c>
      <c r="AF253">
        <v>64087694038.233315</v>
      </c>
      <c r="AG253">
        <v>74703517902.664246</v>
      </c>
      <c r="AH253">
        <v>82709161099.12439</v>
      </c>
      <c r="AI253">
        <v>81393558423.440628</v>
      </c>
      <c r="AJ253">
        <v>77350733982.445801</v>
      </c>
      <c r="AK253">
        <v>73945908383.704575</v>
      </c>
      <c r="AL253">
        <v>65648559903.057068</v>
      </c>
      <c r="AM253">
        <v>52549553403.030418</v>
      </c>
      <c r="AN253">
        <v>48213867647.452347</v>
      </c>
      <c r="AO253">
        <v>44558841762.366707</v>
      </c>
      <c r="AP253">
        <v>50151522612.008202</v>
      </c>
      <c r="AQ253">
        <v>41882529044.549095</v>
      </c>
      <c r="AR253">
        <v>31580642102.43858</v>
      </c>
      <c r="AS253">
        <v>32375081951.141823</v>
      </c>
      <c r="AT253">
        <v>39309580983.228165</v>
      </c>
      <c r="AU253">
        <v>43956163612.043274</v>
      </c>
      <c r="AV253">
        <v>52010352502.005745</v>
      </c>
      <c r="AW253">
        <v>67220154164.316605</v>
      </c>
      <c r="AX253">
        <v>89238865118.52626</v>
      </c>
      <c r="AY253">
        <v>111884752475.24753</v>
      </c>
      <c r="AZ253">
        <v>148733861386.13861</v>
      </c>
      <c r="BA253">
        <v>188110375778.93088</v>
      </c>
      <c r="BB253">
        <v>121552148243.7478</v>
      </c>
      <c r="BC253">
        <v>141209163012.94052</v>
      </c>
      <c r="BD253">
        <v>169333838743.70456</v>
      </c>
      <c r="BE253">
        <v>182591746211.41849</v>
      </c>
      <c r="BF253">
        <v>190498811460.02753</v>
      </c>
      <c r="BG253">
        <v>133503867181.97134</v>
      </c>
      <c r="BH253">
        <v>91030968761.415527</v>
      </c>
      <c r="BI253">
        <v>93355868977.661942</v>
      </c>
      <c r="BJ253">
        <v>112090503817.39868</v>
      </c>
      <c r="BK253">
        <v>130891086689.52171</v>
      </c>
      <c r="BL253">
        <v>153883045524.93103</v>
      </c>
      <c r="BM253">
        <v>156617719786.25385</v>
      </c>
      <c r="BN253">
        <v>199765856764.5007</v>
      </c>
      <c r="BO253" s="190">
        <v>160502739236.09692</v>
      </c>
    </row>
    <row r="254" spans="1:67">
      <c r="A254" t="s">
        <v>984</v>
      </c>
      <c r="B254" t="s">
        <v>985</v>
      </c>
      <c r="C254" t="s">
        <v>1018</v>
      </c>
      <c r="D254" t="s">
        <v>1019</v>
      </c>
      <c r="E254">
        <v>229313536534.49261</v>
      </c>
      <c r="F254">
        <v>217557259638.34659</v>
      </c>
      <c r="G254">
        <v>223123039214.32007</v>
      </c>
      <c r="H254">
        <v>234129505241.67844</v>
      </c>
      <c r="I254">
        <v>268661015368.31256</v>
      </c>
      <c r="J254">
        <v>300143481292.05841</v>
      </c>
      <c r="K254">
        <v>331542693710.85468</v>
      </c>
      <c r="L254">
        <v>333642404111.70782</v>
      </c>
      <c r="M254">
        <v>350115035911.56342</v>
      </c>
      <c r="N254">
        <v>392809511713.55225</v>
      </c>
      <c r="O254">
        <v>430722632315.81372</v>
      </c>
      <c r="P254">
        <v>467247859712.13977</v>
      </c>
      <c r="Q254">
        <v>531816361499.83423</v>
      </c>
      <c r="R254">
        <v>694386737370.90967</v>
      </c>
      <c r="S254">
        <v>868560009321.68787</v>
      </c>
      <c r="T254">
        <v>959658335595.18677</v>
      </c>
      <c r="U254">
        <v>1018860419509.7662</v>
      </c>
      <c r="V254">
        <v>1133358764185.8262</v>
      </c>
      <c r="W254">
        <v>1262847704203.5081</v>
      </c>
      <c r="X254">
        <v>1461209943939.2896</v>
      </c>
      <c r="Y254">
        <v>1716330585868.3394</v>
      </c>
      <c r="Z254">
        <v>1864136131757.0049</v>
      </c>
      <c r="AA254">
        <v>1791984785032.2732</v>
      </c>
      <c r="AB254">
        <v>1695520751625.6069</v>
      </c>
      <c r="AC254">
        <v>1802314273336.4966</v>
      </c>
      <c r="AD254">
        <v>1834108045681.4456</v>
      </c>
      <c r="AE254">
        <v>1857700185343.2864</v>
      </c>
      <c r="AF254">
        <v>1989957753559.5884</v>
      </c>
      <c r="AG254">
        <v>2185346524589.5181</v>
      </c>
      <c r="AH254">
        <v>2333154208117.5366</v>
      </c>
      <c r="AI254">
        <v>2756767439045.5283</v>
      </c>
      <c r="AJ254">
        <v>2677432849078.8892</v>
      </c>
      <c r="AK254">
        <v>2794814023931.1787</v>
      </c>
      <c r="AL254">
        <v>3068883874615.9395</v>
      </c>
      <c r="AM254">
        <v>3345607407893.0952</v>
      </c>
      <c r="AN254">
        <v>3744627507199.1084</v>
      </c>
      <c r="AO254">
        <v>4082479563769.8408</v>
      </c>
      <c r="AP254">
        <v>4345555737600.8232</v>
      </c>
      <c r="AQ254">
        <v>4166274273158.3149</v>
      </c>
      <c r="AR254">
        <v>3987442722574.9116</v>
      </c>
      <c r="AS254">
        <v>4418290422685.4951</v>
      </c>
      <c r="AT254">
        <v>4434160160761.0664</v>
      </c>
      <c r="AU254">
        <v>4499020434440.6592</v>
      </c>
      <c r="AV254">
        <v>5052354848145.1592</v>
      </c>
      <c r="AW254">
        <v>6029942150777.5234</v>
      </c>
      <c r="AX254">
        <v>7222694384206.5547</v>
      </c>
      <c r="AY254">
        <v>8602214788409.7939</v>
      </c>
      <c r="AZ254">
        <v>10635743057387.064</v>
      </c>
      <c r="BA254">
        <v>12953100695356.947</v>
      </c>
      <c r="BB254">
        <v>12520122233351.975</v>
      </c>
      <c r="BC254">
        <v>15356267754831.699</v>
      </c>
      <c r="BD254">
        <v>18538276005119.793</v>
      </c>
      <c r="BE254">
        <v>19829689458382.633</v>
      </c>
      <c r="BF254">
        <v>21215649863990.145</v>
      </c>
      <c r="BG254">
        <v>21825453186268.684</v>
      </c>
      <c r="BH254">
        <v>20518584369299.016</v>
      </c>
      <c r="BI254">
        <v>20476321992810.5</v>
      </c>
      <c r="BJ254">
        <v>22654892975159.035</v>
      </c>
      <c r="BK254">
        <v>24340482542310.25</v>
      </c>
      <c r="BL254">
        <v>24792971685094.879</v>
      </c>
      <c r="BM254">
        <v>23928189369748.465</v>
      </c>
      <c r="BN254">
        <v>28475143446764.023</v>
      </c>
      <c r="BO254" s="190">
        <v>30055338614864.105</v>
      </c>
    </row>
    <row r="255" spans="1:67">
      <c r="A255" t="s">
        <v>986</v>
      </c>
      <c r="B255" t="s">
        <v>987</v>
      </c>
      <c r="C255" t="s">
        <v>1018</v>
      </c>
      <c r="D255" t="s">
        <v>1019</v>
      </c>
      <c r="E255">
        <v>1242289239.2049348</v>
      </c>
      <c r="F255">
        <v>1547388781.4313347</v>
      </c>
      <c r="G255">
        <v>1710004407.2278535</v>
      </c>
      <c r="H255">
        <v>1539681490.7817352</v>
      </c>
      <c r="I255">
        <v>1975701816.4661474</v>
      </c>
      <c r="J255">
        <v>1890767155.5262198</v>
      </c>
      <c r="K255">
        <v>1809185093.5518777</v>
      </c>
      <c r="L255">
        <v>1597713469.0961058</v>
      </c>
      <c r="M255">
        <v>1593674184.5628517</v>
      </c>
      <c r="N255">
        <v>2004435483.8709676</v>
      </c>
      <c r="O255">
        <v>2137096774.1935482</v>
      </c>
      <c r="P255">
        <v>2807258064.516129</v>
      </c>
      <c r="Q255">
        <v>2189418688.8040819</v>
      </c>
      <c r="R255">
        <v>3964296443.3525424</v>
      </c>
      <c r="S255">
        <v>4090209681.9717207</v>
      </c>
      <c r="T255">
        <v>3538278046.9623609</v>
      </c>
      <c r="U255">
        <v>3667161241.4837246</v>
      </c>
      <c r="V255">
        <v>4114670014.3471999</v>
      </c>
      <c r="W255">
        <v>4910254565.5783091</v>
      </c>
      <c r="X255">
        <v>7181182224.1122713</v>
      </c>
      <c r="Y255">
        <v>10163020115.734362</v>
      </c>
      <c r="Z255">
        <v>11048301420.630053</v>
      </c>
      <c r="AA255">
        <v>9178780076.9971333</v>
      </c>
      <c r="AB255">
        <v>5102276308.4531336</v>
      </c>
      <c r="AC255">
        <v>4850238549.6183233</v>
      </c>
      <c r="AD255">
        <v>4732025669.964674</v>
      </c>
      <c r="AE255">
        <v>5880106316.8263302</v>
      </c>
      <c r="AF255">
        <v>7367504969.9585295</v>
      </c>
      <c r="AG255">
        <v>8213526913.6628942</v>
      </c>
      <c r="AH255">
        <v>8438946947.6022758</v>
      </c>
      <c r="AI255">
        <v>9298806525.0990028</v>
      </c>
      <c r="AJ255">
        <v>11206174799.561888</v>
      </c>
      <c r="AK255">
        <v>12878150209.902861</v>
      </c>
      <c r="AL255">
        <v>15002138240.039232</v>
      </c>
      <c r="AM255">
        <v>17474590050.721157</v>
      </c>
      <c r="AN255">
        <v>19297663096.550636</v>
      </c>
      <c r="AO255">
        <v>20515457255.754646</v>
      </c>
      <c r="AP255">
        <v>23969738387.671894</v>
      </c>
      <c r="AQ255">
        <v>25385887785.585171</v>
      </c>
      <c r="AR255">
        <v>23983945190.620232</v>
      </c>
      <c r="AS255">
        <v>22823271520.870819</v>
      </c>
      <c r="AT255">
        <v>20898762265.265285</v>
      </c>
      <c r="AU255">
        <v>13606515935.951958</v>
      </c>
      <c r="AV255">
        <v>12045638209.51115</v>
      </c>
      <c r="AW255">
        <v>13686329890.119078</v>
      </c>
      <c r="AX255">
        <v>17362857683.854469</v>
      </c>
      <c r="AY255">
        <v>19741420466.539284</v>
      </c>
      <c r="AZ255">
        <v>23797773024.399231</v>
      </c>
      <c r="BA255">
        <v>31119603033.989124</v>
      </c>
      <c r="BB255">
        <v>32708318594.409977</v>
      </c>
      <c r="BC255">
        <v>41950361211.958061</v>
      </c>
      <c r="BD255">
        <v>50342405198.245766</v>
      </c>
      <c r="BE255">
        <v>54232266358.781075</v>
      </c>
      <c r="BF255">
        <v>61337620935.530479</v>
      </c>
      <c r="BG255">
        <v>61496186973.901993</v>
      </c>
      <c r="BH255">
        <v>57680328702.241035</v>
      </c>
      <c r="BI255">
        <v>57480788380.312042</v>
      </c>
      <c r="BJ255">
        <v>65006047680.322495</v>
      </c>
      <c r="BK255">
        <v>65203071110.603699</v>
      </c>
      <c r="BL255">
        <v>62048585618.504982</v>
      </c>
      <c r="BM255">
        <v>53666908479.55851</v>
      </c>
      <c r="BN255">
        <v>61412268248.946121</v>
      </c>
      <c r="BO255" s="190">
        <v>71177146197.495117</v>
      </c>
    </row>
    <row r="256" spans="1:67">
      <c r="A256" t="s">
        <v>988</v>
      </c>
      <c r="B256" t="s">
        <v>989</v>
      </c>
      <c r="C256" t="s">
        <v>1018</v>
      </c>
      <c r="D256" t="s">
        <v>1019</v>
      </c>
      <c r="E256">
        <v>543300000000</v>
      </c>
      <c r="F256">
        <v>563300000000</v>
      </c>
      <c r="G256">
        <v>605100000000</v>
      </c>
      <c r="H256">
        <v>638600000000</v>
      </c>
      <c r="I256">
        <v>685800000000</v>
      </c>
      <c r="J256">
        <v>743700000000</v>
      </c>
      <c r="K256">
        <v>815000000000</v>
      </c>
      <c r="L256">
        <v>861700000000</v>
      </c>
      <c r="M256">
        <v>942500000000</v>
      </c>
      <c r="N256">
        <v>1019900000000</v>
      </c>
      <c r="O256">
        <v>1073303000000</v>
      </c>
      <c r="P256">
        <v>1164850000000</v>
      </c>
      <c r="Q256">
        <v>1279110000000</v>
      </c>
      <c r="R256">
        <v>1425376000000</v>
      </c>
      <c r="S256">
        <v>1545243000000</v>
      </c>
      <c r="T256">
        <v>1684904000000</v>
      </c>
      <c r="U256">
        <v>1873412000000</v>
      </c>
      <c r="V256">
        <v>2081826000000</v>
      </c>
      <c r="W256">
        <v>2351599000000</v>
      </c>
      <c r="X256">
        <v>2627333000000</v>
      </c>
      <c r="Y256">
        <v>2857307000000</v>
      </c>
      <c r="Z256">
        <v>3207041000000</v>
      </c>
      <c r="AA256">
        <v>3343789000000</v>
      </c>
      <c r="AB256">
        <v>3634038000000</v>
      </c>
      <c r="AC256">
        <v>4037613000000</v>
      </c>
      <c r="AD256">
        <v>4338979000000</v>
      </c>
      <c r="AE256">
        <v>4579631000000</v>
      </c>
      <c r="AF256">
        <v>4855215000000</v>
      </c>
      <c r="AG256">
        <v>5236438000000</v>
      </c>
      <c r="AH256">
        <v>5641580000000</v>
      </c>
      <c r="AI256">
        <v>5963144000000</v>
      </c>
      <c r="AJ256">
        <v>6158129000000</v>
      </c>
      <c r="AK256">
        <v>6520327000000</v>
      </c>
      <c r="AL256">
        <v>6858559000000</v>
      </c>
      <c r="AM256">
        <v>7287236000000</v>
      </c>
      <c r="AN256">
        <v>7639749000000</v>
      </c>
      <c r="AO256">
        <v>8073122000000</v>
      </c>
      <c r="AP256">
        <v>8577554457000</v>
      </c>
      <c r="AQ256">
        <v>9062818202000</v>
      </c>
      <c r="AR256">
        <v>9631174489000</v>
      </c>
      <c r="AS256">
        <v>10250947997000</v>
      </c>
      <c r="AT256">
        <v>10581929774000</v>
      </c>
      <c r="AU256">
        <v>10929112955000</v>
      </c>
      <c r="AV256">
        <v>11456442041000</v>
      </c>
      <c r="AW256">
        <v>12217193198000</v>
      </c>
      <c r="AX256">
        <v>13039199193000</v>
      </c>
      <c r="AY256">
        <v>13815586948000</v>
      </c>
      <c r="AZ256">
        <v>14474226905000</v>
      </c>
      <c r="BA256">
        <v>14769857911000</v>
      </c>
      <c r="BB256">
        <v>14478064934000</v>
      </c>
      <c r="BC256">
        <v>15048964444000</v>
      </c>
      <c r="BD256">
        <v>15599728123000</v>
      </c>
      <c r="BE256">
        <v>16253972230000</v>
      </c>
      <c r="BF256">
        <v>16843190993000</v>
      </c>
      <c r="BG256">
        <v>17550680174000</v>
      </c>
      <c r="BH256">
        <v>18206020741000</v>
      </c>
      <c r="BI256">
        <v>18695110842000</v>
      </c>
      <c r="BJ256">
        <v>19477336549000</v>
      </c>
      <c r="BK256">
        <v>20533057312000</v>
      </c>
      <c r="BL256">
        <v>21380976119000</v>
      </c>
      <c r="BM256">
        <v>21060473613000</v>
      </c>
      <c r="BN256">
        <v>23315080560000</v>
      </c>
      <c r="BO256" s="190">
        <v>25462700000000</v>
      </c>
    </row>
    <row r="257" spans="1:68">
      <c r="A257" t="s">
        <v>990</v>
      </c>
      <c r="B257" t="s">
        <v>991</v>
      </c>
      <c r="C257" t="s">
        <v>1018</v>
      </c>
      <c r="D257" t="s">
        <v>1019</v>
      </c>
      <c r="AI257">
        <v>13360607990.675097</v>
      </c>
      <c r="AJ257">
        <v>13677622222.222223</v>
      </c>
      <c r="AK257">
        <v>12941297376.093296</v>
      </c>
      <c r="AL257">
        <v>13099013835.511147</v>
      </c>
      <c r="AM257">
        <v>12899156990.615555</v>
      </c>
      <c r="AN257">
        <v>13350468917.411453</v>
      </c>
      <c r="AO257">
        <v>13948892215.568863</v>
      </c>
      <c r="AP257">
        <v>14744603773.584906</v>
      </c>
      <c r="AQ257">
        <v>14988971210.838272</v>
      </c>
      <c r="AR257">
        <v>17078465982.028242</v>
      </c>
      <c r="AS257">
        <v>13760513969.314003</v>
      </c>
      <c r="AT257">
        <v>11401421329.197435</v>
      </c>
      <c r="AU257">
        <v>9687788512.8018417</v>
      </c>
      <c r="AV257">
        <v>10134453435.460291</v>
      </c>
      <c r="AW257">
        <v>12030023547.88069</v>
      </c>
      <c r="AX257">
        <v>14307509838.805326</v>
      </c>
      <c r="AY257">
        <v>17330833852.918976</v>
      </c>
      <c r="AZ257">
        <v>22311393927.881721</v>
      </c>
      <c r="BA257">
        <v>29549438883.83379</v>
      </c>
      <c r="BB257">
        <v>33689223673.257736</v>
      </c>
      <c r="BC257">
        <v>49765676402.449455</v>
      </c>
      <c r="BD257">
        <v>60178909297.208008</v>
      </c>
      <c r="BE257">
        <v>67517349212.060921</v>
      </c>
      <c r="BF257">
        <v>73180037913.032532</v>
      </c>
      <c r="BG257">
        <v>80845385816.206192</v>
      </c>
      <c r="BH257">
        <v>86196264741.942322</v>
      </c>
      <c r="BI257">
        <v>86138288633.224091</v>
      </c>
      <c r="BJ257">
        <v>62081322741.12281</v>
      </c>
      <c r="BK257">
        <v>52870108217.56263</v>
      </c>
      <c r="BL257">
        <v>60283503705.390671</v>
      </c>
      <c r="BM257">
        <v>60224701295.798332</v>
      </c>
      <c r="BN257">
        <v>69600614988.603882</v>
      </c>
      <c r="BO257" s="190">
        <v>80391853884.763992</v>
      </c>
    </row>
    <row r="258" spans="1:68">
      <c r="A258" t="s">
        <v>992</v>
      </c>
      <c r="B258" t="s">
        <v>993</v>
      </c>
      <c r="C258" t="s">
        <v>1018</v>
      </c>
      <c r="D258" t="s">
        <v>1019</v>
      </c>
      <c r="E258">
        <v>13066633.994637216</v>
      </c>
      <c r="F258">
        <v>13999964.994254161</v>
      </c>
      <c r="G258">
        <v>14524963.681538692</v>
      </c>
      <c r="H258">
        <v>13708299.056873865</v>
      </c>
      <c r="I258">
        <v>14758296.431442928</v>
      </c>
      <c r="J258">
        <v>15108295.55629928</v>
      </c>
      <c r="K258">
        <v>16099959.743392285</v>
      </c>
      <c r="L258">
        <v>15835103.030105688</v>
      </c>
      <c r="M258">
        <v>15349999.992324999</v>
      </c>
      <c r="N258">
        <v>16649999.991674997</v>
      </c>
      <c r="O258">
        <v>18449999.990775</v>
      </c>
      <c r="P258">
        <v>20051925.034989089</v>
      </c>
      <c r="Q258">
        <v>27585802.719119396</v>
      </c>
      <c r="R258">
        <v>30165077.452595372</v>
      </c>
      <c r="S258">
        <v>32923696.177582305</v>
      </c>
      <c r="T258">
        <v>33237228.556405962</v>
      </c>
      <c r="U258">
        <v>32792846.779526368</v>
      </c>
      <c r="V258">
        <v>49353161.851851851</v>
      </c>
      <c r="W258">
        <v>60844771.481481478</v>
      </c>
      <c r="X258">
        <v>71096359.629629627</v>
      </c>
      <c r="Y258">
        <v>82340339.629629627</v>
      </c>
      <c r="Z258">
        <v>102086539.25925925</v>
      </c>
      <c r="AA258">
        <v>113759203.33333333</v>
      </c>
      <c r="AB258">
        <v>122255349.62962963</v>
      </c>
      <c r="AC258">
        <v>135024987.77777776</v>
      </c>
      <c r="AD258">
        <v>145641705.18518516</v>
      </c>
      <c r="AE258">
        <v>160846656.66666666</v>
      </c>
      <c r="AF258">
        <v>175580647.4074074</v>
      </c>
      <c r="AG258">
        <v>200726712.59259257</v>
      </c>
      <c r="AH258">
        <v>214745002.22222221</v>
      </c>
      <c r="AI258">
        <v>240366666.66666666</v>
      </c>
      <c r="AJ258">
        <v>254829629.62962961</v>
      </c>
      <c r="AK258">
        <v>277955555.55555552</v>
      </c>
      <c r="AL258">
        <v>286307407.4074074</v>
      </c>
      <c r="AM258">
        <v>289437037.03703701</v>
      </c>
      <c r="AN258">
        <v>316007407.4074074</v>
      </c>
      <c r="AO258">
        <v>331488888.8888889</v>
      </c>
      <c r="AP258">
        <v>347770370.37037033</v>
      </c>
      <c r="AQ258">
        <v>373618518.51851851</v>
      </c>
      <c r="AR258">
        <v>390718518.51851851</v>
      </c>
      <c r="AS258">
        <v>427946037.03703701</v>
      </c>
      <c r="AT258">
        <v>462072333.33333331</v>
      </c>
      <c r="AU258">
        <v>487763851.85185182</v>
      </c>
      <c r="AV258">
        <v>509090888.88888884</v>
      </c>
      <c r="AW258">
        <v>549900185.18518519</v>
      </c>
      <c r="AX258">
        <v>579948925.92592585</v>
      </c>
      <c r="AY258">
        <v>643501148.14814806</v>
      </c>
      <c r="AZ258">
        <v>713596666.66666663</v>
      </c>
      <c r="BA258">
        <v>732663259.25925922</v>
      </c>
      <c r="BB258">
        <v>714300259.25925922</v>
      </c>
      <c r="BC258">
        <v>720447888.88888884</v>
      </c>
      <c r="BD258">
        <v>713796370.37037027</v>
      </c>
      <c r="BE258">
        <v>730032592.5925926</v>
      </c>
      <c r="BF258">
        <v>764781259.25925922</v>
      </c>
      <c r="BG258">
        <v>770901436.44111836</v>
      </c>
      <c r="BH258">
        <v>786554580.79686666</v>
      </c>
      <c r="BI258">
        <v>814302267.07334816</v>
      </c>
      <c r="BJ258">
        <v>844039068.75753331</v>
      </c>
      <c r="BK258">
        <v>884328180.52693331</v>
      </c>
      <c r="BL258">
        <v>910765709.76875174</v>
      </c>
      <c r="BM258">
        <v>869111852.75177777</v>
      </c>
      <c r="BN258">
        <v>872226063.70550358</v>
      </c>
      <c r="BO258" s="190">
        <v>948558503.1263777</v>
      </c>
    </row>
    <row r="259" spans="1:68">
      <c r="A259" t="s">
        <v>994</v>
      </c>
      <c r="B259" t="s">
        <v>995</v>
      </c>
      <c r="C259" t="s">
        <v>1018</v>
      </c>
      <c r="D259" t="s">
        <v>1019</v>
      </c>
      <c r="E259">
        <v>7663938303.0717154</v>
      </c>
      <c r="F259">
        <v>8067267030.6186256</v>
      </c>
      <c r="G259">
        <v>8814309884.211647</v>
      </c>
      <c r="H259">
        <v>9608717288.1705704</v>
      </c>
      <c r="I259">
        <v>8192413793.1034489</v>
      </c>
      <c r="J259">
        <v>8427777777.7777786</v>
      </c>
      <c r="K259">
        <v>8781333333.333334</v>
      </c>
      <c r="L259">
        <v>9250000000</v>
      </c>
      <c r="M259">
        <v>10034444444.444445</v>
      </c>
      <c r="N259">
        <v>10285111111.111113</v>
      </c>
      <c r="O259">
        <v>11561111111.111113</v>
      </c>
      <c r="P259">
        <v>12986590909.090908</v>
      </c>
      <c r="Q259">
        <v>13977727272.727272</v>
      </c>
      <c r="R259">
        <v>17035581395.348837</v>
      </c>
      <c r="S259">
        <v>26100930232.55814</v>
      </c>
      <c r="T259">
        <v>27464651162.790699</v>
      </c>
      <c r="U259">
        <v>31419534883.720932</v>
      </c>
      <c r="V259">
        <v>36210697674.418602</v>
      </c>
      <c r="W259">
        <v>39316279069.767441</v>
      </c>
      <c r="X259">
        <v>48310930232.558136</v>
      </c>
      <c r="Y259">
        <v>59116511627.906975</v>
      </c>
      <c r="Z259">
        <v>66327441860.465118</v>
      </c>
      <c r="AA259">
        <v>67736744186.046509</v>
      </c>
      <c r="AB259">
        <v>67556279069.767441</v>
      </c>
      <c r="AC259">
        <v>59867743467.933464</v>
      </c>
      <c r="AD259">
        <v>61965466666.666672</v>
      </c>
      <c r="AE259">
        <v>60516123711.340233</v>
      </c>
      <c r="AF259">
        <v>48029034482.758621</v>
      </c>
      <c r="AG259">
        <v>60226413793.103447</v>
      </c>
      <c r="AH259">
        <v>43536709104.01149</v>
      </c>
      <c r="AI259">
        <v>48606952194.775154</v>
      </c>
      <c r="AJ259">
        <v>53453444786.625603</v>
      </c>
      <c r="AK259">
        <v>60416519619.790428</v>
      </c>
      <c r="AL259">
        <v>60037460783.414345</v>
      </c>
      <c r="AM259">
        <v>58418666666.666672</v>
      </c>
      <c r="AN259">
        <v>77389487771.546906</v>
      </c>
      <c r="AO259">
        <v>70543211119.098969</v>
      </c>
      <c r="AP259">
        <v>85837678559.246948</v>
      </c>
      <c r="AQ259">
        <v>91336763255.615707</v>
      </c>
      <c r="AR259">
        <v>97972842461.513077</v>
      </c>
      <c r="AS259">
        <v>117146466003.23538</v>
      </c>
      <c r="AT259">
        <v>122911036746.16251</v>
      </c>
      <c r="AU259">
        <v>92893587733.654922</v>
      </c>
      <c r="AV259">
        <v>83620628582.108154</v>
      </c>
      <c r="AW259">
        <v>112451400422.98222</v>
      </c>
      <c r="AX259">
        <v>145513489651.87222</v>
      </c>
      <c r="AY259">
        <v>183477522123.89383</v>
      </c>
      <c r="AZ259">
        <v>230364012575.68701</v>
      </c>
      <c r="BA259">
        <v>315953388510.67798</v>
      </c>
      <c r="BB259">
        <v>329787628928.4715</v>
      </c>
      <c r="BC259">
        <v>393192354510.65308</v>
      </c>
      <c r="BD259">
        <v>316482190800.36371</v>
      </c>
      <c r="BE259">
        <v>381286237847.66748</v>
      </c>
      <c r="BF259">
        <v>371005379786.56622</v>
      </c>
      <c r="BG259">
        <v>482359318767.70313</v>
      </c>
    </row>
    <row r="260" spans="1:68">
      <c r="A260" t="s">
        <v>996</v>
      </c>
      <c r="B260" t="s">
        <v>997</v>
      </c>
      <c r="C260" t="s">
        <v>1018</v>
      </c>
      <c r="D260" t="s">
        <v>1019</v>
      </c>
    </row>
    <row r="261" spans="1:68">
      <c r="A261" t="s">
        <v>998</v>
      </c>
      <c r="B261" t="s">
        <v>999</v>
      </c>
      <c r="C261" t="s">
        <v>1018</v>
      </c>
      <c r="D261" t="s">
        <v>1019</v>
      </c>
      <c r="AU261">
        <v>3262000000</v>
      </c>
      <c r="AV261">
        <v>3443000000</v>
      </c>
      <c r="AW261">
        <v>3797000000</v>
      </c>
      <c r="AX261">
        <v>4428000000</v>
      </c>
      <c r="AY261">
        <v>4484000000</v>
      </c>
      <c r="AZ261">
        <v>4784000000</v>
      </c>
      <c r="BA261">
        <v>4244000000</v>
      </c>
      <c r="BB261">
        <v>4201000000</v>
      </c>
      <c r="BC261">
        <v>4324000000</v>
      </c>
      <c r="BD261">
        <v>4223000000</v>
      </c>
      <c r="BE261">
        <v>4089000000</v>
      </c>
      <c r="BF261">
        <v>3738000000</v>
      </c>
      <c r="BG261">
        <v>3565000000</v>
      </c>
      <c r="BH261">
        <v>3663000000</v>
      </c>
      <c r="BI261">
        <v>3798000000</v>
      </c>
      <c r="BJ261">
        <v>3794000000</v>
      </c>
      <c r="BK261">
        <v>3922000000</v>
      </c>
      <c r="BL261">
        <v>4117000000</v>
      </c>
      <c r="BM261">
        <v>4204000000</v>
      </c>
    </row>
    <row r="262" spans="1:68">
      <c r="A262" t="s">
        <v>1000</v>
      </c>
      <c r="B262" t="s">
        <v>1001</v>
      </c>
      <c r="C262" t="s">
        <v>1018</v>
      </c>
      <c r="D262" t="s">
        <v>1019</v>
      </c>
      <c r="AD262">
        <v>14094687820.744488</v>
      </c>
      <c r="AE262">
        <v>26336616250.439678</v>
      </c>
      <c r="AF262">
        <v>36658108850.31485</v>
      </c>
      <c r="AG262">
        <v>25423812648.594105</v>
      </c>
      <c r="AH262">
        <v>6293304974.5940266</v>
      </c>
      <c r="AI262">
        <v>6471740805.5698404</v>
      </c>
      <c r="AJ262">
        <v>9613369520.4188499</v>
      </c>
      <c r="AK262">
        <v>9866990236.4358749</v>
      </c>
      <c r="AL262">
        <v>13180953598.171595</v>
      </c>
      <c r="AM262">
        <v>16286433533.322754</v>
      </c>
      <c r="AN262">
        <v>20736164458.950462</v>
      </c>
      <c r="AO262">
        <v>24657470574.750126</v>
      </c>
      <c r="AP262">
        <v>26843700441.548199</v>
      </c>
      <c r="AQ262">
        <v>27209602050.045223</v>
      </c>
      <c r="AR262">
        <v>28683659006.775219</v>
      </c>
      <c r="AS262">
        <v>31172518403.316227</v>
      </c>
      <c r="AT262">
        <v>32685198809.29467</v>
      </c>
      <c r="AU262">
        <v>35064105500.83445</v>
      </c>
      <c r="AV262">
        <v>39552513231.066902</v>
      </c>
      <c r="AW262">
        <v>45427854693.255432</v>
      </c>
      <c r="AX262">
        <v>57633255739.410408</v>
      </c>
      <c r="AY262">
        <v>66371664817.043625</v>
      </c>
      <c r="AZ262">
        <v>77414425532.245163</v>
      </c>
      <c r="BA262">
        <v>99130304099.127426</v>
      </c>
      <c r="BB262">
        <v>106014659563.14328</v>
      </c>
      <c r="BC262">
        <v>147201164066.17242</v>
      </c>
      <c r="BD262">
        <v>172595034069.16223</v>
      </c>
      <c r="BE262">
        <v>195590647205.68466</v>
      </c>
      <c r="BF262">
        <v>213708830776.9472</v>
      </c>
      <c r="BG262">
        <v>233451484773.97391</v>
      </c>
      <c r="BH262">
        <v>239258340825.53262</v>
      </c>
      <c r="BI262">
        <v>257096001174.07529</v>
      </c>
      <c r="BJ262">
        <v>281353626107.24457</v>
      </c>
      <c r="BK262">
        <v>310106472642.96826</v>
      </c>
      <c r="BL262">
        <v>334365257920.28882</v>
      </c>
      <c r="BM262">
        <v>346615750166.55322</v>
      </c>
      <c r="BN262">
        <v>366137590717.80438</v>
      </c>
      <c r="BO262" s="190">
        <v>408802379068.22858</v>
      </c>
    </row>
    <row r="263" spans="1:68">
      <c r="A263" t="s">
        <v>1002</v>
      </c>
      <c r="B263" t="s">
        <v>1003</v>
      </c>
      <c r="C263" t="s">
        <v>1018</v>
      </c>
      <c r="D263" t="s">
        <v>1019</v>
      </c>
      <c r="X263">
        <v>119258835.3355246</v>
      </c>
      <c r="Y263">
        <v>121185497.5692614</v>
      </c>
      <c r="Z263">
        <v>113781795.82356022</v>
      </c>
      <c r="AA263">
        <v>114501912.52286713</v>
      </c>
      <c r="AB263">
        <v>117389554.19140585</v>
      </c>
      <c r="AC263">
        <v>144482515.36833617</v>
      </c>
      <c r="AD263">
        <v>131856420.70318395</v>
      </c>
      <c r="AE263">
        <v>126498935.33564945</v>
      </c>
      <c r="AF263">
        <v>139464173.54732406</v>
      </c>
      <c r="AG263">
        <v>158351368.43314883</v>
      </c>
      <c r="AH263">
        <v>154013202.11647508</v>
      </c>
      <c r="AI263">
        <v>168879207.24414828</v>
      </c>
      <c r="AJ263">
        <v>201334169.05444124</v>
      </c>
      <c r="AK263">
        <v>209088824.60843799</v>
      </c>
      <c r="AL263">
        <v>200491853.16784695</v>
      </c>
      <c r="AM263">
        <v>233701301.49048579</v>
      </c>
      <c r="AN263">
        <v>249333250.08250749</v>
      </c>
      <c r="AO263">
        <v>261370044.48661375</v>
      </c>
      <c r="AP263">
        <v>272771209.11366183</v>
      </c>
      <c r="AQ263">
        <v>262293410.70833415</v>
      </c>
      <c r="AR263">
        <v>268006972.69029635</v>
      </c>
      <c r="AS263">
        <v>272014627.17651969</v>
      </c>
      <c r="AT263">
        <v>257926881.72043011</v>
      </c>
      <c r="AU263">
        <v>262596534.92019841</v>
      </c>
      <c r="AV263">
        <v>314471413.85965663</v>
      </c>
      <c r="AW263">
        <v>364996869.12961799</v>
      </c>
      <c r="AX263">
        <v>394962431.82425082</v>
      </c>
      <c r="AY263">
        <v>439358585.21191072</v>
      </c>
      <c r="AZ263">
        <v>516392922.5137279</v>
      </c>
      <c r="BA263">
        <v>590748431.34513497</v>
      </c>
      <c r="BB263">
        <v>592622317.29500771</v>
      </c>
      <c r="BC263">
        <v>670712977.37494326</v>
      </c>
      <c r="BD263">
        <v>770153591.0881772</v>
      </c>
      <c r="BE263">
        <v>747839697.74659288</v>
      </c>
      <c r="BF263">
        <v>758304466.24533939</v>
      </c>
      <c r="BG263">
        <v>772315986.47047687</v>
      </c>
      <c r="BH263">
        <v>730870805.20234966</v>
      </c>
      <c r="BI263">
        <v>780889605.89997697</v>
      </c>
      <c r="BJ263">
        <v>880061830.96958959</v>
      </c>
      <c r="BK263">
        <v>914736985.43094444</v>
      </c>
      <c r="BL263">
        <v>936526267.62251318</v>
      </c>
      <c r="BM263">
        <v>909421043.508407</v>
      </c>
      <c r="BN263">
        <v>971636097.85066581</v>
      </c>
      <c r="BO263" s="190">
        <v>983582864.56079626</v>
      </c>
    </row>
    <row r="264" spans="1:68">
      <c r="A264" s="185" t="s">
        <v>198</v>
      </c>
      <c r="B264" s="185" t="s">
        <v>1004</v>
      </c>
      <c r="C264" s="185" t="s">
        <v>1018</v>
      </c>
      <c r="D264" s="185" t="s">
        <v>1019</v>
      </c>
      <c r="E264" s="185">
        <v>1384857385930.8176</v>
      </c>
      <c r="F264" s="185">
        <v>1449220624663.5417</v>
      </c>
      <c r="G264" s="185">
        <v>1550815493822.9912</v>
      </c>
      <c r="H264" s="185">
        <v>1671446748430.3962</v>
      </c>
      <c r="I264" s="185">
        <v>1830491675385.5503</v>
      </c>
      <c r="J264" s="185">
        <v>1994103484703.3076</v>
      </c>
      <c r="K264" s="185">
        <v>2164118096871.4185</v>
      </c>
      <c r="L264" s="185">
        <v>2302576793880.1343</v>
      </c>
      <c r="M264" s="185">
        <v>2484674455063.3574</v>
      </c>
      <c r="N264" s="185">
        <v>2740499243838.1499</v>
      </c>
      <c r="O264" s="185">
        <v>2997270495500.0977</v>
      </c>
      <c r="P264" s="185">
        <v>3310475491926.6362</v>
      </c>
      <c r="Q264" s="185">
        <v>3816822738898.9043</v>
      </c>
      <c r="R264" s="185">
        <v>4657445187869.5635</v>
      </c>
      <c r="S264" s="185">
        <v>5366817636381.2324</v>
      </c>
      <c r="T264" s="185">
        <v>5977972780215.2285</v>
      </c>
      <c r="U264" s="185">
        <v>6498746015379.6338</v>
      </c>
      <c r="V264" s="185">
        <v>7349730997168.2695</v>
      </c>
      <c r="W264" s="185">
        <v>8690496944982.1641</v>
      </c>
      <c r="X264" s="185">
        <v>10053770929849.979</v>
      </c>
      <c r="Y264" s="185">
        <v>11337132638434.094</v>
      </c>
      <c r="Z264" s="185">
        <v>11728414403391.592</v>
      </c>
      <c r="AA264" s="185">
        <v>11610171959211.809</v>
      </c>
      <c r="AB264" s="185">
        <v>11840481044980.535</v>
      </c>
      <c r="AC264" s="185">
        <v>12311633033275.502</v>
      </c>
      <c r="AD264" s="185">
        <v>12897178603739.473</v>
      </c>
      <c r="AE264" s="185">
        <v>15252515336773.885</v>
      </c>
      <c r="AF264" s="185">
        <v>17372959408471.885</v>
      </c>
      <c r="AG264" s="185">
        <v>19394022898346.969</v>
      </c>
      <c r="AH264" s="185">
        <v>20266663642625.508</v>
      </c>
      <c r="AI264" s="185">
        <v>22861712031487.832</v>
      </c>
      <c r="AJ264" s="185">
        <v>23834453957464.648</v>
      </c>
      <c r="AK264" s="185">
        <v>25484024569814.195</v>
      </c>
      <c r="AL264" s="185">
        <v>25905901713516.988</v>
      </c>
      <c r="AM264" s="185">
        <v>27899567789057.359</v>
      </c>
      <c r="AN264" s="185">
        <v>31051499245623.391</v>
      </c>
      <c r="AO264" s="185">
        <v>31745724938568.602</v>
      </c>
      <c r="AP264" s="185">
        <v>31629694547537.621</v>
      </c>
      <c r="AQ264" s="185">
        <v>31552853706969.633</v>
      </c>
      <c r="AR264" s="185">
        <v>32752012211615.945</v>
      </c>
      <c r="AS264" s="185">
        <v>33845583188359.871</v>
      </c>
      <c r="AT264" s="185">
        <v>33631012546213.133</v>
      </c>
      <c r="AU264" s="185">
        <v>34925116624464.398</v>
      </c>
      <c r="AV264" s="185">
        <v>39161645364740.602</v>
      </c>
      <c r="AW264" s="185">
        <v>44133615904574.914</v>
      </c>
      <c r="AX264" s="185">
        <v>47793587715631.094</v>
      </c>
      <c r="AY264" s="185">
        <v>51791096256796.523</v>
      </c>
      <c r="AZ264" s="185">
        <v>58361096784020.219</v>
      </c>
      <c r="BA264" s="185">
        <v>64135192896903.234</v>
      </c>
      <c r="BB264" s="185">
        <v>60817919586141.297</v>
      </c>
      <c r="BC264" s="185">
        <v>66619781549531.813</v>
      </c>
      <c r="BD264" s="185">
        <v>73881739609759.484</v>
      </c>
      <c r="BE264" s="185">
        <v>75525948524603.422</v>
      </c>
      <c r="BF264" s="185">
        <v>77635152493358.266</v>
      </c>
      <c r="BG264" s="185">
        <v>79756517210010.938</v>
      </c>
      <c r="BH264" s="185">
        <v>75215062596594.906</v>
      </c>
      <c r="BI264" s="185">
        <v>76486454870400.406</v>
      </c>
      <c r="BJ264" s="185">
        <v>81442048665487.875</v>
      </c>
      <c r="BK264" s="185">
        <v>86502223934428.281</v>
      </c>
      <c r="BL264" s="185">
        <v>87728102156403.016</v>
      </c>
      <c r="BM264" s="185">
        <v>85215150558552.109</v>
      </c>
      <c r="BN264" s="185">
        <v>96882397612409.188</v>
      </c>
      <c r="BO264" s="191">
        <v>100562011134033.94</v>
      </c>
      <c r="BP264" s="130">
        <f>BO185/BO264</f>
        <v>2.4585233623633635E-3</v>
      </c>
    </row>
    <row r="265" spans="1:68">
      <c r="A265" t="s">
        <v>1005</v>
      </c>
      <c r="B265" t="s">
        <v>1006</v>
      </c>
      <c r="C265" t="s">
        <v>1018</v>
      </c>
      <c r="D265" t="s">
        <v>1019</v>
      </c>
      <c r="AA265">
        <v>121221651.61931582</v>
      </c>
      <c r="AB265">
        <v>111862823.57497902</v>
      </c>
      <c r="AC265">
        <v>109200934.32851849</v>
      </c>
      <c r="AD265">
        <v>95572172.983565673</v>
      </c>
      <c r="AE265">
        <v>100947848.6447804</v>
      </c>
      <c r="AF265">
        <v>111713922.14157791</v>
      </c>
      <c r="AG265">
        <v>133016065.41606541</v>
      </c>
      <c r="AH265">
        <v>122888609.71524288</v>
      </c>
      <c r="AI265">
        <v>125766269.75535831</v>
      </c>
      <c r="AJ265">
        <v>125597205.42231491</v>
      </c>
      <c r="AK265">
        <v>132303041.36253041</v>
      </c>
      <c r="AL265">
        <v>133122897.19626167</v>
      </c>
      <c r="AM265">
        <v>221098106.50887573</v>
      </c>
      <c r="AN265">
        <v>224865731.38190347</v>
      </c>
      <c r="AO265">
        <v>249907893.81519219</v>
      </c>
      <c r="AP265">
        <v>285475620.92950338</v>
      </c>
      <c r="AQ265">
        <v>269485284.955621</v>
      </c>
      <c r="AR265">
        <v>255408053.16629043</v>
      </c>
      <c r="AS265">
        <v>258856139.79848865</v>
      </c>
      <c r="AT265">
        <v>266299591.47942805</v>
      </c>
      <c r="AU265">
        <v>281790139.02703452</v>
      </c>
      <c r="AV265">
        <v>333426144.54076481</v>
      </c>
      <c r="AW265">
        <v>407747521.11642903</v>
      </c>
      <c r="AX265">
        <v>476801793.15942883</v>
      </c>
      <c r="AY265">
        <v>499923757.78073615</v>
      </c>
      <c r="AZ265">
        <v>573548459.83337152</v>
      </c>
      <c r="BA265">
        <v>641346191.66477573</v>
      </c>
      <c r="BB265">
        <v>628006115.42405164</v>
      </c>
      <c r="BC265">
        <v>680260919.87894487</v>
      </c>
      <c r="BD265">
        <v>744096948.49225867</v>
      </c>
      <c r="BE265">
        <v>773141695.14844954</v>
      </c>
      <c r="BF265">
        <v>797736265.91941822</v>
      </c>
      <c r="BG265">
        <v>796683672.7534802</v>
      </c>
      <c r="BH265">
        <v>824150487.2105664</v>
      </c>
      <c r="BI265">
        <v>843924750.67353523</v>
      </c>
      <c r="BJ265">
        <v>884844419.77889144</v>
      </c>
      <c r="BK265">
        <v>878448439.45372391</v>
      </c>
      <c r="BL265">
        <v>912950619.37186813</v>
      </c>
      <c r="BM265">
        <v>868898350.35666382</v>
      </c>
      <c r="BN265">
        <v>843850777.82385385</v>
      </c>
      <c r="BO265" s="190">
        <v>832421565.37235618</v>
      </c>
    </row>
    <row r="266" spans="1:68">
      <c r="A266" t="s">
        <v>1007</v>
      </c>
      <c r="B266" t="s">
        <v>1008</v>
      </c>
      <c r="C266" t="s">
        <v>1018</v>
      </c>
      <c r="D266" t="s">
        <v>1019</v>
      </c>
      <c r="BA266">
        <v>5181776768.7124653</v>
      </c>
      <c r="BB266">
        <v>5015894692.9702692</v>
      </c>
      <c r="BC266">
        <v>5343950626.1666765</v>
      </c>
      <c r="BD266">
        <v>6341614504.5914526</v>
      </c>
      <c r="BE266">
        <v>6163483291.0804701</v>
      </c>
      <c r="BF266">
        <v>6735327512.0517836</v>
      </c>
      <c r="BG266">
        <v>7074392884.0450735</v>
      </c>
      <c r="BH266">
        <v>6295845465.3589811</v>
      </c>
      <c r="BI266">
        <v>6682674062.9614954</v>
      </c>
      <c r="BJ266">
        <v>7180768692.2635422</v>
      </c>
      <c r="BK266">
        <v>7878762812.2015629</v>
      </c>
      <c r="BL266">
        <v>7899741278.9357052</v>
      </c>
      <c r="BM266">
        <v>7717143395.2569933</v>
      </c>
      <c r="BN266">
        <v>9412034299.2312241</v>
      </c>
      <c r="BO266" s="190">
        <v>9429156201.9585133</v>
      </c>
    </row>
    <row r="267" spans="1:68">
      <c r="A267" t="s">
        <v>1009</v>
      </c>
      <c r="B267" t="s">
        <v>1010</v>
      </c>
      <c r="C267" t="s">
        <v>1018</v>
      </c>
      <c r="D267" t="s">
        <v>1019</v>
      </c>
      <c r="AI267">
        <v>5647119229.0076303</v>
      </c>
      <c r="AJ267">
        <v>5930370370.3703699</v>
      </c>
      <c r="AK267">
        <v>6463649985.0164804</v>
      </c>
      <c r="AL267">
        <v>5368270614.8467999</v>
      </c>
      <c r="AM267">
        <v>4167356037.1517</v>
      </c>
      <c r="AN267">
        <v>4258788725.4499102</v>
      </c>
      <c r="AO267">
        <v>5785685310.8666801</v>
      </c>
      <c r="AP267">
        <v>6838557384.4035702</v>
      </c>
      <c r="AQ267">
        <v>6325141675.8698902</v>
      </c>
      <c r="AR267">
        <v>7641102523.1508198</v>
      </c>
      <c r="AS267">
        <v>9652436179.6460495</v>
      </c>
      <c r="AT267">
        <v>9861560094.7400894</v>
      </c>
      <c r="AU267">
        <v>10694628091.6726</v>
      </c>
      <c r="AV267">
        <v>11777966673.3897</v>
      </c>
      <c r="AW267">
        <v>13872791658.5487</v>
      </c>
      <c r="AX267">
        <v>16746347681.007401</v>
      </c>
      <c r="AY267">
        <v>19061978586.1278</v>
      </c>
      <c r="AZ267">
        <v>21650532264.232201</v>
      </c>
      <c r="BA267">
        <v>26910855852.192299</v>
      </c>
      <c r="BB267">
        <v>25130278253.853401</v>
      </c>
      <c r="BC267">
        <v>30906749533.221001</v>
      </c>
      <c r="BD267">
        <v>32726417878.390999</v>
      </c>
      <c r="BE267">
        <v>35401323349.881699</v>
      </c>
      <c r="BF267">
        <v>40415233436.176697</v>
      </c>
      <c r="BG267">
        <v>43228585321.327202</v>
      </c>
      <c r="BH267">
        <v>42444489460.938698</v>
      </c>
      <c r="BI267">
        <v>31317824906.435799</v>
      </c>
      <c r="BJ267">
        <v>26842231204.804699</v>
      </c>
      <c r="BK267">
        <v>21606161066.207401</v>
      </c>
    </row>
    <row r="268" spans="1:68">
      <c r="A268" t="s">
        <v>1011</v>
      </c>
      <c r="B268" t="s">
        <v>1012</v>
      </c>
      <c r="C268" t="s">
        <v>1018</v>
      </c>
      <c r="D268" t="s">
        <v>1019</v>
      </c>
      <c r="E268">
        <v>8748596504.060833</v>
      </c>
      <c r="F268">
        <v>9225996313.2918701</v>
      </c>
      <c r="G268">
        <v>9813996078.3271637</v>
      </c>
      <c r="H268">
        <v>10854195662.66341</v>
      </c>
      <c r="I268">
        <v>11955995222.384304</v>
      </c>
      <c r="J268">
        <v>13068994777.629683</v>
      </c>
      <c r="K268">
        <v>14211394321.126823</v>
      </c>
      <c r="L268">
        <v>15821393677.77108</v>
      </c>
      <c r="M268">
        <v>17124793156.932648</v>
      </c>
      <c r="N268">
        <v>19256992304.905869</v>
      </c>
      <c r="O268">
        <v>21218391521.130741</v>
      </c>
      <c r="P268">
        <v>23411079377.315788</v>
      </c>
      <c r="Q268">
        <v>24515911652.311501</v>
      </c>
      <c r="R268">
        <v>33262767309.80825</v>
      </c>
      <c r="S268">
        <v>41389185877.123459</v>
      </c>
      <c r="T268">
        <v>42906919870.346916</v>
      </c>
      <c r="U268">
        <v>41150449964.217003</v>
      </c>
      <c r="V268">
        <v>45328399960.584</v>
      </c>
      <c r="W268">
        <v>51607399955.124001</v>
      </c>
      <c r="X268">
        <v>63038687890.353218</v>
      </c>
      <c r="Y268">
        <v>89411894563.7285</v>
      </c>
      <c r="Z268">
        <v>93141478239.098877</v>
      </c>
      <c r="AA268">
        <v>85904070614.930527</v>
      </c>
      <c r="AB268">
        <v>96204110963.155029</v>
      </c>
      <c r="AC268">
        <v>84870134616.177322</v>
      </c>
      <c r="AD268">
        <v>64459376103.559776</v>
      </c>
      <c r="AE268">
        <v>73354782108.054718</v>
      </c>
      <c r="AF268">
        <v>96535747613.824417</v>
      </c>
      <c r="AG268">
        <v>103976854738.4117</v>
      </c>
      <c r="AH268">
        <v>108055603481.55653</v>
      </c>
      <c r="AI268">
        <v>126048148261.47398</v>
      </c>
      <c r="AJ268">
        <v>135203698237.97719</v>
      </c>
      <c r="AK268">
        <v>146956142398.77823</v>
      </c>
      <c r="AL268">
        <v>147194766334.41473</v>
      </c>
      <c r="AM268">
        <v>153512697970.73819</v>
      </c>
      <c r="AN268">
        <v>171735933897.33078</v>
      </c>
      <c r="AO268">
        <v>163234919052.67044</v>
      </c>
      <c r="AP268">
        <v>168978069551.35971</v>
      </c>
      <c r="AQ268">
        <v>152982979945.10342</v>
      </c>
      <c r="AR268">
        <v>151516952945.15445</v>
      </c>
      <c r="AS268">
        <v>151752749926.33109</v>
      </c>
      <c r="AT268">
        <v>135429908544.33795</v>
      </c>
      <c r="AU268">
        <v>129087560694.62465</v>
      </c>
      <c r="AV268">
        <v>197018960967.97208</v>
      </c>
      <c r="AW268">
        <v>255806928394.81137</v>
      </c>
      <c r="AX268">
        <v>288867202055.1438</v>
      </c>
      <c r="AY268">
        <v>303858667884.83514</v>
      </c>
      <c r="AZ268">
        <v>333077117253.68378</v>
      </c>
      <c r="BA268">
        <v>316131245860.68176</v>
      </c>
      <c r="BB268">
        <v>329754054488.85455</v>
      </c>
      <c r="BC268">
        <v>417363825016.28589</v>
      </c>
      <c r="BD268">
        <v>458199486480.57581</v>
      </c>
      <c r="BE268">
        <v>434400545085.8111</v>
      </c>
      <c r="BF268">
        <v>400886013595.57318</v>
      </c>
      <c r="BG268">
        <v>381198869776.10565</v>
      </c>
      <c r="BH268">
        <v>346709790458.56305</v>
      </c>
      <c r="BI268">
        <v>323585509674.48059</v>
      </c>
      <c r="BJ268">
        <v>381448814653.45642</v>
      </c>
      <c r="BK268">
        <v>404158882459.02386</v>
      </c>
      <c r="BL268">
        <v>388531226582.35052</v>
      </c>
      <c r="BM268">
        <v>337619569570.51062</v>
      </c>
      <c r="BN268">
        <v>419015636064.71143</v>
      </c>
      <c r="BO268" s="190">
        <v>405869718462.34259</v>
      </c>
    </row>
    <row r="269" spans="1:68">
      <c r="A269" t="s">
        <v>1013</v>
      </c>
      <c r="B269" t="s">
        <v>1014</v>
      </c>
      <c r="C269" t="s">
        <v>1018</v>
      </c>
      <c r="D269" t="s">
        <v>1019</v>
      </c>
      <c r="E269">
        <v>713000000</v>
      </c>
      <c r="F269">
        <v>696285714.28571427</v>
      </c>
      <c r="G269">
        <v>693142857.14285719</v>
      </c>
      <c r="H269">
        <v>718714285.71428573</v>
      </c>
      <c r="I269">
        <v>839428571.42857146</v>
      </c>
      <c r="J269">
        <v>1082857142.8571429</v>
      </c>
      <c r="K269">
        <v>1264285714.2857144</v>
      </c>
      <c r="L269">
        <v>1368000000</v>
      </c>
      <c r="M269">
        <v>1605857142.8571429</v>
      </c>
      <c r="N269">
        <v>1965714285.7142859</v>
      </c>
      <c r="O269">
        <v>1825285714.2857144</v>
      </c>
      <c r="P269">
        <v>1687000000</v>
      </c>
      <c r="Q269">
        <v>1872416680.0791199</v>
      </c>
      <c r="R269">
        <v>2434255236.9993525</v>
      </c>
      <c r="S269">
        <v>2910981262.1001792</v>
      </c>
      <c r="T269">
        <v>2442672140.9469957</v>
      </c>
      <c r="U269">
        <v>2742859262.9794016</v>
      </c>
      <c r="V269">
        <v>2515296939.6068578</v>
      </c>
      <c r="W269">
        <v>2811032472.9392161</v>
      </c>
      <c r="X269">
        <v>3353445378.1512623</v>
      </c>
      <c r="Y269">
        <v>3884530853.7616215</v>
      </c>
      <c r="Z269">
        <v>4008126497.3646398</v>
      </c>
      <c r="AA269">
        <v>3871117092.8667564</v>
      </c>
      <c r="AB269">
        <v>3321048451.1517076</v>
      </c>
      <c r="AC269">
        <v>2719518932.9954066</v>
      </c>
      <c r="AD269">
        <v>2252454500.1489625</v>
      </c>
      <c r="AE269">
        <v>1664413508.0985258</v>
      </c>
      <c r="AF269">
        <v>2265250972.3487902</v>
      </c>
      <c r="AG269">
        <v>3728878148.8079219</v>
      </c>
      <c r="AH269">
        <v>3994673161.0264907</v>
      </c>
      <c r="AI269">
        <v>3285217391.3043475</v>
      </c>
      <c r="AJ269">
        <v>3376806697.1218047</v>
      </c>
      <c r="AK269">
        <v>3181921787.7094975</v>
      </c>
      <c r="AL269">
        <v>3273507753.8784094</v>
      </c>
      <c r="AM269">
        <v>3656808232.6429539</v>
      </c>
      <c r="AN269">
        <v>3806982678.893631</v>
      </c>
      <c r="AO269">
        <v>3597220962.0001655</v>
      </c>
      <c r="AP269">
        <v>4303290116.5654554</v>
      </c>
      <c r="AQ269">
        <v>3537741625.2439537</v>
      </c>
      <c r="AR269">
        <v>3404284652.9358487</v>
      </c>
      <c r="AS269">
        <v>3600631918.5065751</v>
      </c>
      <c r="AT269">
        <v>4094441301.2142286</v>
      </c>
      <c r="AU269">
        <v>4193850445.4263234</v>
      </c>
      <c r="AV269">
        <v>4901869715.9045687</v>
      </c>
      <c r="AW269">
        <v>6221109716.39571</v>
      </c>
      <c r="AX269">
        <v>8331870169.1497707</v>
      </c>
      <c r="AY269">
        <v>12756858899.281174</v>
      </c>
      <c r="AZ269">
        <v>14056957976.264833</v>
      </c>
      <c r="BA269">
        <v>17910858637.904797</v>
      </c>
      <c r="BB269">
        <v>15328342303.957512</v>
      </c>
      <c r="BC269">
        <v>20265559483.854828</v>
      </c>
      <c r="BD269">
        <v>23459515275.577595</v>
      </c>
      <c r="BE269">
        <v>25503060420.026028</v>
      </c>
      <c r="BF269">
        <v>28037239462.714218</v>
      </c>
      <c r="BG269">
        <v>27141023558.082859</v>
      </c>
      <c r="BH269">
        <v>21251216798.776245</v>
      </c>
      <c r="BI269">
        <v>20958412538.309345</v>
      </c>
      <c r="BJ269">
        <v>25873601260.835304</v>
      </c>
      <c r="BK269">
        <v>26311506435.059845</v>
      </c>
      <c r="BL269">
        <v>23308667781.225754</v>
      </c>
      <c r="BM269">
        <v>18110638619.372303</v>
      </c>
      <c r="BN269">
        <v>22147649568.612148</v>
      </c>
      <c r="BO269" s="190">
        <v>29784454055.939106</v>
      </c>
    </row>
    <row r="270" spans="1:68">
      <c r="A270" t="s">
        <v>1015</v>
      </c>
      <c r="B270" t="s">
        <v>1016</v>
      </c>
      <c r="C270" t="s">
        <v>1018</v>
      </c>
      <c r="D270" t="s">
        <v>1019</v>
      </c>
      <c r="E270">
        <v>1052990399.9999999</v>
      </c>
      <c r="F270">
        <v>1096646600</v>
      </c>
      <c r="G270">
        <v>1117601600</v>
      </c>
      <c r="H270">
        <v>1159511700</v>
      </c>
      <c r="I270">
        <v>1217138000</v>
      </c>
      <c r="J270">
        <v>1311435800</v>
      </c>
      <c r="K270">
        <v>1281749500</v>
      </c>
      <c r="L270">
        <v>1397002000</v>
      </c>
      <c r="M270">
        <v>1479599900</v>
      </c>
      <c r="N270">
        <v>1747998800</v>
      </c>
      <c r="O270">
        <v>1884206300</v>
      </c>
      <c r="P270">
        <v>2178716300</v>
      </c>
      <c r="Q270">
        <v>2677729400</v>
      </c>
      <c r="R270">
        <v>3309353600</v>
      </c>
      <c r="S270">
        <v>3982161400</v>
      </c>
      <c r="T270">
        <v>4371300700</v>
      </c>
      <c r="U270">
        <v>4318372000</v>
      </c>
      <c r="V270">
        <v>4364382100</v>
      </c>
      <c r="W270">
        <v>4351600500</v>
      </c>
      <c r="X270">
        <v>5177459400</v>
      </c>
      <c r="Y270">
        <v>6678868200</v>
      </c>
      <c r="Z270">
        <v>8011373800</v>
      </c>
      <c r="AA270">
        <v>8539700699.999999</v>
      </c>
      <c r="AB270">
        <v>7764067000</v>
      </c>
      <c r="AC270">
        <v>6352125900</v>
      </c>
      <c r="AD270">
        <v>5637259300</v>
      </c>
      <c r="AE270">
        <v>6217523700</v>
      </c>
      <c r="AF270">
        <v>6741215100</v>
      </c>
      <c r="AG270">
        <v>7814784100</v>
      </c>
      <c r="AH270">
        <v>8286322700.000001</v>
      </c>
      <c r="AI270">
        <v>8783816700</v>
      </c>
      <c r="AJ270">
        <v>8641481700</v>
      </c>
      <c r="AK270">
        <v>6751472200</v>
      </c>
      <c r="AL270">
        <v>6563813300</v>
      </c>
      <c r="AM270">
        <v>6890675000</v>
      </c>
      <c r="AN270">
        <v>7111270700</v>
      </c>
      <c r="AO270">
        <v>8553146600</v>
      </c>
      <c r="AP270">
        <v>8529571599.999999</v>
      </c>
      <c r="AQ270">
        <v>6401968200</v>
      </c>
      <c r="AR270">
        <v>6858013100</v>
      </c>
      <c r="AS270">
        <v>6689957600</v>
      </c>
      <c r="AT270">
        <v>6777384700</v>
      </c>
      <c r="AU270">
        <v>6342116400</v>
      </c>
      <c r="AV270">
        <v>5727591800</v>
      </c>
      <c r="AW270">
        <v>5805598400</v>
      </c>
      <c r="AX270">
        <v>5755215200</v>
      </c>
      <c r="AY270">
        <v>5443896500</v>
      </c>
      <c r="AZ270">
        <v>5291950100</v>
      </c>
      <c r="BA270">
        <v>4415702800</v>
      </c>
      <c r="BB270">
        <v>9665793300</v>
      </c>
      <c r="BC270">
        <v>12041655200</v>
      </c>
      <c r="BD270">
        <v>14101920300</v>
      </c>
      <c r="BE270">
        <v>17114849900.000002</v>
      </c>
      <c r="BF270">
        <v>19091020000</v>
      </c>
      <c r="BG270">
        <v>19495519600</v>
      </c>
      <c r="BH270">
        <v>19963120600</v>
      </c>
      <c r="BI270">
        <v>20548678100</v>
      </c>
      <c r="BJ270">
        <v>17584890936.652306</v>
      </c>
      <c r="BK270">
        <v>34156069918.06094</v>
      </c>
      <c r="BL270">
        <v>21832234925.50214</v>
      </c>
      <c r="BM270">
        <v>21509698406.111595</v>
      </c>
      <c r="BN270">
        <v>28371238665.511635</v>
      </c>
      <c r="BO270" s="190">
        <v>20678055597.734528</v>
      </c>
    </row>
    <row r="271" spans="1:68">
      <c r="BP271" s="128"/>
    </row>
  </sheetData>
  <hyperlinks>
    <hyperlink ref="C2" r:id="rId1" xr:uid="{B5231B6C-F97C-4BBF-827E-7203855F72D4}"/>
  </hyperlinks>
  <pageMargins left="0.7" right="0.7" top="0.75" bottom="0.75" header="0.3" footer="0.3"/>
  <pageSetup orientation="portrait"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B96739-98C4-4D91-8755-2763444AEFCB}">
  <sheetPr>
    <tabColor theme="5" tint="0.79998168889431442"/>
  </sheetPr>
  <dimension ref="A1:BK98"/>
  <sheetViews>
    <sheetView zoomScale="90" zoomScaleNormal="90" workbookViewId="0">
      <pane xSplit="2" topLeftCell="V1" activePane="topRight" state="frozen"/>
      <selection pane="topRight" activeCell="AA4" sqref="AA4"/>
      <selection activeCell="T2" sqref="T2"/>
    </sheetView>
  </sheetViews>
  <sheetFormatPr defaultColWidth="8.85546875" defaultRowHeight="15" outlineLevelRow="2"/>
  <cols>
    <col min="1" max="1" width="42.28515625" bestFit="1" customWidth="1"/>
    <col min="2" max="2" width="9" customWidth="1"/>
    <col min="3" max="33" width="11" customWidth="1"/>
    <col min="34" max="34" width="11" style="158" customWidth="1"/>
    <col min="35" max="45" width="11" customWidth="1"/>
    <col min="46" max="46" width="11.28515625" customWidth="1"/>
    <col min="47" max="47" width="11.140625" customWidth="1"/>
    <col min="48" max="63" width="11" customWidth="1"/>
  </cols>
  <sheetData>
    <row r="1" spans="1:63" ht="21">
      <c r="A1" s="145" t="s">
        <v>1020</v>
      </c>
      <c r="B1" s="155"/>
      <c r="C1" s="156"/>
      <c r="D1" s="156"/>
      <c r="E1" s="156"/>
      <c r="F1" s="156"/>
      <c r="G1" s="157"/>
      <c r="H1" s="157"/>
      <c r="I1" s="113"/>
      <c r="J1" s="113"/>
      <c r="K1" s="113"/>
      <c r="L1" s="113"/>
      <c r="M1" s="113"/>
      <c r="N1" s="113"/>
      <c r="O1" s="113"/>
      <c r="P1" s="113"/>
      <c r="Q1" s="113"/>
      <c r="R1" s="113"/>
      <c r="S1" s="113"/>
      <c r="T1" s="113"/>
      <c r="U1" s="113"/>
      <c r="V1" s="113"/>
      <c r="W1" s="113"/>
      <c r="X1" s="113"/>
      <c r="Y1" s="113"/>
      <c r="Z1" s="113"/>
      <c r="AA1" s="113"/>
      <c r="AB1" s="113"/>
      <c r="AC1" s="113"/>
      <c r="AD1" s="113"/>
      <c r="AE1" s="113"/>
      <c r="AF1" s="113"/>
    </row>
    <row r="2" spans="1:63">
      <c r="A2" s="115" t="s">
        <v>1021</v>
      </c>
      <c r="B2" s="113"/>
      <c r="C2" s="113"/>
      <c r="D2" s="113"/>
      <c r="E2" s="113"/>
      <c r="F2" s="122"/>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row>
    <row r="3" spans="1:63" ht="18">
      <c r="A3" t="s">
        <v>1022</v>
      </c>
      <c r="B3" s="113"/>
      <c r="C3" s="113"/>
      <c r="D3" s="113"/>
      <c r="E3" s="113"/>
      <c r="F3" s="122"/>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row>
    <row r="4" spans="1:63" ht="18">
      <c r="A4" t="s">
        <v>1023</v>
      </c>
      <c r="B4" s="113"/>
      <c r="C4" s="114"/>
      <c r="D4" s="113"/>
      <c r="E4" s="113"/>
      <c r="F4" s="122"/>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row>
    <row r="5" spans="1:63">
      <c r="A5" t="s">
        <v>1024</v>
      </c>
      <c r="B5" s="113"/>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row>
    <row r="6" spans="1:63">
      <c r="A6" t="s">
        <v>1025</v>
      </c>
      <c r="B6" s="113"/>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row>
    <row r="7" spans="1:63" ht="18">
      <c r="A7" t="s">
        <v>1026</v>
      </c>
      <c r="B7" s="113"/>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47"/>
      <c r="AH7" s="159" t="s">
        <v>1027</v>
      </c>
      <c r="AI7" s="47" t="s">
        <v>1028</v>
      </c>
    </row>
    <row r="8" spans="1:63">
      <c r="A8" t="s">
        <v>1029</v>
      </c>
      <c r="B8" s="116"/>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row>
    <row r="9" spans="1:63" s="117" customFormat="1">
      <c r="A9" s="117" t="s">
        <v>1030</v>
      </c>
      <c r="B9" s="117" t="s">
        <v>1031</v>
      </c>
      <c r="C9" s="124">
        <v>1990</v>
      </c>
      <c r="D9" s="124">
        <v>1991</v>
      </c>
      <c r="E9" s="124">
        <v>1992</v>
      </c>
      <c r="F9" s="124">
        <v>1993</v>
      </c>
      <c r="G9" s="124">
        <v>1994</v>
      </c>
      <c r="H9" s="124">
        <v>1995</v>
      </c>
      <c r="I9" s="124">
        <v>1996</v>
      </c>
      <c r="J9" s="124">
        <v>1997</v>
      </c>
      <c r="K9" s="124">
        <v>1998</v>
      </c>
      <c r="L9" s="124">
        <v>1999</v>
      </c>
      <c r="M9" s="124">
        <v>2000</v>
      </c>
      <c r="N9" s="124">
        <v>2001</v>
      </c>
      <c r="O9" s="124">
        <v>2002</v>
      </c>
      <c r="P9" s="124">
        <v>2003</v>
      </c>
      <c r="Q9" s="124">
        <v>2004</v>
      </c>
      <c r="R9" s="124">
        <v>2005</v>
      </c>
      <c r="S9" s="124">
        <v>2006</v>
      </c>
      <c r="T9" s="124">
        <v>2007</v>
      </c>
      <c r="U9" s="124">
        <v>2008</v>
      </c>
      <c r="V9" s="124">
        <v>2009</v>
      </c>
      <c r="W9" s="124">
        <v>2010</v>
      </c>
      <c r="X9" s="124">
        <v>2011</v>
      </c>
      <c r="Y9" s="124">
        <v>2012</v>
      </c>
      <c r="Z9" s="124">
        <v>2013</v>
      </c>
      <c r="AA9" s="124">
        <v>2014</v>
      </c>
      <c r="AB9" s="124">
        <v>2015</v>
      </c>
      <c r="AC9" s="124">
        <v>2016</v>
      </c>
      <c r="AD9" s="124">
        <v>2017</v>
      </c>
      <c r="AE9" s="124">
        <v>2018</v>
      </c>
      <c r="AF9" s="124">
        <v>2019</v>
      </c>
      <c r="AG9" s="124">
        <v>2020</v>
      </c>
      <c r="AH9" s="160">
        <v>2021</v>
      </c>
      <c r="AI9" s="124">
        <v>2022</v>
      </c>
      <c r="AJ9" s="124">
        <v>2023</v>
      </c>
      <c r="AK9" s="124">
        <v>2024</v>
      </c>
      <c r="AL9" s="124">
        <v>2025</v>
      </c>
      <c r="AM9" s="124">
        <v>2026</v>
      </c>
      <c r="AN9" s="124">
        <v>2027</v>
      </c>
      <c r="AO9" s="124">
        <v>2028</v>
      </c>
      <c r="AP9" s="124">
        <v>2029</v>
      </c>
      <c r="AQ9" s="124">
        <v>2030</v>
      </c>
      <c r="AR9" s="124">
        <v>2031</v>
      </c>
      <c r="AS9" s="124">
        <v>2032</v>
      </c>
      <c r="AT9" s="124">
        <v>2033</v>
      </c>
      <c r="AU9" s="124">
        <v>2034</v>
      </c>
      <c r="AV9" s="124">
        <v>2035</v>
      </c>
      <c r="AW9" s="124">
        <v>2036</v>
      </c>
      <c r="AX9" s="124">
        <v>2037</v>
      </c>
      <c r="AY9" s="124">
        <v>2038</v>
      </c>
      <c r="AZ9" s="124">
        <v>2039</v>
      </c>
      <c r="BA9" s="124">
        <v>2040</v>
      </c>
      <c r="BB9" s="124">
        <v>2041</v>
      </c>
      <c r="BC9" s="124">
        <v>2042</v>
      </c>
      <c r="BD9" s="124">
        <v>2043</v>
      </c>
      <c r="BE9" s="124">
        <v>2044</v>
      </c>
      <c r="BF9" s="124">
        <v>2045</v>
      </c>
      <c r="BG9" s="124">
        <v>2046</v>
      </c>
      <c r="BH9" s="124">
        <v>2047</v>
      </c>
      <c r="BI9" s="124">
        <v>2048</v>
      </c>
      <c r="BJ9" s="124">
        <v>2049</v>
      </c>
      <c r="BK9" s="124">
        <v>2050</v>
      </c>
    </row>
    <row r="10" spans="1:63">
      <c r="A10" s="161" t="s">
        <v>1032</v>
      </c>
      <c r="B10" s="120" t="s">
        <v>303</v>
      </c>
      <c r="C10" s="162">
        <f>SUM(C11:C13)</f>
        <v>15869.15</v>
      </c>
      <c r="D10" s="162">
        <f t="shared" ref="D10:BK10" si="0">SUM(D11:D13)</f>
        <v>16318.24</v>
      </c>
      <c r="E10" s="162">
        <f t="shared" si="0"/>
        <v>17806.36</v>
      </c>
      <c r="F10" s="162">
        <f t="shared" si="0"/>
        <v>16862.61</v>
      </c>
      <c r="G10" s="162">
        <f t="shared" si="0"/>
        <v>16521.219999999998</v>
      </c>
      <c r="H10" s="162">
        <f t="shared" si="0"/>
        <v>15645.529999999999</v>
      </c>
      <c r="I10" s="162">
        <f t="shared" si="0"/>
        <v>17078.45</v>
      </c>
      <c r="J10" s="162">
        <f t="shared" si="0"/>
        <v>18834.75</v>
      </c>
      <c r="K10" s="162">
        <f t="shared" si="0"/>
        <v>17039.14</v>
      </c>
      <c r="L10" s="162">
        <f t="shared" si="0"/>
        <v>18096.990000000002</v>
      </c>
      <c r="M10" s="162">
        <f t="shared" si="0"/>
        <v>18260.829999999998</v>
      </c>
      <c r="N10" s="162">
        <f t="shared" si="0"/>
        <v>20189.75</v>
      </c>
      <c r="O10" s="162">
        <f t="shared" si="0"/>
        <v>19666.3</v>
      </c>
      <c r="P10" s="162">
        <f t="shared" si="0"/>
        <v>20531.169999999998</v>
      </c>
      <c r="Q10" s="162">
        <f t="shared" si="0"/>
        <v>19919.11</v>
      </c>
      <c r="R10" s="162">
        <f t="shared" si="0"/>
        <v>21442.36</v>
      </c>
      <c r="S10" s="162">
        <f t="shared" si="0"/>
        <v>21836.82</v>
      </c>
      <c r="T10" s="162">
        <f t="shared" si="0"/>
        <v>20317.259999999998</v>
      </c>
      <c r="U10" s="162">
        <f t="shared" si="0"/>
        <v>21462.959999999999</v>
      </c>
      <c r="V10" s="162">
        <f t="shared" si="0"/>
        <v>19026.62</v>
      </c>
      <c r="W10" s="162">
        <f t="shared" si="0"/>
        <v>18979.530000000002</v>
      </c>
      <c r="X10" s="162">
        <f t="shared" si="0"/>
        <v>18303.080000000002</v>
      </c>
      <c r="Y10" s="162">
        <f t="shared" si="0"/>
        <v>19965.84</v>
      </c>
      <c r="Z10" s="162">
        <f t="shared" si="0"/>
        <v>18998.71</v>
      </c>
      <c r="AA10" s="162">
        <f t="shared" si="0"/>
        <v>18793.73</v>
      </c>
      <c r="AB10" s="162">
        <f t="shared" si="0"/>
        <v>18551.620000000003</v>
      </c>
      <c r="AC10" s="162">
        <f t="shared" si="0"/>
        <v>17040.32</v>
      </c>
      <c r="AD10" s="162">
        <f t="shared" si="0"/>
        <v>17565.25</v>
      </c>
      <c r="AE10" s="162">
        <f t="shared" si="0"/>
        <v>17332.829999999998</v>
      </c>
      <c r="AF10" s="162">
        <f t="shared" si="0"/>
        <v>18788.179999999997</v>
      </c>
      <c r="AG10" s="162">
        <f t="shared" si="0"/>
        <v>17789.63</v>
      </c>
      <c r="AH10" s="163">
        <f t="shared" si="0"/>
        <v>17442.130000000005</v>
      </c>
      <c r="AI10" s="162">
        <f t="shared" si="0"/>
        <v>14734.22</v>
      </c>
      <c r="AJ10" s="162">
        <f t="shared" si="0"/>
        <v>15757.289999999999</v>
      </c>
      <c r="AK10" s="162">
        <f t="shared" si="0"/>
        <v>14948.66</v>
      </c>
      <c r="AL10" s="162">
        <f t="shared" si="0"/>
        <v>12120.75</v>
      </c>
      <c r="AM10" s="162">
        <f t="shared" si="0"/>
        <v>11330.66</v>
      </c>
      <c r="AN10" s="162">
        <f t="shared" si="0"/>
        <v>10532.97</v>
      </c>
      <c r="AO10" s="162">
        <f t="shared" si="0"/>
        <v>10169.879999999999</v>
      </c>
      <c r="AP10" s="162">
        <f t="shared" si="0"/>
        <v>9688</v>
      </c>
      <c r="AQ10" s="162">
        <f t="shared" si="0"/>
        <v>9418.4800000000014</v>
      </c>
      <c r="AR10" s="162">
        <f t="shared" si="0"/>
        <v>9344.4500000000007</v>
      </c>
      <c r="AS10" s="162">
        <f t="shared" si="0"/>
        <v>9175.39</v>
      </c>
      <c r="AT10" s="162">
        <f t="shared" si="0"/>
        <v>9176.3900000000012</v>
      </c>
      <c r="AU10" s="162">
        <f t="shared" si="0"/>
        <v>8938.51</v>
      </c>
      <c r="AV10" s="162">
        <f t="shared" si="0"/>
        <v>8812.82</v>
      </c>
      <c r="AW10" s="162">
        <f t="shared" si="0"/>
        <v>8926.09</v>
      </c>
      <c r="AX10" s="162">
        <f t="shared" si="0"/>
        <v>8882.7300000000014</v>
      </c>
      <c r="AY10" s="162">
        <f t="shared" si="0"/>
        <v>8093.5900000000011</v>
      </c>
      <c r="AZ10" s="162">
        <f t="shared" si="0"/>
        <v>8079.6</v>
      </c>
      <c r="BA10" s="162">
        <f t="shared" si="0"/>
        <v>7999.46</v>
      </c>
      <c r="BB10" s="162">
        <f t="shared" si="0"/>
        <v>7379.52</v>
      </c>
      <c r="BC10" s="162">
        <f t="shared" si="0"/>
        <v>7352.9699999999993</v>
      </c>
      <c r="BD10" s="162">
        <f t="shared" si="0"/>
        <v>7361.3200000000006</v>
      </c>
      <c r="BE10" s="162">
        <f t="shared" si="0"/>
        <v>7371.1099999999988</v>
      </c>
      <c r="BF10" s="162">
        <f t="shared" si="0"/>
        <v>7427.4</v>
      </c>
      <c r="BG10" s="162">
        <f t="shared" si="0"/>
        <v>7610.57</v>
      </c>
      <c r="BH10" s="162">
        <f t="shared" si="0"/>
        <v>7623.0700000000006</v>
      </c>
      <c r="BI10" s="162">
        <f t="shared" si="0"/>
        <v>7551.5999999999995</v>
      </c>
      <c r="BJ10" s="162">
        <f t="shared" si="0"/>
        <v>7474.77</v>
      </c>
      <c r="BK10" s="162">
        <f t="shared" si="0"/>
        <v>7341.48</v>
      </c>
    </row>
    <row r="11" spans="1:63" ht="18">
      <c r="A11" s="161" t="s">
        <v>1032</v>
      </c>
      <c r="B11" s="119" t="s">
        <v>1033</v>
      </c>
      <c r="C11" s="164">
        <v>14545.02</v>
      </c>
      <c r="D11" s="164">
        <v>15039.03</v>
      </c>
      <c r="E11" s="164">
        <v>16560.61</v>
      </c>
      <c r="F11" s="164">
        <v>15546.2</v>
      </c>
      <c r="G11" s="164">
        <v>15119.68</v>
      </c>
      <c r="H11" s="164">
        <v>14427.83</v>
      </c>
      <c r="I11" s="164">
        <v>15590.12</v>
      </c>
      <c r="J11" s="164">
        <v>17371.150000000001</v>
      </c>
      <c r="K11" s="164">
        <v>15594.11</v>
      </c>
      <c r="L11" s="164">
        <v>16667.13</v>
      </c>
      <c r="M11" s="164">
        <v>16892.93</v>
      </c>
      <c r="N11" s="164">
        <v>18778.36</v>
      </c>
      <c r="O11" s="164">
        <v>18364.189999999999</v>
      </c>
      <c r="P11" s="164">
        <v>19363.689999999999</v>
      </c>
      <c r="Q11" s="164">
        <v>18712.87</v>
      </c>
      <c r="R11" s="164">
        <v>20076.36</v>
      </c>
      <c r="S11" s="164">
        <v>20104.599999999999</v>
      </c>
      <c r="T11" s="164">
        <v>18853.79</v>
      </c>
      <c r="U11" s="164">
        <v>20250.02</v>
      </c>
      <c r="V11" s="164">
        <v>17674.96</v>
      </c>
      <c r="W11" s="164">
        <v>17320.18</v>
      </c>
      <c r="X11" s="164">
        <v>16748.87</v>
      </c>
      <c r="Y11" s="164">
        <v>18748.89</v>
      </c>
      <c r="Z11" s="164">
        <v>17997.759999999998</v>
      </c>
      <c r="AA11" s="164">
        <v>17819.599999999999</v>
      </c>
      <c r="AB11" s="164">
        <v>17549.02</v>
      </c>
      <c r="AC11" s="164">
        <v>16130.65</v>
      </c>
      <c r="AD11" s="164">
        <v>16784.93</v>
      </c>
      <c r="AE11" s="164">
        <v>16556.53</v>
      </c>
      <c r="AF11" s="164">
        <v>18057.89</v>
      </c>
      <c r="AG11" s="164">
        <v>17078.84</v>
      </c>
      <c r="AH11" s="165">
        <v>16731.830000000002</v>
      </c>
      <c r="AI11" s="166">
        <v>14058.96</v>
      </c>
      <c r="AJ11" s="164">
        <v>15043.59</v>
      </c>
      <c r="AK11" s="164">
        <v>14253.92</v>
      </c>
      <c r="AL11" s="164">
        <v>11465.43</v>
      </c>
      <c r="AM11" s="164">
        <v>10710.91</v>
      </c>
      <c r="AN11" s="164">
        <v>9950.39</v>
      </c>
      <c r="AO11" s="164">
        <v>9597.73</v>
      </c>
      <c r="AP11" s="164">
        <v>9123.58</v>
      </c>
      <c r="AQ11" s="164">
        <v>8857.7000000000007</v>
      </c>
      <c r="AR11" s="164">
        <v>8776.76</v>
      </c>
      <c r="AS11" s="164">
        <v>8607.51</v>
      </c>
      <c r="AT11" s="164">
        <v>8598.09</v>
      </c>
      <c r="AU11" s="164">
        <v>8358.31</v>
      </c>
      <c r="AV11" s="164">
        <v>8229.3799999999992</v>
      </c>
      <c r="AW11" s="164">
        <v>8325.01</v>
      </c>
      <c r="AX11" s="164">
        <v>8275.44</v>
      </c>
      <c r="AY11" s="164">
        <v>7480.02</v>
      </c>
      <c r="AZ11" s="164">
        <v>7455.75</v>
      </c>
      <c r="BA11" s="164">
        <v>7366.86</v>
      </c>
      <c r="BB11" s="164">
        <v>6750.42</v>
      </c>
      <c r="BC11" s="164">
        <v>6719.17</v>
      </c>
      <c r="BD11" s="164">
        <v>6721.33</v>
      </c>
      <c r="BE11" s="164">
        <v>6718.32</v>
      </c>
      <c r="BF11" s="164">
        <v>6758</v>
      </c>
      <c r="BG11" s="164">
        <v>6920.36</v>
      </c>
      <c r="BH11" s="164">
        <v>6925.39</v>
      </c>
      <c r="BI11" s="164">
        <v>6855.03</v>
      </c>
      <c r="BJ11" s="164">
        <v>6780.77</v>
      </c>
      <c r="BK11" s="164">
        <v>6645.4</v>
      </c>
    </row>
    <row r="12" spans="1:63" ht="18">
      <c r="A12" s="161" t="s">
        <v>1032</v>
      </c>
      <c r="B12" s="119" t="s">
        <v>1034</v>
      </c>
      <c r="C12" s="164">
        <v>1226.97</v>
      </c>
      <c r="D12" s="164">
        <v>1185.1500000000001</v>
      </c>
      <c r="E12" s="164">
        <v>1144.3399999999999</v>
      </c>
      <c r="F12" s="164">
        <v>1216.2</v>
      </c>
      <c r="G12" s="164">
        <v>1294.42</v>
      </c>
      <c r="H12" s="164">
        <v>1111.73</v>
      </c>
      <c r="I12" s="164">
        <v>1385.29</v>
      </c>
      <c r="J12" s="164">
        <v>1359.73</v>
      </c>
      <c r="K12" s="164">
        <v>1345</v>
      </c>
      <c r="L12" s="164">
        <v>1323.71</v>
      </c>
      <c r="M12" s="164">
        <v>1260.48</v>
      </c>
      <c r="N12" s="164">
        <v>1299.1400000000001</v>
      </c>
      <c r="O12" s="164">
        <v>1185.06</v>
      </c>
      <c r="P12" s="164">
        <v>1041.08</v>
      </c>
      <c r="Q12" s="164">
        <v>1075.25</v>
      </c>
      <c r="R12" s="164">
        <v>1229.27</v>
      </c>
      <c r="S12" s="164">
        <v>1596.38</v>
      </c>
      <c r="T12" s="164">
        <v>1336.01</v>
      </c>
      <c r="U12" s="164">
        <v>1083.27</v>
      </c>
      <c r="V12" s="164">
        <v>1234.42</v>
      </c>
      <c r="W12" s="164">
        <v>1546.02</v>
      </c>
      <c r="X12" s="164">
        <v>1438.15</v>
      </c>
      <c r="Y12" s="164">
        <v>1092.93</v>
      </c>
      <c r="Z12" s="164">
        <v>877.74</v>
      </c>
      <c r="AA12" s="164">
        <v>856.25</v>
      </c>
      <c r="AB12" s="164">
        <v>884.38</v>
      </c>
      <c r="AC12" s="164">
        <v>792.45</v>
      </c>
      <c r="AD12" s="164">
        <v>664.59</v>
      </c>
      <c r="AE12" s="164">
        <v>658.14</v>
      </c>
      <c r="AF12" s="164">
        <v>603.94000000000005</v>
      </c>
      <c r="AG12" s="164">
        <v>589.52</v>
      </c>
      <c r="AH12" s="165">
        <v>581.47</v>
      </c>
      <c r="AI12" s="166">
        <v>568.95000000000005</v>
      </c>
      <c r="AJ12" s="164">
        <v>604.89</v>
      </c>
      <c r="AK12" s="164">
        <v>590.69000000000005</v>
      </c>
      <c r="AL12" s="164">
        <v>559.41</v>
      </c>
      <c r="AM12" s="164">
        <v>528.07000000000005</v>
      </c>
      <c r="AN12" s="164">
        <v>495.82</v>
      </c>
      <c r="AO12" s="164">
        <v>486.47</v>
      </c>
      <c r="AP12" s="164">
        <v>479.5</v>
      </c>
      <c r="AQ12" s="164">
        <v>475.75</v>
      </c>
      <c r="AR12" s="164">
        <v>481.19</v>
      </c>
      <c r="AS12" s="164">
        <v>481.13</v>
      </c>
      <c r="AT12" s="164">
        <v>489.86</v>
      </c>
      <c r="AU12" s="164">
        <v>491.5</v>
      </c>
      <c r="AV12" s="164">
        <v>494</v>
      </c>
      <c r="AW12" s="164">
        <v>508.89</v>
      </c>
      <c r="AX12" s="164">
        <v>514.1</v>
      </c>
      <c r="AY12" s="164">
        <v>521.64</v>
      </c>
      <c r="AZ12" s="164">
        <v>531.25</v>
      </c>
      <c r="BA12" s="164">
        <v>539.29999999999995</v>
      </c>
      <c r="BB12" s="164">
        <v>537.01</v>
      </c>
      <c r="BC12" s="164">
        <v>541.9</v>
      </c>
      <c r="BD12" s="164">
        <v>547.72</v>
      </c>
      <c r="BE12" s="164">
        <v>559.05999999999995</v>
      </c>
      <c r="BF12" s="164">
        <v>573.08000000000004</v>
      </c>
      <c r="BG12" s="164">
        <v>591.4</v>
      </c>
      <c r="BH12" s="164">
        <v>598.01</v>
      </c>
      <c r="BI12" s="164">
        <v>597.15</v>
      </c>
      <c r="BJ12" s="164">
        <v>594.88</v>
      </c>
      <c r="BK12" s="164">
        <v>597.41999999999996</v>
      </c>
    </row>
    <row r="13" spans="1:63" ht="18">
      <c r="A13" s="161" t="s">
        <v>1032</v>
      </c>
      <c r="B13" s="119" t="s">
        <v>1035</v>
      </c>
      <c r="C13" s="164">
        <v>97.16</v>
      </c>
      <c r="D13" s="164">
        <v>94.06</v>
      </c>
      <c r="E13" s="164">
        <v>101.41</v>
      </c>
      <c r="F13" s="164">
        <v>100.21</v>
      </c>
      <c r="G13" s="164">
        <v>107.12</v>
      </c>
      <c r="H13" s="164">
        <v>105.97</v>
      </c>
      <c r="I13" s="164">
        <v>103.04</v>
      </c>
      <c r="J13" s="164">
        <v>103.87</v>
      </c>
      <c r="K13" s="164">
        <v>100.03</v>
      </c>
      <c r="L13" s="164">
        <v>106.15</v>
      </c>
      <c r="M13" s="164">
        <v>107.42</v>
      </c>
      <c r="N13" s="164">
        <v>112.25</v>
      </c>
      <c r="O13" s="164">
        <v>117.05</v>
      </c>
      <c r="P13" s="164">
        <v>126.4</v>
      </c>
      <c r="Q13" s="164">
        <v>130.99</v>
      </c>
      <c r="R13" s="164">
        <v>136.72999999999999</v>
      </c>
      <c r="S13" s="164">
        <v>135.84</v>
      </c>
      <c r="T13" s="164">
        <v>127.46</v>
      </c>
      <c r="U13" s="164">
        <v>129.66999999999999</v>
      </c>
      <c r="V13" s="164">
        <v>117.24</v>
      </c>
      <c r="W13" s="164">
        <v>113.33</v>
      </c>
      <c r="X13" s="164">
        <v>116.06</v>
      </c>
      <c r="Y13" s="164">
        <v>124.02</v>
      </c>
      <c r="Z13" s="164">
        <v>123.21</v>
      </c>
      <c r="AA13" s="164">
        <v>117.88</v>
      </c>
      <c r="AB13" s="164">
        <v>118.22</v>
      </c>
      <c r="AC13" s="164">
        <v>117.22</v>
      </c>
      <c r="AD13" s="164">
        <v>115.73</v>
      </c>
      <c r="AE13" s="164">
        <v>118.16</v>
      </c>
      <c r="AF13" s="164">
        <v>126.35</v>
      </c>
      <c r="AG13" s="164">
        <v>121.27</v>
      </c>
      <c r="AH13" s="165">
        <v>128.83000000000001</v>
      </c>
      <c r="AI13" s="166">
        <v>106.31</v>
      </c>
      <c r="AJ13" s="164">
        <v>108.81</v>
      </c>
      <c r="AK13" s="164">
        <v>104.05</v>
      </c>
      <c r="AL13" s="164">
        <v>95.91</v>
      </c>
      <c r="AM13" s="164">
        <v>91.68</v>
      </c>
      <c r="AN13" s="164">
        <v>86.76</v>
      </c>
      <c r="AO13" s="164">
        <v>85.68</v>
      </c>
      <c r="AP13" s="164">
        <v>84.92</v>
      </c>
      <c r="AQ13" s="164">
        <v>85.03</v>
      </c>
      <c r="AR13" s="164">
        <v>86.5</v>
      </c>
      <c r="AS13" s="164">
        <v>86.75</v>
      </c>
      <c r="AT13" s="164">
        <v>88.44</v>
      </c>
      <c r="AU13" s="164">
        <v>88.7</v>
      </c>
      <c r="AV13" s="164">
        <v>89.44</v>
      </c>
      <c r="AW13" s="164">
        <v>92.19</v>
      </c>
      <c r="AX13" s="164">
        <v>93.19</v>
      </c>
      <c r="AY13" s="164">
        <v>91.93</v>
      </c>
      <c r="AZ13" s="164">
        <v>92.6</v>
      </c>
      <c r="BA13" s="164">
        <v>93.3</v>
      </c>
      <c r="BB13" s="164">
        <v>92.09</v>
      </c>
      <c r="BC13" s="164">
        <v>91.9</v>
      </c>
      <c r="BD13" s="164">
        <v>92.27</v>
      </c>
      <c r="BE13" s="164">
        <v>93.73</v>
      </c>
      <c r="BF13" s="164">
        <v>96.32</v>
      </c>
      <c r="BG13" s="164">
        <v>98.81</v>
      </c>
      <c r="BH13" s="164">
        <v>99.67</v>
      </c>
      <c r="BI13" s="164">
        <v>99.42</v>
      </c>
      <c r="BJ13" s="164">
        <v>99.12</v>
      </c>
      <c r="BK13" s="164">
        <v>98.66</v>
      </c>
    </row>
    <row r="14" spans="1:63">
      <c r="B14" s="167"/>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68"/>
      <c r="AI14" s="123"/>
      <c r="AJ14" s="123"/>
      <c r="AK14" s="123"/>
      <c r="AL14" s="123"/>
      <c r="AM14" s="123"/>
      <c r="AN14" s="123"/>
      <c r="AO14" s="123"/>
      <c r="AP14" s="123"/>
      <c r="AQ14" s="123"/>
      <c r="AR14" s="123"/>
      <c r="AS14" s="123"/>
      <c r="AT14" s="123"/>
      <c r="AU14" s="123"/>
      <c r="AV14" s="123"/>
      <c r="AW14" s="123"/>
      <c r="AX14" s="123"/>
      <c r="AY14" s="123"/>
      <c r="AZ14" s="123"/>
      <c r="BA14" s="123"/>
      <c r="BB14" s="123"/>
      <c r="BC14" s="123"/>
      <c r="BD14" s="123"/>
      <c r="BE14" s="123"/>
      <c r="BF14" s="123"/>
      <c r="BG14" s="123"/>
      <c r="BH14" s="123"/>
      <c r="BI14" s="123"/>
      <c r="BJ14" s="123"/>
      <c r="BK14" s="123"/>
    </row>
    <row r="15" spans="1:63">
      <c r="B15" s="167"/>
      <c r="C15" s="169"/>
      <c r="D15" s="169"/>
      <c r="E15" s="169"/>
      <c r="F15" s="169"/>
      <c r="G15" s="169"/>
      <c r="H15" s="169"/>
      <c r="I15" s="169"/>
      <c r="J15" s="169"/>
      <c r="K15" s="169"/>
      <c r="L15" s="169"/>
      <c r="M15" s="169"/>
      <c r="N15" s="169"/>
      <c r="O15" s="169"/>
      <c r="P15" s="169"/>
      <c r="Q15" s="169"/>
      <c r="R15" s="169"/>
      <c r="S15" s="169"/>
      <c r="T15" s="169"/>
      <c r="U15" s="169"/>
      <c r="V15" s="169"/>
      <c r="W15" s="169"/>
      <c r="X15" s="169"/>
      <c r="Y15" s="169"/>
      <c r="Z15" s="169"/>
      <c r="AA15" s="169"/>
      <c r="AB15" s="169"/>
      <c r="AC15" s="169"/>
      <c r="AD15" s="169"/>
      <c r="AE15" s="169"/>
      <c r="AF15" s="169"/>
      <c r="AG15" s="123"/>
      <c r="AH15" s="170"/>
      <c r="AI15" s="123"/>
      <c r="AJ15" s="169"/>
      <c r="AK15" s="123"/>
      <c r="AL15" s="169"/>
      <c r="AM15" s="123"/>
      <c r="AN15" s="169"/>
      <c r="AO15" s="123"/>
      <c r="AP15" s="169"/>
      <c r="AQ15" s="123"/>
      <c r="AR15" s="169"/>
      <c r="AS15" s="123"/>
      <c r="AT15" s="169"/>
      <c r="AU15" s="123"/>
      <c r="AV15" s="169"/>
      <c r="AW15" s="123"/>
      <c r="AX15" s="169"/>
      <c r="AY15" s="123"/>
      <c r="AZ15" s="169"/>
      <c r="BA15" s="123"/>
      <c r="BB15" s="169"/>
      <c r="BC15" s="123"/>
      <c r="BD15" s="169"/>
      <c r="BE15" s="123"/>
      <c r="BF15" s="169"/>
      <c r="BG15" s="123"/>
      <c r="BH15" s="169"/>
      <c r="BI15" s="123"/>
      <c r="BJ15" s="169"/>
      <c r="BK15" s="123"/>
    </row>
    <row r="16" spans="1:63" s="117" customFormat="1">
      <c r="A16" s="117" t="s">
        <v>1030</v>
      </c>
      <c r="B16" s="117" t="s">
        <v>1031</v>
      </c>
      <c r="C16" s="124">
        <v>1990</v>
      </c>
      <c r="D16" s="124">
        <v>1991</v>
      </c>
      <c r="E16" s="124">
        <v>1992</v>
      </c>
      <c r="F16" s="124">
        <v>1993</v>
      </c>
      <c r="G16" s="124">
        <v>1994</v>
      </c>
      <c r="H16" s="124">
        <v>1995</v>
      </c>
      <c r="I16" s="124">
        <v>1996</v>
      </c>
      <c r="J16" s="124">
        <v>1997</v>
      </c>
      <c r="K16" s="124">
        <v>1998</v>
      </c>
      <c r="L16" s="124">
        <v>1999</v>
      </c>
      <c r="M16" s="124">
        <v>2000</v>
      </c>
      <c r="N16" s="124">
        <v>2001</v>
      </c>
      <c r="O16" s="124">
        <v>2002</v>
      </c>
      <c r="P16" s="124">
        <v>2003</v>
      </c>
      <c r="Q16" s="124">
        <v>2004</v>
      </c>
      <c r="R16" s="124">
        <v>2005</v>
      </c>
      <c r="S16" s="124">
        <v>2006</v>
      </c>
      <c r="T16" s="124">
        <v>2007</v>
      </c>
      <c r="U16" s="124">
        <v>2008</v>
      </c>
      <c r="V16" s="124">
        <v>2009</v>
      </c>
      <c r="W16" s="124">
        <v>2010</v>
      </c>
      <c r="X16" s="124">
        <v>2011</v>
      </c>
      <c r="Y16" s="124">
        <v>2012</v>
      </c>
      <c r="Z16" s="124">
        <v>2013</v>
      </c>
      <c r="AA16" s="124">
        <v>2014</v>
      </c>
      <c r="AB16" s="124">
        <v>2015</v>
      </c>
      <c r="AC16" s="124">
        <v>2016</v>
      </c>
      <c r="AD16" s="124">
        <v>2017</v>
      </c>
      <c r="AE16" s="124">
        <v>2018</v>
      </c>
      <c r="AF16" s="124">
        <v>2019</v>
      </c>
      <c r="AG16" s="124">
        <v>2020</v>
      </c>
      <c r="AH16" s="160">
        <v>2021</v>
      </c>
      <c r="AI16" s="124">
        <v>2022</v>
      </c>
      <c r="AJ16" s="124">
        <v>2023</v>
      </c>
      <c r="AK16" s="124">
        <v>2024</v>
      </c>
      <c r="AL16" s="124">
        <v>2025</v>
      </c>
      <c r="AM16" s="124">
        <v>2026</v>
      </c>
      <c r="AN16" s="124">
        <v>2027</v>
      </c>
      <c r="AO16" s="124">
        <v>2028</v>
      </c>
      <c r="AP16" s="124">
        <v>2029</v>
      </c>
      <c r="AQ16" s="124">
        <v>2030</v>
      </c>
      <c r="AR16" s="124">
        <v>2031</v>
      </c>
      <c r="AS16" s="124">
        <v>2032</v>
      </c>
      <c r="AT16" s="124">
        <v>2033</v>
      </c>
      <c r="AU16" s="124">
        <v>2034</v>
      </c>
      <c r="AV16" s="124">
        <v>2035</v>
      </c>
      <c r="AW16" s="124">
        <v>2036</v>
      </c>
      <c r="AX16" s="124">
        <v>2037</v>
      </c>
      <c r="AY16" s="124">
        <v>2038</v>
      </c>
      <c r="AZ16" s="124">
        <v>2039</v>
      </c>
      <c r="BA16" s="124">
        <v>2040</v>
      </c>
      <c r="BB16" s="124">
        <v>2041</v>
      </c>
      <c r="BC16" s="124">
        <v>2042</v>
      </c>
      <c r="BD16" s="124">
        <v>2043</v>
      </c>
      <c r="BE16" s="124">
        <v>2044</v>
      </c>
      <c r="BF16" s="124">
        <v>2045</v>
      </c>
      <c r="BG16" s="124">
        <v>2046</v>
      </c>
      <c r="BH16" s="124">
        <v>2047</v>
      </c>
      <c r="BI16" s="124">
        <v>2048</v>
      </c>
      <c r="BJ16" s="124">
        <v>2049</v>
      </c>
      <c r="BK16" s="124">
        <v>2050</v>
      </c>
    </row>
    <row r="17" spans="1:63">
      <c r="A17" s="161" t="s">
        <v>1036</v>
      </c>
      <c r="B17" s="120" t="s">
        <v>303</v>
      </c>
      <c r="C17" s="162">
        <f>SUM(C18:C20)</f>
        <v>8123.4699999999993</v>
      </c>
      <c r="D17" s="162">
        <f t="shared" ref="D17:BK17" si="1">SUM(D18:D20)</f>
        <v>8103.15</v>
      </c>
      <c r="E17" s="162">
        <f t="shared" si="1"/>
        <v>8465.3799999999992</v>
      </c>
      <c r="F17" s="162">
        <f t="shared" si="1"/>
        <v>8917.1099999999988</v>
      </c>
      <c r="G17" s="162">
        <f t="shared" si="1"/>
        <v>9577.08</v>
      </c>
      <c r="H17" s="162">
        <f t="shared" si="1"/>
        <v>10239.76</v>
      </c>
      <c r="I17" s="162">
        <f t="shared" si="1"/>
        <v>10370.209999999999</v>
      </c>
      <c r="J17" s="162">
        <f t="shared" si="1"/>
        <v>10595.89</v>
      </c>
      <c r="K17" s="162">
        <f t="shared" si="1"/>
        <v>10800.29</v>
      </c>
      <c r="L17" s="162">
        <f t="shared" si="1"/>
        <v>11085.25</v>
      </c>
      <c r="M17" s="162">
        <f t="shared" si="1"/>
        <v>11635.18</v>
      </c>
      <c r="N17" s="162">
        <f t="shared" si="1"/>
        <v>11692.740000000002</v>
      </c>
      <c r="O17" s="162">
        <f t="shared" si="1"/>
        <v>12148.08</v>
      </c>
      <c r="P17" s="162">
        <f t="shared" si="1"/>
        <v>12682.55</v>
      </c>
      <c r="Q17" s="162">
        <f t="shared" si="1"/>
        <v>12975.97</v>
      </c>
      <c r="R17" s="162">
        <f t="shared" si="1"/>
        <v>13046.880000000001</v>
      </c>
      <c r="S17" s="162">
        <f t="shared" si="1"/>
        <v>13165.76</v>
      </c>
      <c r="T17" s="162">
        <f t="shared" si="1"/>
        <v>13268.76</v>
      </c>
      <c r="U17" s="162">
        <f t="shared" si="1"/>
        <v>13278.56</v>
      </c>
      <c r="V17" s="162">
        <f t="shared" si="1"/>
        <v>13085.960000000001</v>
      </c>
      <c r="W17" s="162">
        <f t="shared" si="1"/>
        <v>13334.779999999999</v>
      </c>
      <c r="X17" s="162">
        <f t="shared" si="1"/>
        <v>13318.210000000001</v>
      </c>
      <c r="Y17" s="162">
        <f t="shared" si="1"/>
        <v>12993.499999999998</v>
      </c>
      <c r="Z17" s="162">
        <f t="shared" si="1"/>
        <v>13068.25</v>
      </c>
      <c r="AA17" s="162">
        <f t="shared" si="1"/>
        <v>13326.980000000001</v>
      </c>
      <c r="AB17" s="162">
        <f t="shared" si="1"/>
        <v>13801.810000000001</v>
      </c>
      <c r="AC17" s="162">
        <f t="shared" si="1"/>
        <v>13894.369999999999</v>
      </c>
      <c r="AD17" s="162">
        <f t="shared" si="1"/>
        <v>14792.88</v>
      </c>
      <c r="AE17" s="162">
        <f t="shared" si="1"/>
        <v>15115.519999999999</v>
      </c>
      <c r="AF17" s="162">
        <f t="shared" si="1"/>
        <v>14644.25</v>
      </c>
      <c r="AG17" s="162">
        <f t="shared" si="1"/>
        <v>13192.24</v>
      </c>
      <c r="AH17" s="163">
        <f t="shared" si="1"/>
        <v>13846.17</v>
      </c>
      <c r="AI17" s="162">
        <f t="shared" si="1"/>
        <v>13889.24</v>
      </c>
      <c r="AJ17" s="162">
        <f t="shared" si="1"/>
        <v>14120.47</v>
      </c>
      <c r="AK17" s="162">
        <f t="shared" si="1"/>
        <v>14133.98</v>
      </c>
      <c r="AL17" s="162">
        <f t="shared" si="1"/>
        <v>14114.26</v>
      </c>
      <c r="AM17" s="162">
        <f t="shared" si="1"/>
        <v>14055.650000000001</v>
      </c>
      <c r="AN17" s="162">
        <f t="shared" si="1"/>
        <v>13974.05</v>
      </c>
      <c r="AO17" s="162">
        <f t="shared" si="1"/>
        <v>13868.86</v>
      </c>
      <c r="AP17" s="162">
        <f t="shared" si="1"/>
        <v>13766.07</v>
      </c>
      <c r="AQ17" s="162">
        <f t="shared" si="1"/>
        <v>13632.989999999998</v>
      </c>
      <c r="AR17" s="162">
        <f t="shared" si="1"/>
        <v>13483.090000000002</v>
      </c>
      <c r="AS17" s="162">
        <f t="shared" si="1"/>
        <v>13296.300000000001</v>
      </c>
      <c r="AT17" s="162">
        <f t="shared" si="1"/>
        <v>13078.220000000001</v>
      </c>
      <c r="AU17" s="162">
        <f t="shared" si="1"/>
        <v>12822.99</v>
      </c>
      <c r="AV17" s="162">
        <f t="shared" si="1"/>
        <v>12529.670000000002</v>
      </c>
      <c r="AW17" s="162">
        <f t="shared" si="1"/>
        <v>12204.390000000001</v>
      </c>
      <c r="AX17" s="162">
        <f t="shared" si="1"/>
        <v>11846.61</v>
      </c>
      <c r="AY17" s="162">
        <f t="shared" si="1"/>
        <v>11455.179999999998</v>
      </c>
      <c r="AZ17" s="162">
        <f t="shared" si="1"/>
        <v>11035.64</v>
      </c>
      <c r="BA17" s="162">
        <f t="shared" si="1"/>
        <v>10583.300000000001</v>
      </c>
      <c r="BB17" s="162">
        <f t="shared" si="1"/>
        <v>10130.790000000001</v>
      </c>
      <c r="BC17" s="162">
        <f t="shared" si="1"/>
        <v>9688.2899999999991</v>
      </c>
      <c r="BD17" s="162">
        <f t="shared" si="1"/>
        <v>9261.01</v>
      </c>
      <c r="BE17" s="162">
        <f t="shared" si="1"/>
        <v>8858.43</v>
      </c>
      <c r="BF17" s="162">
        <f t="shared" si="1"/>
        <v>8476.2199999999993</v>
      </c>
      <c r="BG17" s="162">
        <f t="shared" si="1"/>
        <v>8111.18</v>
      </c>
      <c r="BH17" s="162">
        <f t="shared" si="1"/>
        <v>7763.3200000000006</v>
      </c>
      <c r="BI17" s="162">
        <f t="shared" si="1"/>
        <v>7435.1100000000006</v>
      </c>
      <c r="BJ17" s="162">
        <f t="shared" si="1"/>
        <v>7121.77</v>
      </c>
      <c r="BK17" s="162">
        <f t="shared" si="1"/>
        <v>6828.7699999999995</v>
      </c>
    </row>
    <row r="18" spans="1:63" ht="18">
      <c r="A18" s="161" t="s">
        <v>1036</v>
      </c>
      <c r="B18" s="119" t="s">
        <v>1033</v>
      </c>
      <c r="C18" s="164">
        <v>7936.45</v>
      </c>
      <c r="D18" s="164">
        <v>7915.24</v>
      </c>
      <c r="E18" s="164">
        <v>8271.9699999999993</v>
      </c>
      <c r="F18" s="164">
        <v>8720.4</v>
      </c>
      <c r="G18" s="164">
        <v>9373.66</v>
      </c>
      <c r="H18" s="164">
        <v>10029.86</v>
      </c>
      <c r="I18" s="164">
        <v>10161.48</v>
      </c>
      <c r="J18" s="164">
        <v>10383.51</v>
      </c>
      <c r="K18" s="164">
        <v>10587.78</v>
      </c>
      <c r="L18" s="164">
        <v>10868.59</v>
      </c>
      <c r="M18" s="164">
        <v>11410.88</v>
      </c>
      <c r="N18" s="164">
        <v>11473.86</v>
      </c>
      <c r="O18" s="164">
        <v>11925.66</v>
      </c>
      <c r="P18" s="164">
        <v>12453.65</v>
      </c>
      <c r="Q18" s="164">
        <v>12742.48</v>
      </c>
      <c r="R18" s="164">
        <v>12817.9</v>
      </c>
      <c r="S18" s="164">
        <v>12944.51</v>
      </c>
      <c r="T18" s="164">
        <v>13053.26</v>
      </c>
      <c r="U18" s="164">
        <v>13073.8</v>
      </c>
      <c r="V18" s="164">
        <v>12887.11</v>
      </c>
      <c r="W18" s="164">
        <v>13145.48</v>
      </c>
      <c r="X18" s="164">
        <v>13137.15</v>
      </c>
      <c r="Y18" s="164">
        <v>12820.72</v>
      </c>
      <c r="Z18" s="164">
        <v>12899.39</v>
      </c>
      <c r="AA18" s="164">
        <v>13163.62</v>
      </c>
      <c r="AB18" s="164">
        <v>13643.28</v>
      </c>
      <c r="AC18" s="164">
        <v>13739.71</v>
      </c>
      <c r="AD18" s="164">
        <v>14658.42</v>
      </c>
      <c r="AE18" s="164">
        <v>14985.9</v>
      </c>
      <c r="AF18" s="164">
        <v>14517.6</v>
      </c>
      <c r="AG18" s="164">
        <v>13078.68</v>
      </c>
      <c r="AH18" s="165">
        <v>13733.4</v>
      </c>
      <c r="AI18" s="166">
        <v>13776.12</v>
      </c>
      <c r="AJ18" s="164">
        <v>14005.46</v>
      </c>
      <c r="AK18" s="164">
        <v>14018.86</v>
      </c>
      <c r="AL18" s="164">
        <v>13999.31</v>
      </c>
      <c r="AM18" s="164">
        <v>13941.17</v>
      </c>
      <c r="AN18" s="164">
        <v>13860.24</v>
      </c>
      <c r="AO18" s="164">
        <v>13755.9</v>
      </c>
      <c r="AP18" s="164">
        <v>13653.95</v>
      </c>
      <c r="AQ18" s="164">
        <v>13521.96</v>
      </c>
      <c r="AR18" s="164">
        <v>13373.27</v>
      </c>
      <c r="AS18" s="164">
        <v>13188.01</v>
      </c>
      <c r="AT18" s="164">
        <v>12971.7</v>
      </c>
      <c r="AU18" s="164">
        <v>12718.55</v>
      </c>
      <c r="AV18" s="164">
        <v>12427.62</v>
      </c>
      <c r="AW18" s="164">
        <v>12104.99</v>
      </c>
      <c r="AX18" s="164">
        <v>11750.12</v>
      </c>
      <c r="AY18" s="164">
        <v>11361.88</v>
      </c>
      <c r="AZ18" s="164">
        <v>10945.76</v>
      </c>
      <c r="BA18" s="164">
        <v>10497.1</v>
      </c>
      <c r="BB18" s="164">
        <v>10048.280000000001</v>
      </c>
      <c r="BC18" s="164">
        <v>9609.3799999999992</v>
      </c>
      <c r="BD18" s="164">
        <v>9185.58</v>
      </c>
      <c r="BE18" s="164">
        <v>8786.2800000000007</v>
      </c>
      <c r="BF18" s="164">
        <v>8407.18</v>
      </c>
      <c r="BG18" s="164">
        <v>8045.12</v>
      </c>
      <c r="BH18" s="164">
        <v>7700.09</v>
      </c>
      <c r="BI18" s="164">
        <v>7374.55</v>
      </c>
      <c r="BJ18" s="164">
        <v>7063.76</v>
      </c>
      <c r="BK18" s="164">
        <v>6773.15</v>
      </c>
    </row>
    <row r="19" spans="1:63" ht="18">
      <c r="A19" s="161" t="s">
        <v>1036</v>
      </c>
      <c r="B19" s="119" t="s">
        <v>1034</v>
      </c>
      <c r="C19" s="164">
        <v>88.78</v>
      </c>
      <c r="D19" s="164">
        <v>85.86</v>
      </c>
      <c r="E19" s="164">
        <v>84.01</v>
      </c>
      <c r="F19" s="164">
        <v>81.650000000000006</v>
      </c>
      <c r="G19" s="164">
        <v>80.34</v>
      </c>
      <c r="H19" s="164">
        <v>79.099999999999994</v>
      </c>
      <c r="I19" s="164">
        <v>75.459999999999994</v>
      </c>
      <c r="J19" s="164">
        <v>73.39</v>
      </c>
      <c r="K19" s="164">
        <v>70.33</v>
      </c>
      <c r="L19" s="164">
        <v>67.44</v>
      </c>
      <c r="M19" s="164">
        <v>63.93</v>
      </c>
      <c r="N19" s="164">
        <v>60.95</v>
      </c>
      <c r="O19" s="164">
        <v>59.37</v>
      </c>
      <c r="P19" s="164">
        <v>57.25</v>
      </c>
      <c r="Q19" s="164">
        <v>54.75</v>
      </c>
      <c r="R19" s="164">
        <v>51.62</v>
      </c>
      <c r="S19" s="164">
        <v>48</v>
      </c>
      <c r="T19" s="164">
        <v>45.79</v>
      </c>
      <c r="U19" s="164">
        <v>42.48</v>
      </c>
      <c r="V19" s="164">
        <v>40.43</v>
      </c>
      <c r="W19" s="164">
        <v>38.47</v>
      </c>
      <c r="X19" s="164">
        <v>36.03</v>
      </c>
      <c r="Y19" s="164">
        <v>34.15</v>
      </c>
      <c r="Z19" s="164">
        <v>33.340000000000003</v>
      </c>
      <c r="AA19" s="164">
        <v>32.18</v>
      </c>
      <c r="AB19" s="164">
        <v>31.04</v>
      </c>
      <c r="AC19" s="164">
        <v>29.95</v>
      </c>
      <c r="AD19" s="164">
        <v>25.06</v>
      </c>
      <c r="AE19" s="164">
        <v>23.3</v>
      </c>
      <c r="AF19" s="164">
        <v>21.67</v>
      </c>
      <c r="AG19" s="164">
        <v>19.14</v>
      </c>
      <c r="AH19" s="165">
        <v>18.09</v>
      </c>
      <c r="AI19" s="166">
        <v>18.149999999999999</v>
      </c>
      <c r="AJ19" s="164">
        <v>18.45</v>
      </c>
      <c r="AK19" s="164">
        <v>18.47</v>
      </c>
      <c r="AL19" s="164">
        <v>18.440000000000001</v>
      </c>
      <c r="AM19" s="164">
        <v>18.37</v>
      </c>
      <c r="AN19" s="164">
        <v>18.260000000000002</v>
      </c>
      <c r="AO19" s="164">
        <v>18.12</v>
      </c>
      <c r="AP19" s="164">
        <v>17.989999999999998</v>
      </c>
      <c r="AQ19" s="164">
        <v>17.809999999999999</v>
      </c>
      <c r="AR19" s="164">
        <v>17.62</v>
      </c>
      <c r="AS19" s="164">
        <v>17.37</v>
      </c>
      <c r="AT19" s="164">
        <v>17.09</v>
      </c>
      <c r="AU19" s="164">
        <v>16.760000000000002</v>
      </c>
      <c r="AV19" s="164">
        <v>16.37</v>
      </c>
      <c r="AW19" s="164">
        <v>15.95</v>
      </c>
      <c r="AX19" s="164">
        <v>15.48</v>
      </c>
      <c r="AY19" s="164">
        <v>14.97</v>
      </c>
      <c r="AZ19" s="164">
        <v>14.42</v>
      </c>
      <c r="BA19" s="164">
        <v>13.83</v>
      </c>
      <c r="BB19" s="164">
        <v>13.24</v>
      </c>
      <c r="BC19" s="164">
        <v>12.66</v>
      </c>
      <c r="BD19" s="164">
        <v>12.1</v>
      </c>
      <c r="BE19" s="164">
        <v>11.58</v>
      </c>
      <c r="BF19" s="164">
        <v>11.08</v>
      </c>
      <c r="BG19" s="164">
        <v>10.6</v>
      </c>
      <c r="BH19" s="164">
        <v>10.14</v>
      </c>
      <c r="BI19" s="164">
        <v>9.7200000000000006</v>
      </c>
      <c r="BJ19" s="164">
        <v>9.31</v>
      </c>
      <c r="BK19" s="164">
        <v>8.92</v>
      </c>
    </row>
    <row r="20" spans="1:63" ht="18">
      <c r="A20" s="161" t="s">
        <v>1036</v>
      </c>
      <c r="B20" s="119" t="s">
        <v>1035</v>
      </c>
      <c r="C20" s="164">
        <v>98.24</v>
      </c>
      <c r="D20" s="164">
        <v>102.05</v>
      </c>
      <c r="E20" s="164">
        <v>109.4</v>
      </c>
      <c r="F20" s="164">
        <v>115.06</v>
      </c>
      <c r="G20" s="164">
        <v>123.08</v>
      </c>
      <c r="H20" s="164">
        <v>130.80000000000001</v>
      </c>
      <c r="I20" s="164">
        <v>133.27000000000001</v>
      </c>
      <c r="J20" s="164">
        <v>138.99</v>
      </c>
      <c r="K20" s="164">
        <v>142.18</v>
      </c>
      <c r="L20" s="164">
        <v>149.22</v>
      </c>
      <c r="M20" s="164">
        <v>160.37</v>
      </c>
      <c r="N20" s="164">
        <v>157.93</v>
      </c>
      <c r="O20" s="164">
        <v>163.05000000000001</v>
      </c>
      <c r="P20" s="164">
        <v>171.65</v>
      </c>
      <c r="Q20" s="164">
        <v>178.74</v>
      </c>
      <c r="R20" s="164">
        <v>177.36</v>
      </c>
      <c r="S20" s="164">
        <v>173.25</v>
      </c>
      <c r="T20" s="164">
        <v>169.71</v>
      </c>
      <c r="U20" s="164">
        <v>162.28</v>
      </c>
      <c r="V20" s="164">
        <v>158.41999999999999</v>
      </c>
      <c r="W20" s="164">
        <v>150.83000000000001</v>
      </c>
      <c r="X20" s="164">
        <v>145.03</v>
      </c>
      <c r="Y20" s="164">
        <v>138.63</v>
      </c>
      <c r="Z20" s="164">
        <v>135.52000000000001</v>
      </c>
      <c r="AA20" s="164">
        <v>131.18</v>
      </c>
      <c r="AB20" s="164">
        <v>127.49</v>
      </c>
      <c r="AC20" s="164">
        <v>124.71</v>
      </c>
      <c r="AD20" s="164">
        <v>109.4</v>
      </c>
      <c r="AE20" s="164">
        <v>106.32</v>
      </c>
      <c r="AF20" s="164">
        <v>104.98</v>
      </c>
      <c r="AG20" s="164">
        <v>94.42</v>
      </c>
      <c r="AH20" s="165">
        <v>94.68</v>
      </c>
      <c r="AI20" s="166">
        <v>94.97</v>
      </c>
      <c r="AJ20" s="164">
        <v>96.56</v>
      </c>
      <c r="AK20" s="164">
        <v>96.65</v>
      </c>
      <c r="AL20" s="164">
        <v>96.51</v>
      </c>
      <c r="AM20" s="164">
        <v>96.11</v>
      </c>
      <c r="AN20" s="164">
        <v>95.55</v>
      </c>
      <c r="AO20" s="164">
        <v>94.84</v>
      </c>
      <c r="AP20" s="164">
        <v>94.13</v>
      </c>
      <c r="AQ20" s="164">
        <v>93.22</v>
      </c>
      <c r="AR20" s="164">
        <v>92.2</v>
      </c>
      <c r="AS20" s="164">
        <v>90.92</v>
      </c>
      <c r="AT20" s="164">
        <v>89.43</v>
      </c>
      <c r="AU20" s="164">
        <v>87.68</v>
      </c>
      <c r="AV20" s="164">
        <v>85.68</v>
      </c>
      <c r="AW20" s="164">
        <v>83.45</v>
      </c>
      <c r="AX20" s="164">
        <v>81.010000000000005</v>
      </c>
      <c r="AY20" s="164">
        <v>78.33</v>
      </c>
      <c r="AZ20" s="164">
        <v>75.459999999999994</v>
      </c>
      <c r="BA20" s="164">
        <v>72.37</v>
      </c>
      <c r="BB20" s="164">
        <v>69.27</v>
      </c>
      <c r="BC20" s="164">
        <v>66.25</v>
      </c>
      <c r="BD20" s="164">
        <v>63.33</v>
      </c>
      <c r="BE20" s="164">
        <v>60.57</v>
      </c>
      <c r="BF20" s="164">
        <v>57.96</v>
      </c>
      <c r="BG20" s="164">
        <v>55.46</v>
      </c>
      <c r="BH20" s="164">
        <v>53.09</v>
      </c>
      <c r="BI20" s="164">
        <v>50.84</v>
      </c>
      <c r="BJ20" s="164">
        <v>48.7</v>
      </c>
      <c r="BK20" s="164">
        <v>46.7</v>
      </c>
    </row>
    <row r="21" spans="1:63">
      <c r="C21" s="123"/>
      <c r="D21" s="123"/>
      <c r="E21" s="123"/>
      <c r="F21" s="123"/>
      <c r="G21" s="123"/>
      <c r="H21" s="123"/>
      <c r="I21" s="123"/>
      <c r="J21" s="123"/>
      <c r="K21" s="123"/>
      <c r="L21" s="123"/>
      <c r="M21" s="123"/>
      <c r="N21" s="123"/>
      <c r="O21" s="123"/>
      <c r="P21" s="123"/>
      <c r="Q21" s="123"/>
      <c r="R21" s="123"/>
      <c r="S21" s="123"/>
      <c r="T21" s="123"/>
      <c r="U21" s="123"/>
      <c r="V21" s="123"/>
      <c r="W21" s="123"/>
      <c r="X21" s="123"/>
      <c r="Y21" s="123"/>
      <c r="Z21" s="123"/>
      <c r="AA21" s="123"/>
      <c r="AB21" s="123"/>
      <c r="AC21" s="123"/>
      <c r="AD21" s="123"/>
      <c r="AE21" s="123"/>
      <c r="AF21" s="123"/>
      <c r="AG21" s="123"/>
      <c r="AH21" s="168"/>
      <c r="AI21" s="123"/>
      <c r="AJ21" s="123"/>
      <c r="AK21" s="123"/>
      <c r="AL21" s="123"/>
      <c r="AM21" s="123"/>
      <c r="AN21" s="123"/>
      <c r="AO21" s="123"/>
      <c r="AP21" s="123"/>
      <c r="AQ21" s="123"/>
      <c r="AR21" s="123"/>
      <c r="AS21" s="123"/>
      <c r="AT21" s="123"/>
      <c r="AU21" s="123"/>
      <c r="AV21" s="123"/>
      <c r="AW21" s="123"/>
      <c r="AX21" s="123"/>
      <c r="AY21" s="123"/>
      <c r="AZ21" s="123"/>
      <c r="BA21" s="123"/>
      <c r="BB21" s="123"/>
      <c r="BC21" s="123"/>
      <c r="BD21" s="123"/>
      <c r="BE21" s="123"/>
      <c r="BF21" s="123"/>
      <c r="BG21" s="123"/>
      <c r="BH21" s="123"/>
      <c r="BI21" s="123"/>
      <c r="BJ21" s="123"/>
      <c r="BK21" s="123"/>
    </row>
    <row r="22" spans="1:63">
      <c r="C22" s="123"/>
      <c r="D22" s="123"/>
      <c r="E22" s="123"/>
      <c r="F22" s="123"/>
      <c r="G22" s="123"/>
      <c r="H22" s="123"/>
      <c r="I22" s="123"/>
      <c r="J22" s="123"/>
      <c r="K22" s="123"/>
      <c r="L22" s="123"/>
      <c r="M22" s="123"/>
      <c r="N22" s="123"/>
      <c r="O22" s="123"/>
      <c r="P22" s="123"/>
      <c r="Q22" s="123"/>
      <c r="R22" s="123"/>
      <c r="S22" s="123"/>
      <c r="T22" s="123"/>
      <c r="U22" s="123"/>
      <c r="V22" s="123"/>
      <c r="W22" s="123"/>
      <c r="X22" s="123"/>
      <c r="Y22" s="123"/>
      <c r="Z22" s="123"/>
      <c r="AA22" s="123"/>
      <c r="AB22" s="123"/>
      <c r="AC22" s="123"/>
      <c r="AD22" s="123"/>
      <c r="AE22" s="123"/>
      <c r="AF22" s="123"/>
      <c r="AG22" s="123"/>
      <c r="AH22" s="168"/>
      <c r="AI22" s="123"/>
      <c r="AJ22" s="123"/>
      <c r="AK22" s="123"/>
      <c r="AL22" s="123"/>
      <c r="AM22" s="123"/>
      <c r="AN22" s="123"/>
      <c r="AO22" s="123"/>
      <c r="AP22" s="123"/>
      <c r="AQ22" s="123"/>
      <c r="AR22" s="123"/>
      <c r="AS22" s="123"/>
      <c r="AT22" s="123"/>
      <c r="AU22" s="123"/>
      <c r="AV22" s="123"/>
      <c r="AW22" s="123"/>
      <c r="AX22" s="123"/>
      <c r="AY22" s="123"/>
      <c r="AZ22" s="123"/>
      <c r="BA22" s="123"/>
      <c r="BB22" s="123"/>
      <c r="BC22" s="123"/>
      <c r="BD22" s="123"/>
      <c r="BE22" s="123"/>
      <c r="BF22" s="123"/>
      <c r="BG22" s="123"/>
      <c r="BH22" s="123"/>
      <c r="BI22" s="123"/>
      <c r="BJ22" s="123"/>
      <c r="BK22" s="123"/>
    </row>
    <row r="23" spans="1:63" s="47" customFormat="1">
      <c r="A23" s="171" t="s">
        <v>1030</v>
      </c>
      <c r="B23" s="117" t="s">
        <v>1031</v>
      </c>
      <c r="C23" s="124">
        <v>1990</v>
      </c>
      <c r="D23" s="124">
        <v>1991</v>
      </c>
      <c r="E23" s="124">
        <v>1992</v>
      </c>
      <c r="F23" s="124">
        <v>1993</v>
      </c>
      <c r="G23" s="124">
        <v>1994</v>
      </c>
      <c r="H23" s="124">
        <v>1995</v>
      </c>
      <c r="I23" s="124">
        <v>1996</v>
      </c>
      <c r="J23" s="124">
        <v>1997</v>
      </c>
      <c r="K23" s="124">
        <v>1998</v>
      </c>
      <c r="L23" s="124">
        <v>1999</v>
      </c>
      <c r="M23" s="124">
        <v>2000</v>
      </c>
      <c r="N23" s="124">
        <v>2001</v>
      </c>
      <c r="O23" s="124">
        <v>2002</v>
      </c>
      <c r="P23" s="124">
        <v>2003</v>
      </c>
      <c r="Q23" s="124">
        <v>2004</v>
      </c>
      <c r="R23" s="124">
        <v>2005</v>
      </c>
      <c r="S23" s="124">
        <v>2006</v>
      </c>
      <c r="T23" s="124">
        <v>2007</v>
      </c>
      <c r="U23" s="124">
        <v>2008</v>
      </c>
      <c r="V23" s="124">
        <v>2009</v>
      </c>
      <c r="W23" s="124">
        <v>2010</v>
      </c>
      <c r="X23" s="124">
        <v>2011</v>
      </c>
      <c r="Y23" s="124">
        <v>2012</v>
      </c>
      <c r="Z23" s="124">
        <v>2013</v>
      </c>
      <c r="AA23" s="124">
        <v>2014</v>
      </c>
      <c r="AB23" s="124">
        <v>2015</v>
      </c>
      <c r="AC23" s="124">
        <v>2016</v>
      </c>
      <c r="AD23" s="118">
        <v>2017</v>
      </c>
      <c r="AE23" s="118">
        <v>2018</v>
      </c>
      <c r="AF23" s="118">
        <v>2019</v>
      </c>
      <c r="AG23" s="118">
        <v>2020</v>
      </c>
      <c r="AH23" s="172">
        <v>2021</v>
      </c>
      <c r="AI23" s="118">
        <v>2022</v>
      </c>
      <c r="AJ23" s="118">
        <v>2023</v>
      </c>
      <c r="AK23" s="118">
        <v>2024</v>
      </c>
      <c r="AL23" s="118">
        <v>2025</v>
      </c>
      <c r="AM23" s="118">
        <v>2026</v>
      </c>
      <c r="AN23" s="118">
        <v>2027</v>
      </c>
      <c r="AO23" s="118">
        <v>2028</v>
      </c>
      <c r="AP23" s="118">
        <v>2029</v>
      </c>
      <c r="AQ23" s="118">
        <v>2030</v>
      </c>
      <c r="AR23" s="118">
        <v>2031</v>
      </c>
      <c r="AS23" s="118">
        <v>2032</v>
      </c>
      <c r="AT23" s="118">
        <v>2033</v>
      </c>
      <c r="AU23" s="118">
        <v>2034</v>
      </c>
      <c r="AV23" s="118">
        <v>2035</v>
      </c>
      <c r="AW23" s="118">
        <v>2036</v>
      </c>
      <c r="AX23" s="118">
        <v>2037</v>
      </c>
      <c r="AY23" s="118">
        <v>2038</v>
      </c>
      <c r="AZ23" s="118">
        <v>2039</v>
      </c>
      <c r="BA23" s="118">
        <v>2040</v>
      </c>
      <c r="BB23" s="118">
        <v>2041</v>
      </c>
      <c r="BC23" s="118">
        <v>2042</v>
      </c>
      <c r="BD23" s="118">
        <v>2043</v>
      </c>
      <c r="BE23" s="118">
        <v>2044</v>
      </c>
      <c r="BF23" s="118">
        <v>2045</v>
      </c>
      <c r="BG23" s="118">
        <v>2046</v>
      </c>
      <c r="BH23" s="118">
        <v>2047</v>
      </c>
      <c r="BI23" s="118">
        <v>2048</v>
      </c>
      <c r="BJ23" s="118">
        <v>2049</v>
      </c>
      <c r="BK23" s="118">
        <v>2050</v>
      </c>
    </row>
    <row r="24" spans="1:63">
      <c r="A24" s="119" t="s">
        <v>1037</v>
      </c>
      <c r="B24" s="120" t="s">
        <v>303</v>
      </c>
      <c r="C24" s="162">
        <f>SUM(C25:C27)</f>
        <v>36052.92</v>
      </c>
      <c r="D24" s="162">
        <f t="shared" ref="D24:BK24" si="2">SUM(D25:D27)</f>
        <v>36305.599999999999</v>
      </c>
      <c r="E24" s="162">
        <f t="shared" si="2"/>
        <v>35802.46</v>
      </c>
      <c r="F24" s="162">
        <f t="shared" si="2"/>
        <v>36186.239999999998</v>
      </c>
      <c r="G24" s="162">
        <f t="shared" si="2"/>
        <v>37363.370000000003</v>
      </c>
      <c r="H24" s="162">
        <f t="shared" si="2"/>
        <v>37941.46</v>
      </c>
      <c r="I24" s="162">
        <f t="shared" si="2"/>
        <v>38290.49</v>
      </c>
      <c r="J24" s="162">
        <f t="shared" si="2"/>
        <v>39201.39</v>
      </c>
      <c r="K24" s="162">
        <f t="shared" si="2"/>
        <v>38545.64</v>
      </c>
      <c r="L24" s="162">
        <f t="shared" si="2"/>
        <v>38790.620000000003</v>
      </c>
      <c r="M24" s="162">
        <f t="shared" si="2"/>
        <v>39947.78</v>
      </c>
      <c r="N24" s="162">
        <f t="shared" si="2"/>
        <v>40715.159999999996</v>
      </c>
      <c r="O24" s="162">
        <f t="shared" si="2"/>
        <v>40561.56</v>
      </c>
      <c r="P24" s="162">
        <f t="shared" si="2"/>
        <v>41154.449999999997</v>
      </c>
      <c r="Q24" s="162">
        <f t="shared" si="2"/>
        <v>41258.270000000004</v>
      </c>
      <c r="R24" s="162">
        <f t="shared" si="2"/>
        <v>41664.339999999997</v>
      </c>
      <c r="S24" s="162">
        <f t="shared" si="2"/>
        <v>41438.29</v>
      </c>
      <c r="T24" s="162">
        <f t="shared" si="2"/>
        <v>40496.509999999995</v>
      </c>
      <c r="U24" s="162">
        <f t="shared" si="2"/>
        <v>39092.180000000008</v>
      </c>
      <c r="V24" s="162">
        <f t="shared" si="2"/>
        <v>39232.319999999992</v>
      </c>
      <c r="W24" s="162">
        <f t="shared" si="2"/>
        <v>39461.519999999997</v>
      </c>
      <c r="X24" s="162">
        <f t="shared" si="2"/>
        <v>40065.619999999995</v>
      </c>
      <c r="Y24" s="162">
        <f t="shared" si="2"/>
        <v>40813.06</v>
      </c>
      <c r="Z24" s="162">
        <f t="shared" si="2"/>
        <v>40997.43</v>
      </c>
      <c r="AA24" s="162">
        <f t="shared" si="2"/>
        <v>41575.790000000008</v>
      </c>
      <c r="AB24" s="162">
        <f t="shared" si="2"/>
        <v>41042.85</v>
      </c>
      <c r="AC24" s="162">
        <f t="shared" si="2"/>
        <v>40576.680000000008</v>
      </c>
      <c r="AD24" s="162">
        <f t="shared" si="2"/>
        <v>40737.299999999996</v>
      </c>
      <c r="AE24" s="162">
        <f t="shared" si="2"/>
        <v>41064.229999999996</v>
      </c>
      <c r="AF24" s="162">
        <f t="shared" si="2"/>
        <v>41144.25</v>
      </c>
      <c r="AG24" s="162">
        <f t="shared" si="2"/>
        <v>41083.01</v>
      </c>
      <c r="AH24" s="163">
        <f t="shared" si="2"/>
        <v>40497.57</v>
      </c>
      <c r="AI24" s="162">
        <f t="shared" si="2"/>
        <v>39938.53</v>
      </c>
      <c r="AJ24" s="162">
        <f t="shared" si="2"/>
        <v>39519.47</v>
      </c>
      <c r="AK24" s="162">
        <f t="shared" si="2"/>
        <v>38899.699999999997</v>
      </c>
      <c r="AL24" s="162">
        <f t="shared" si="2"/>
        <v>38417.25</v>
      </c>
      <c r="AM24" s="162">
        <f t="shared" si="2"/>
        <v>38100.959999999999</v>
      </c>
      <c r="AN24" s="162">
        <f t="shared" si="2"/>
        <v>37855.03</v>
      </c>
      <c r="AO24" s="162">
        <f t="shared" si="2"/>
        <v>37617.120000000003</v>
      </c>
      <c r="AP24" s="162">
        <f t="shared" si="2"/>
        <v>37382.850000000006</v>
      </c>
      <c r="AQ24" s="162">
        <f t="shared" si="2"/>
        <v>37160.58</v>
      </c>
      <c r="AR24" s="162">
        <f t="shared" si="2"/>
        <v>36934.6</v>
      </c>
      <c r="AS24" s="162">
        <f t="shared" si="2"/>
        <v>36718.620000000003</v>
      </c>
      <c r="AT24" s="162">
        <f t="shared" si="2"/>
        <v>36522.68</v>
      </c>
      <c r="AU24" s="162">
        <f t="shared" si="2"/>
        <v>36417.74</v>
      </c>
      <c r="AV24" s="162">
        <f t="shared" si="2"/>
        <v>36364.370000000003</v>
      </c>
      <c r="AW24" s="162">
        <f t="shared" si="2"/>
        <v>36321.25</v>
      </c>
      <c r="AX24" s="162">
        <f t="shared" si="2"/>
        <v>36291.01</v>
      </c>
      <c r="AY24" s="162">
        <f t="shared" si="2"/>
        <v>36265.57</v>
      </c>
      <c r="AZ24" s="162">
        <f t="shared" si="2"/>
        <v>36237.19</v>
      </c>
      <c r="BA24" s="162">
        <f t="shared" si="2"/>
        <v>36208.83</v>
      </c>
      <c r="BB24" s="162">
        <f t="shared" si="2"/>
        <v>36180.39</v>
      </c>
      <c r="BC24" s="162">
        <f t="shared" si="2"/>
        <v>36155.599999999999</v>
      </c>
      <c r="BD24" s="162">
        <f t="shared" si="2"/>
        <v>36128.519999999997</v>
      </c>
      <c r="BE24" s="162">
        <f t="shared" si="2"/>
        <v>36102.19</v>
      </c>
      <c r="BF24" s="162">
        <f t="shared" si="2"/>
        <v>36074.589999999997</v>
      </c>
      <c r="BG24" s="162">
        <f t="shared" si="2"/>
        <v>36047.42</v>
      </c>
      <c r="BH24" s="162">
        <f t="shared" si="2"/>
        <v>36020.92</v>
      </c>
      <c r="BI24" s="162">
        <f t="shared" si="2"/>
        <v>35993.4</v>
      </c>
      <c r="BJ24" s="162">
        <f t="shared" si="2"/>
        <v>35966.71</v>
      </c>
      <c r="BK24" s="162">
        <f t="shared" si="2"/>
        <v>35934.76</v>
      </c>
    </row>
    <row r="25" spans="1:63" ht="18">
      <c r="A25" s="119" t="s">
        <v>1037</v>
      </c>
      <c r="B25" s="119" t="s">
        <v>1033</v>
      </c>
      <c r="C25" s="164">
        <v>335.68</v>
      </c>
      <c r="D25" s="164">
        <v>371.91</v>
      </c>
      <c r="E25" s="164">
        <v>394.77</v>
      </c>
      <c r="F25" s="164">
        <v>442.64</v>
      </c>
      <c r="G25" s="164">
        <v>500.41</v>
      </c>
      <c r="H25" s="164">
        <v>582.38</v>
      </c>
      <c r="I25" s="164">
        <v>541.38</v>
      </c>
      <c r="J25" s="164">
        <v>568.01</v>
      </c>
      <c r="K25" s="164">
        <v>644.78</v>
      </c>
      <c r="L25" s="164">
        <v>743.18</v>
      </c>
      <c r="M25" s="164">
        <v>790.78</v>
      </c>
      <c r="N25" s="164">
        <v>901.75</v>
      </c>
      <c r="O25" s="164">
        <v>1033.9000000000001</v>
      </c>
      <c r="P25" s="164">
        <v>1001.73</v>
      </c>
      <c r="Q25" s="164">
        <v>1006.91</v>
      </c>
      <c r="R25" s="164">
        <v>1064.0999999999999</v>
      </c>
      <c r="S25" s="164">
        <v>929.82</v>
      </c>
      <c r="T25" s="164">
        <v>995.82</v>
      </c>
      <c r="U25" s="164">
        <v>942.64</v>
      </c>
      <c r="V25" s="164">
        <v>965.77</v>
      </c>
      <c r="W25" s="164">
        <v>961.2</v>
      </c>
      <c r="X25" s="164">
        <v>1019.71</v>
      </c>
      <c r="Y25" s="164">
        <v>1056.78</v>
      </c>
      <c r="Z25" s="164">
        <v>965.93</v>
      </c>
      <c r="AA25" s="164">
        <v>998.76</v>
      </c>
      <c r="AB25" s="164">
        <v>1050.24</v>
      </c>
      <c r="AC25" s="164">
        <v>998.15</v>
      </c>
      <c r="AD25" s="164">
        <v>967.09</v>
      </c>
      <c r="AE25" s="164">
        <v>1016.54</v>
      </c>
      <c r="AF25" s="164">
        <v>1020.5</v>
      </c>
      <c r="AG25" s="164">
        <v>951.51</v>
      </c>
      <c r="AH25" s="165">
        <v>908.82</v>
      </c>
      <c r="AI25" s="166">
        <v>868.97</v>
      </c>
      <c r="AJ25" s="164">
        <v>907.23</v>
      </c>
      <c r="AK25" s="164">
        <v>905.16</v>
      </c>
      <c r="AL25" s="164">
        <v>903.27</v>
      </c>
      <c r="AM25" s="164">
        <v>897.25</v>
      </c>
      <c r="AN25" s="164">
        <v>891.46</v>
      </c>
      <c r="AO25" s="164">
        <v>885.39</v>
      </c>
      <c r="AP25" s="164">
        <v>879.24</v>
      </c>
      <c r="AQ25" s="164">
        <v>873.09</v>
      </c>
      <c r="AR25" s="164">
        <v>866.87</v>
      </c>
      <c r="AS25" s="164">
        <v>860.69</v>
      </c>
      <c r="AT25" s="164">
        <v>854.55</v>
      </c>
      <c r="AU25" s="164">
        <v>848.35</v>
      </c>
      <c r="AV25" s="164">
        <v>842.21</v>
      </c>
      <c r="AW25" s="164">
        <v>841.48</v>
      </c>
      <c r="AX25" s="164">
        <v>840.69</v>
      </c>
      <c r="AY25" s="164">
        <v>839.91</v>
      </c>
      <c r="AZ25" s="164">
        <v>839.15</v>
      </c>
      <c r="BA25" s="164">
        <v>838.44</v>
      </c>
      <c r="BB25" s="164">
        <v>837.69</v>
      </c>
      <c r="BC25" s="164">
        <v>836.93</v>
      </c>
      <c r="BD25" s="164">
        <v>836.17</v>
      </c>
      <c r="BE25" s="164">
        <v>835.49</v>
      </c>
      <c r="BF25" s="164">
        <v>834.72</v>
      </c>
      <c r="BG25" s="164">
        <v>833.93</v>
      </c>
      <c r="BH25" s="164">
        <v>833.23</v>
      </c>
      <c r="BI25" s="164">
        <v>832.49</v>
      </c>
      <c r="BJ25" s="164">
        <v>831.7</v>
      </c>
      <c r="BK25" s="164">
        <v>830.95</v>
      </c>
    </row>
    <row r="26" spans="1:63" ht="18">
      <c r="A26" s="119" t="s">
        <v>1037</v>
      </c>
      <c r="B26" s="119" t="s">
        <v>1034</v>
      </c>
      <c r="C26" s="164">
        <v>31029.68</v>
      </c>
      <c r="D26" s="164">
        <v>31179.07</v>
      </c>
      <c r="E26" s="164">
        <v>30640.11</v>
      </c>
      <c r="F26" s="164">
        <v>30782</v>
      </c>
      <c r="G26" s="164">
        <v>31720.63</v>
      </c>
      <c r="H26" s="164">
        <v>32016.67</v>
      </c>
      <c r="I26" s="164">
        <v>32333.83</v>
      </c>
      <c r="J26" s="164">
        <v>33156.93</v>
      </c>
      <c r="K26" s="164">
        <v>32481.37</v>
      </c>
      <c r="L26" s="164">
        <v>32606.5</v>
      </c>
      <c r="M26" s="164">
        <v>33474.9</v>
      </c>
      <c r="N26" s="164">
        <v>33823.35</v>
      </c>
      <c r="O26" s="164">
        <v>33479</v>
      </c>
      <c r="P26" s="164">
        <v>33899.879999999997</v>
      </c>
      <c r="Q26" s="164">
        <v>33908.949999999997</v>
      </c>
      <c r="R26" s="164">
        <v>34211.9</v>
      </c>
      <c r="S26" s="164">
        <v>34330.910000000003</v>
      </c>
      <c r="T26" s="164">
        <v>33462.35</v>
      </c>
      <c r="U26" s="164">
        <v>32133.02</v>
      </c>
      <c r="V26" s="164">
        <v>32253.96</v>
      </c>
      <c r="W26" s="164">
        <v>32356.43</v>
      </c>
      <c r="X26" s="164">
        <v>32777.06</v>
      </c>
      <c r="Y26" s="164">
        <v>33430.129999999997</v>
      </c>
      <c r="Z26" s="164">
        <v>33679.39</v>
      </c>
      <c r="AA26" s="164">
        <v>33985.870000000003</v>
      </c>
      <c r="AB26" s="164">
        <v>33468.44</v>
      </c>
      <c r="AC26" s="164">
        <v>33028.69</v>
      </c>
      <c r="AD26" s="164">
        <v>33159.32</v>
      </c>
      <c r="AE26" s="164">
        <v>33345.96</v>
      </c>
      <c r="AF26" s="164">
        <v>33413.58</v>
      </c>
      <c r="AG26" s="164">
        <v>33324.5</v>
      </c>
      <c r="AH26" s="165">
        <v>32983.64</v>
      </c>
      <c r="AI26" s="166">
        <v>32567.96</v>
      </c>
      <c r="AJ26" s="164">
        <v>32073.62</v>
      </c>
      <c r="AK26" s="164">
        <v>31530.19</v>
      </c>
      <c r="AL26" s="164">
        <v>31105.63</v>
      </c>
      <c r="AM26" s="164">
        <v>30843.21</v>
      </c>
      <c r="AN26" s="164">
        <v>30641.66</v>
      </c>
      <c r="AO26" s="164">
        <v>30448.09</v>
      </c>
      <c r="AP26" s="164">
        <v>30257.52</v>
      </c>
      <c r="AQ26" s="164">
        <v>30080.06</v>
      </c>
      <c r="AR26" s="164">
        <v>29894.97</v>
      </c>
      <c r="AS26" s="164">
        <v>29719.08</v>
      </c>
      <c r="AT26" s="164">
        <v>29562.76</v>
      </c>
      <c r="AU26" s="164">
        <v>29486.78</v>
      </c>
      <c r="AV26" s="164">
        <v>29456.58</v>
      </c>
      <c r="AW26" s="164">
        <v>29416.32</v>
      </c>
      <c r="AX26" s="164">
        <v>29389.77</v>
      </c>
      <c r="AY26" s="164">
        <v>29367.78</v>
      </c>
      <c r="AZ26" s="164">
        <v>29343.21</v>
      </c>
      <c r="BA26" s="164">
        <v>29318.66</v>
      </c>
      <c r="BB26" s="164">
        <v>29294.46</v>
      </c>
      <c r="BC26" s="164">
        <v>29273.73</v>
      </c>
      <c r="BD26" s="164">
        <v>29251.1</v>
      </c>
      <c r="BE26" s="164">
        <v>29228.89</v>
      </c>
      <c r="BF26" s="164">
        <v>29206.19</v>
      </c>
      <c r="BG26" s="164">
        <v>29183.98</v>
      </c>
      <c r="BH26" s="164">
        <v>29161.79</v>
      </c>
      <c r="BI26" s="164">
        <v>29139.1</v>
      </c>
      <c r="BJ26" s="164">
        <v>29117.75</v>
      </c>
      <c r="BK26" s="164">
        <v>29091.78</v>
      </c>
    </row>
    <row r="27" spans="1:63" ht="18">
      <c r="A27" s="119" t="s">
        <v>1037</v>
      </c>
      <c r="B27" s="119" t="s">
        <v>1035</v>
      </c>
      <c r="C27" s="164">
        <v>4687.5600000000004</v>
      </c>
      <c r="D27" s="164">
        <v>4754.62</v>
      </c>
      <c r="E27" s="164">
        <v>4767.58</v>
      </c>
      <c r="F27" s="164">
        <v>4961.6000000000004</v>
      </c>
      <c r="G27" s="164">
        <v>5142.33</v>
      </c>
      <c r="H27" s="164">
        <v>5342.41</v>
      </c>
      <c r="I27" s="164">
        <v>5415.28</v>
      </c>
      <c r="J27" s="164">
        <v>5476.45</v>
      </c>
      <c r="K27" s="164">
        <v>5419.49</v>
      </c>
      <c r="L27" s="164">
        <v>5440.94</v>
      </c>
      <c r="M27" s="164">
        <v>5682.1</v>
      </c>
      <c r="N27" s="164">
        <v>5990.06</v>
      </c>
      <c r="O27" s="164">
        <v>6048.66</v>
      </c>
      <c r="P27" s="164">
        <v>6252.84</v>
      </c>
      <c r="Q27" s="164">
        <v>6342.41</v>
      </c>
      <c r="R27" s="164">
        <v>6388.34</v>
      </c>
      <c r="S27" s="164">
        <v>6177.56</v>
      </c>
      <c r="T27" s="164">
        <v>6038.34</v>
      </c>
      <c r="U27" s="164">
        <v>6016.52</v>
      </c>
      <c r="V27" s="164">
        <v>6012.59</v>
      </c>
      <c r="W27" s="164">
        <v>6143.89</v>
      </c>
      <c r="X27" s="164">
        <v>6268.85</v>
      </c>
      <c r="Y27" s="164">
        <v>6326.15</v>
      </c>
      <c r="Z27" s="164">
        <v>6352.11</v>
      </c>
      <c r="AA27" s="164">
        <v>6591.16</v>
      </c>
      <c r="AB27" s="164">
        <v>6524.17</v>
      </c>
      <c r="AC27" s="164">
        <v>6549.84</v>
      </c>
      <c r="AD27" s="164">
        <v>6610.89</v>
      </c>
      <c r="AE27" s="164">
        <v>6701.73</v>
      </c>
      <c r="AF27" s="164">
        <v>6710.17</v>
      </c>
      <c r="AG27" s="164">
        <v>6807</v>
      </c>
      <c r="AH27" s="165">
        <v>6605.11</v>
      </c>
      <c r="AI27" s="166">
        <v>6501.6</v>
      </c>
      <c r="AJ27" s="164">
        <v>6538.62</v>
      </c>
      <c r="AK27" s="164">
        <v>6464.35</v>
      </c>
      <c r="AL27" s="164">
        <v>6408.35</v>
      </c>
      <c r="AM27" s="164">
        <v>6360.5</v>
      </c>
      <c r="AN27" s="164">
        <v>6321.91</v>
      </c>
      <c r="AO27" s="164">
        <v>6283.64</v>
      </c>
      <c r="AP27" s="164">
        <v>6246.09</v>
      </c>
      <c r="AQ27" s="164">
        <v>6207.43</v>
      </c>
      <c r="AR27" s="164">
        <v>6172.76</v>
      </c>
      <c r="AS27" s="164">
        <v>6138.85</v>
      </c>
      <c r="AT27" s="164">
        <v>6105.37</v>
      </c>
      <c r="AU27" s="164">
        <v>6082.61</v>
      </c>
      <c r="AV27" s="164">
        <v>6065.58</v>
      </c>
      <c r="AW27" s="164">
        <v>6063.45</v>
      </c>
      <c r="AX27" s="164">
        <v>6060.55</v>
      </c>
      <c r="AY27" s="164">
        <v>6057.88</v>
      </c>
      <c r="AZ27" s="164">
        <v>6054.83</v>
      </c>
      <c r="BA27" s="164">
        <v>6051.73</v>
      </c>
      <c r="BB27" s="164">
        <v>6048.24</v>
      </c>
      <c r="BC27" s="164">
        <v>6044.94</v>
      </c>
      <c r="BD27" s="164">
        <v>6041.25</v>
      </c>
      <c r="BE27" s="164">
        <v>6037.81</v>
      </c>
      <c r="BF27" s="164">
        <v>6033.68</v>
      </c>
      <c r="BG27" s="164">
        <v>6029.51</v>
      </c>
      <c r="BH27" s="164">
        <v>6025.9</v>
      </c>
      <c r="BI27" s="164">
        <v>6021.81</v>
      </c>
      <c r="BJ27" s="164">
        <v>6017.26</v>
      </c>
      <c r="BK27" s="164">
        <v>6012.03</v>
      </c>
    </row>
    <row r="28" spans="1:63">
      <c r="C28" s="123"/>
      <c r="D28" s="123"/>
      <c r="E28" s="123"/>
      <c r="F28" s="123"/>
      <c r="G28" s="123"/>
      <c r="H28" s="123"/>
      <c r="I28" s="123"/>
      <c r="J28" s="123"/>
      <c r="K28" s="123"/>
      <c r="L28" s="123"/>
      <c r="M28" s="123"/>
      <c r="N28" s="123"/>
      <c r="O28" s="123"/>
      <c r="P28" s="123"/>
      <c r="Q28" s="123"/>
      <c r="R28" s="123"/>
      <c r="S28" s="123"/>
      <c r="T28" s="123"/>
      <c r="U28" s="123"/>
      <c r="V28" s="123"/>
      <c r="W28" s="123"/>
      <c r="X28" s="123"/>
      <c r="Y28" s="123"/>
      <c r="Z28" s="123"/>
      <c r="AA28" s="123"/>
      <c r="AB28" s="123"/>
      <c r="AC28" s="123"/>
      <c r="AD28" s="123"/>
      <c r="AE28" s="123"/>
      <c r="AF28" s="123"/>
      <c r="AG28" s="123"/>
      <c r="AH28" s="168"/>
      <c r="AI28" s="123"/>
      <c r="AJ28" s="123"/>
      <c r="AK28" s="123"/>
      <c r="AL28" s="123"/>
      <c r="AM28" s="123"/>
      <c r="AN28" s="123"/>
      <c r="AO28" s="123"/>
      <c r="AP28" s="123"/>
      <c r="AQ28" s="123"/>
      <c r="AR28" s="123"/>
      <c r="AS28" s="123"/>
      <c r="AT28" s="123"/>
      <c r="AU28" s="123"/>
      <c r="AV28" s="123"/>
      <c r="AW28" s="123"/>
      <c r="AX28" s="123"/>
      <c r="AY28" s="123"/>
      <c r="AZ28" s="123"/>
      <c r="BA28" s="123"/>
      <c r="BB28" s="123"/>
      <c r="BC28" s="123"/>
      <c r="BD28" s="123"/>
      <c r="BE28" s="123"/>
      <c r="BF28" s="123"/>
      <c r="BG28" s="123"/>
      <c r="BH28" s="123"/>
      <c r="BI28" s="123"/>
      <c r="BJ28" s="123"/>
      <c r="BK28" s="123"/>
    </row>
    <row r="29" spans="1:63">
      <c r="C29" s="123"/>
      <c r="D29" s="123"/>
      <c r="E29" s="123"/>
      <c r="F29" s="123"/>
      <c r="G29" s="123"/>
      <c r="H29" s="123"/>
      <c r="I29" s="123"/>
      <c r="J29" s="123"/>
      <c r="K29" s="123"/>
      <c r="L29" s="123"/>
      <c r="M29" s="123"/>
      <c r="N29" s="123"/>
      <c r="O29" s="123"/>
      <c r="P29" s="123"/>
      <c r="Q29" s="123"/>
      <c r="R29" s="123"/>
      <c r="S29" s="123"/>
      <c r="T29" s="123"/>
      <c r="U29" s="123"/>
      <c r="V29" s="123"/>
      <c r="W29" s="123"/>
      <c r="X29" s="123"/>
      <c r="Y29" s="123"/>
      <c r="Z29" s="123"/>
      <c r="AA29" s="123"/>
      <c r="AB29" s="123"/>
      <c r="AC29" s="123"/>
      <c r="AD29" s="123"/>
      <c r="AE29" s="123"/>
      <c r="AF29" s="123"/>
      <c r="AG29" s="123"/>
      <c r="AH29" s="168"/>
      <c r="AI29" s="123"/>
      <c r="AJ29" s="123"/>
      <c r="AK29" s="123"/>
      <c r="AL29" s="123"/>
      <c r="AM29" s="123"/>
      <c r="AN29" s="123"/>
      <c r="AO29" s="123"/>
      <c r="AP29" s="123"/>
      <c r="AQ29" s="123"/>
      <c r="AR29" s="123"/>
      <c r="AS29" s="123"/>
      <c r="AT29" s="123"/>
      <c r="AU29" s="123"/>
      <c r="AV29" s="123"/>
      <c r="AW29" s="123"/>
      <c r="AX29" s="123"/>
      <c r="AY29" s="123"/>
      <c r="AZ29" s="123"/>
      <c r="BA29" s="123"/>
      <c r="BB29" s="123"/>
      <c r="BC29" s="123"/>
      <c r="BD29" s="123"/>
      <c r="BE29" s="123"/>
      <c r="BF29" s="123"/>
      <c r="BG29" s="123"/>
      <c r="BH29" s="123"/>
      <c r="BI29" s="123"/>
      <c r="BJ29" s="123"/>
      <c r="BK29" s="123"/>
    </row>
    <row r="30" spans="1:63" s="47" customFormat="1">
      <c r="A30" s="171" t="s">
        <v>1030</v>
      </c>
      <c r="B30" s="117" t="s">
        <v>1031</v>
      </c>
      <c r="C30" s="118">
        <v>1990</v>
      </c>
      <c r="D30" s="118">
        <v>1991</v>
      </c>
      <c r="E30" s="118">
        <v>1992</v>
      </c>
      <c r="F30" s="118">
        <v>1993</v>
      </c>
      <c r="G30" s="118">
        <v>1994</v>
      </c>
      <c r="H30" s="118">
        <v>1995</v>
      </c>
      <c r="I30" s="118">
        <v>1996</v>
      </c>
      <c r="J30" s="118">
        <v>1997</v>
      </c>
      <c r="K30" s="118">
        <v>1998</v>
      </c>
      <c r="L30" s="118">
        <v>1999</v>
      </c>
      <c r="M30" s="118">
        <v>2000</v>
      </c>
      <c r="N30" s="118">
        <v>2001</v>
      </c>
      <c r="O30" s="118">
        <v>2002</v>
      </c>
      <c r="P30" s="118">
        <v>2003</v>
      </c>
      <c r="Q30" s="118">
        <v>2004</v>
      </c>
      <c r="R30" s="118">
        <v>2005</v>
      </c>
      <c r="S30" s="118">
        <v>2006</v>
      </c>
      <c r="T30" s="118">
        <v>2007</v>
      </c>
      <c r="U30" s="118">
        <v>2008</v>
      </c>
      <c r="V30" s="118">
        <v>2009</v>
      </c>
      <c r="W30" s="118">
        <v>2010</v>
      </c>
      <c r="X30" s="118">
        <v>2011</v>
      </c>
      <c r="Y30" s="118">
        <v>2012</v>
      </c>
      <c r="Z30" s="118">
        <v>2013</v>
      </c>
      <c r="AA30" s="118">
        <v>2014</v>
      </c>
      <c r="AB30" s="118">
        <v>2015</v>
      </c>
      <c r="AC30" s="118">
        <v>2016</v>
      </c>
      <c r="AD30" s="118">
        <v>2017</v>
      </c>
      <c r="AE30" s="118">
        <v>2018</v>
      </c>
      <c r="AF30" s="118">
        <v>2019</v>
      </c>
      <c r="AG30" s="118">
        <v>2020</v>
      </c>
      <c r="AH30" s="172">
        <v>2021</v>
      </c>
      <c r="AI30" s="118">
        <v>2022</v>
      </c>
      <c r="AJ30" s="118">
        <v>2023</v>
      </c>
      <c r="AK30" s="118">
        <v>2024</v>
      </c>
      <c r="AL30" s="118">
        <v>2025</v>
      </c>
      <c r="AM30" s="118">
        <v>2026</v>
      </c>
      <c r="AN30" s="118">
        <v>2027</v>
      </c>
      <c r="AO30" s="118">
        <v>2028</v>
      </c>
      <c r="AP30" s="118">
        <v>2029</v>
      </c>
      <c r="AQ30" s="118">
        <v>2030</v>
      </c>
      <c r="AR30" s="118">
        <v>2031</v>
      </c>
      <c r="AS30" s="118">
        <v>2032</v>
      </c>
      <c r="AT30" s="118">
        <v>2033</v>
      </c>
      <c r="AU30" s="118">
        <v>2034</v>
      </c>
      <c r="AV30" s="118">
        <v>2035</v>
      </c>
      <c r="AW30" s="118">
        <v>2036</v>
      </c>
      <c r="AX30" s="118">
        <v>2037</v>
      </c>
      <c r="AY30" s="118">
        <v>2038</v>
      </c>
      <c r="AZ30" s="118">
        <v>2039</v>
      </c>
      <c r="BA30" s="118">
        <v>2040</v>
      </c>
      <c r="BB30" s="118">
        <v>2041</v>
      </c>
      <c r="BC30" s="118">
        <v>2042</v>
      </c>
      <c r="BD30" s="118">
        <v>2043</v>
      </c>
      <c r="BE30" s="118">
        <v>2044</v>
      </c>
      <c r="BF30" s="118">
        <v>2045</v>
      </c>
      <c r="BG30" s="118">
        <v>2046</v>
      </c>
      <c r="BH30" s="118">
        <v>2047</v>
      </c>
      <c r="BI30" s="118">
        <v>2048</v>
      </c>
      <c r="BJ30" s="118">
        <v>2049</v>
      </c>
      <c r="BK30" s="118">
        <v>2050</v>
      </c>
    </row>
    <row r="31" spans="1:63">
      <c r="A31" s="119" t="s">
        <v>1038</v>
      </c>
      <c r="B31" s="120" t="s">
        <v>303</v>
      </c>
      <c r="C31" s="162">
        <f>SUM(C32:C34)</f>
        <v>4372.75</v>
      </c>
      <c r="D31" s="162">
        <f t="shared" ref="D31:AF31" si="3">SUM(D32:D34)</f>
        <v>4493.6499999999996</v>
      </c>
      <c r="E31" s="162">
        <f t="shared" si="3"/>
        <v>4607.3099999999995</v>
      </c>
      <c r="F31" s="162">
        <f t="shared" si="3"/>
        <v>4725.1500000000005</v>
      </c>
      <c r="G31" s="162">
        <f t="shared" si="3"/>
        <v>4596.63</v>
      </c>
      <c r="H31" s="162">
        <f t="shared" si="3"/>
        <v>4700.2700000000004</v>
      </c>
      <c r="I31" s="162">
        <f t="shared" si="3"/>
        <v>4797.3799999999992</v>
      </c>
      <c r="J31" s="162">
        <f t="shared" si="3"/>
        <v>4865.95</v>
      </c>
      <c r="K31" s="162">
        <f t="shared" si="3"/>
        <v>4861.25</v>
      </c>
      <c r="L31" s="162">
        <f t="shared" si="3"/>
        <v>4890.09</v>
      </c>
      <c r="M31" s="162">
        <f t="shared" si="3"/>
        <v>4921.0499999999993</v>
      </c>
      <c r="N31" s="162">
        <f t="shared" si="3"/>
        <v>4945.2700000000004</v>
      </c>
      <c r="O31" s="162">
        <f t="shared" si="3"/>
        <v>4961.83</v>
      </c>
      <c r="P31" s="162">
        <f t="shared" si="3"/>
        <v>4855.83</v>
      </c>
      <c r="Q31" s="162">
        <f t="shared" si="3"/>
        <v>4875.1400000000003</v>
      </c>
      <c r="R31" s="162">
        <f t="shared" si="3"/>
        <v>4861.8200000000006</v>
      </c>
      <c r="S31" s="162">
        <f t="shared" si="3"/>
        <v>4639.8899999999994</v>
      </c>
      <c r="T31" s="162">
        <f t="shared" si="3"/>
        <v>4599.12</v>
      </c>
      <c r="U31" s="162">
        <f t="shared" si="3"/>
        <v>4504.4399999999996</v>
      </c>
      <c r="V31" s="162">
        <f t="shared" si="3"/>
        <v>4357.4999999999991</v>
      </c>
      <c r="W31" s="162">
        <f t="shared" si="3"/>
        <v>4294.6499999999996</v>
      </c>
      <c r="X31" s="162">
        <f t="shared" si="3"/>
        <v>4126.8599999999997</v>
      </c>
      <c r="Y31" s="162">
        <f t="shared" si="3"/>
        <v>4007.8900000000003</v>
      </c>
      <c r="Z31" s="162">
        <f t="shared" si="3"/>
        <v>3951.99</v>
      </c>
      <c r="AA31" s="162">
        <f t="shared" si="3"/>
        <v>3903.12</v>
      </c>
      <c r="AB31" s="162">
        <f t="shared" si="3"/>
        <v>3860.82</v>
      </c>
      <c r="AC31" s="162">
        <f t="shared" si="3"/>
        <v>3828.4</v>
      </c>
      <c r="AD31" s="162">
        <f t="shared" si="3"/>
        <v>3785.77</v>
      </c>
      <c r="AE31" s="162">
        <f t="shared" si="3"/>
        <v>3711.07</v>
      </c>
      <c r="AF31" s="162">
        <f t="shared" si="3"/>
        <v>3659.63</v>
      </c>
      <c r="AG31" s="162">
        <f>SUM(AG32:AG34)</f>
        <v>3609.0541234000002</v>
      </c>
      <c r="AH31" s="163">
        <f>SUM(AH32:AH34)</f>
        <v>3550.8385631000001</v>
      </c>
      <c r="AI31" s="162">
        <f t="shared" ref="AI31:BK31" si="4">SUM(AI32:AI34)</f>
        <v>3526.653734979182</v>
      </c>
      <c r="AJ31" s="162">
        <f t="shared" si="4"/>
        <v>3509.3359371571428</v>
      </c>
      <c r="AK31" s="162">
        <f t="shared" si="4"/>
        <v>3481.0554749944076</v>
      </c>
      <c r="AL31" s="162">
        <f t="shared" si="4"/>
        <v>3441.1167264607575</v>
      </c>
      <c r="AM31" s="162">
        <f t="shared" si="4"/>
        <v>3347.3017614757659</v>
      </c>
      <c r="AN31" s="162">
        <f t="shared" si="4"/>
        <v>3262.4865743801442</v>
      </c>
      <c r="AO31" s="162">
        <f t="shared" si="4"/>
        <v>3188.1124138901464</v>
      </c>
      <c r="AP31" s="162">
        <f t="shared" si="4"/>
        <v>3167.3292301110037</v>
      </c>
      <c r="AQ31" s="162">
        <f t="shared" si="4"/>
        <v>3147.7786026994809</v>
      </c>
      <c r="AR31" s="162">
        <f t="shared" si="4"/>
        <v>3128.1604195386544</v>
      </c>
      <c r="AS31" s="162">
        <f t="shared" si="4"/>
        <v>3115.271345567181</v>
      </c>
      <c r="AT31" s="162">
        <f t="shared" si="4"/>
        <v>3105.0254048715542</v>
      </c>
      <c r="AU31" s="162">
        <f t="shared" si="4"/>
        <v>3096.0691083553565</v>
      </c>
      <c r="AV31" s="162">
        <f t="shared" si="4"/>
        <v>3088.5871967277599</v>
      </c>
      <c r="AW31" s="162">
        <f t="shared" si="4"/>
        <v>3081.486309360439</v>
      </c>
      <c r="AX31" s="162">
        <f t="shared" si="4"/>
        <v>3074.890923818597</v>
      </c>
      <c r="AY31" s="162">
        <f t="shared" si="4"/>
        <v>3068.7047409998027</v>
      </c>
      <c r="AZ31" s="162">
        <f t="shared" si="4"/>
        <v>3062.8868723183973</v>
      </c>
      <c r="BA31" s="162">
        <f t="shared" si="4"/>
        <v>3057.5773297190558</v>
      </c>
      <c r="BB31" s="162">
        <f t="shared" si="4"/>
        <v>3053.0730030403543</v>
      </c>
      <c r="BC31" s="162">
        <f t="shared" si="4"/>
        <v>3049.1852005784458</v>
      </c>
      <c r="BD31" s="162">
        <f t="shared" si="4"/>
        <v>3045.867683095641</v>
      </c>
      <c r="BE31" s="162">
        <f t="shared" si="4"/>
        <v>3042.9519101266255</v>
      </c>
      <c r="BF31" s="162">
        <f t="shared" si="4"/>
        <v>3040.5546761639721</v>
      </c>
      <c r="BG31" s="162">
        <f t="shared" si="4"/>
        <v>3038.4254421024634</v>
      </c>
      <c r="BH31" s="162">
        <f t="shared" si="4"/>
        <v>3036.4552411190998</v>
      </c>
      <c r="BI31" s="162">
        <f t="shared" si="4"/>
        <v>3034.7440100387798</v>
      </c>
      <c r="BJ31" s="162">
        <f t="shared" si="4"/>
        <v>3033.2682825136148</v>
      </c>
      <c r="BK31" s="162">
        <f t="shared" si="4"/>
        <v>3032.0625578128661</v>
      </c>
    </row>
    <row r="32" spans="1:63" ht="18">
      <c r="A32" s="119" t="s">
        <v>1038</v>
      </c>
      <c r="B32" s="119" t="s">
        <v>1033</v>
      </c>
      <c r="C32" s="164">
        <v>158.91</v>
      </c>
      <c r="D32" s="164">
        <v>157.84</v>
      </c>
      <c r="E32" s="164">
        <v>156.15</v>
      </c>
      <c r="F32" s="164">
        <v>158.91999999999999</v>
      </c>
      <c r="G32" s="164">
        <v>137.63</v>
      </c>
      <c r="H32" s="164">
        <v>136.26</v>
      </c>
      <c r="I32" s="164">
        <v>131.03</v>
      </c>
      <c r="J32" s="164">
        <v>139.87</v>
      </c>
      <c r="K32" s="164">
        <v>148.52000000000001</v>
      </c>
      <c r="L32" s="164">
        <v>156.72</v>
      </c>
      <c r="M32" s="164">
        <v>149.72999999999999</v>
      </c>
      <c r="N32" s="164">
        <v>138.52000000000001</v>
      </c>
      <c r="O32" s="164">
        <v>131.6</v>
      </c>
      <c r="P32" s="164">
        <v>123.42</v>
      </c>
      <c r="Q32" s="164">
        <v>124.25</v>
      </c>
      <c r="R32" s="164">
        <v>119.46</v>
      </c>
      <c r="S32" s="164">
        <v>118.53</v>
      </c>
      <c r="T32" s="164">
        <v>114.88</v>
      </c>
      <c r="U32" s="164">
        <v>109.91</v>
      </c>
      <c r="V32" s="164">
        <v>107.66</v>
      </c>
      <c r="W32" s="164">
        <v>108.66</v>
      </c>
      <c r="X32" s="164">
        <v>105.31</v>
      </c>
      <c r="Y32" s="164">
        <v>105.57</v>
      </c>
      <c r="Z32" s="164">
        <v>102.91</v>
      </c>
      <c r="AA32" s="164">
        <v>102.98</v>
      </c>
      <c r="AB32" s="164">
        <v>100.34</v>
      </c>
      <c r="AC32" s="164">
        <v>100.78</v>
      </c>
      <c r="AD32" s="164">
        <v>95.22</v>
      </c>
      <c r="AE32" s="164">
        <v>92.42</v>
      </c>
      <c r="AF32" s="164">
        <v>90.26</v>
      </c>
      <c r="AG32" s="164">
        <v>89.8</v>
      </c>
      <c r="AH32" s="165">
        <v>90.62</v>
      </c>
      <c r="AI32" s="166">
        <v>97.567674296144176</v>
      </c>
      <c r="AJ32" s="164">
        <v>97.063404029885021</v>
      </c>
      <c r="AK32" s="164">
        <v>96.581553328818885</v>
      </c>
      <c r="AL32" s="164">
        <v>96.120213241074822</v>
      </c>
      <c r="AM32" s="164">
        <v>95.677708702651643</v>
      </c>
      <c r="AN32" s="164">
        <v>95.252561823512465</v>
      </c>
      <c r="AO32" s="164">
        <v>94.843462106307257</v>
      </c>
      <c r="AP32" s="164">
        <v>94.449242083829233</v>
      </c>
      <c r="AQ32" s="164">
        <v>94.068857233499486</v>
      </c>
      <c r="AR32" s="164">
        <v>93.701369298321922</v>
      </c>
      <c r="AS32" s="164">
        <v>93.34593234371485</v>
      </c>
      <c r="AT32" s="164">
        <v>93.001781028759851</v>
      </c>
      <c r="AU32" s="164">
        <v>92.668220682802442</v>
      </c>
      <c r="AV32" s="164">
        <v>92.344618863872171</v>
      </c>
      <c r="AW32" s="164">
        <v>92.030398141076319</v>
      </c>
      <c r="AX32" s="164">
        <v>91.725029893992215</v>
      </c>
      <c r="AY32" s="164">
        <v>91.428028961801985</v>
      </c>
      <c r="AZ32" s="164">
        <v>91.138949006147371</v>
      </c>
      <c r="BA32" s="164">
        <v>90.857378476429886</v>
      </c>
      <c r="BB32" s="164">
        <v>90.582937086006936</v>
      </c>
      <c r="BC32" s="164">
        <v>90.315272723567645</v>
      </c>
      <c r="BD32" s="164">
        <v>90.054058736746597</v>
      </c>
      <c r="BE32" s="164">
        <v>89.798991535407382</v>
      </c>
      <c r="BF32" s="164">
        <v>89.549788470487428</v>
      </c>
      <c r="BG32" s="164">
        <v>89.306185951239328</v>
      </c>
      <c r="BH32" s="164">
        <v>89.067937769421263</v>
      </c>
      <c r="BI32" s="164">
        <v>88.834813603726303</v>
      </c>
      <c r="BJ32" s="164">
        <v>88.606597681677272</v>
      </c>
      <c r="BK32" s="164">
        <v>88.38308757950098</v>
      </c>
    </row>
    <row r="33" spans="1:63" ht="18">
      <c r="A33" s="119" t="s">
        <v>1038</v>
      </c>
      <c r="B33" s="119" t="s">
        <v>1034</v>
      </c>
      <c r="C33" s="164">
        <v>4113.01</v>
      </c>
      <c r="D33" s="164">
        <v>4232.7</v>
      </c>
      <c r="E33" s="164">
        <v>4347.3</v>
      </c>
      <c r="F33" s="164">
        <v>4461.05</v>
      </c>
      <c r="G33" s="164">
        <v>4356.22</v>
      </c>
      <c r="H33" s="164">
        <v>4460</v>
      </c>
      <c r="I33" s="164">
        <v>4561.82</v>
      </c>
      <c r="J33" s="164">
        <v>4619.1099999999997</v>
      </c>
      <c r="K33" s="164">
        <v>4602.1899999999996</v>
      </c>
      <c r="L33" s="164">
        <v>4619.72</v>
      </c>
      <c r="M33" s="164">
        <v>4656.5</v>
      </c>
      <c r="N33" s="164">
        <v>4690.63</v>
      </c>
      <c r="O33" s="164">
        <v>4719.25</v>
      </c>
      <c r="P33" s="164">
        <v>4621.29</v>
      </c>
      <c r="Q33" s="164">
        <v>4638.76</v>
      </c>
      <c r="R33" s="164">
        <v>4630.3</v>
      </c>
      <c r="S33" s="164">
        <v>4408.67</v>
      </c>
      <c r="T33" s="164">
        <v>4371.26</v>
      </c>
      <c r="U33" s="164">
        <v>4281.55</v>
      </c>
      <c r="V33" s="164">
        <v>4135.6899999999996</v>
      </c>
      <c r="W33" s="164">
        <v>4069.58</v>
      </c>
      <c r="X33" s="164">
        <v>3903.31</v>
      </c>
      <c r="Y33" s="164">
        <v>3782.01</v>
      </c>
      <c r="Z33" s="164">
        <v>3725.97</v>
      </c>
      <c r="AA33" s="164">
        <v>3673.29</v>
      </c>
      <c r="AB33" s="164">
        <v>3629.69</v>
      </c>
      <c r="AC33" s="164">
        <v>3592.08</v>
      </c>
      <c r="AD33" s="164">
        <v>3551.55</v>
      </c>
      <c r="AE33" s="164">
        <v>3476.48</v>
      </c>
      <c r="AF33" s="164">
        <v>3423.2</v>
      </c>
      <c r="AG33" s="164">
        <v>3370.3436219999999</v>
      </c>
      <c r="AH33" s="165">
        <v>3309.890472</v>
      </c>
      <c r="AI33" s="166">
        <v>3276.5304491285351</v>
      </c>
      <c r="AJ33" s="164">
        <v>3258.0790558029457</v>
      </c>
      <c r="AK33" s="164">
        <v>3228.1599950169962</v>
      </c>
      <c r="AL33" s="164">
        <v>3186.9729257269964</v>
      </c>
      <c r="AM33" s="164">
        <v>3091.5362585792</v>
      </c>
      <c r="AN33" s="164">
        <v>3005.3581125862283</v>
      </c>
      <c r="AO33" s="164">
        <v>2929.3383807951218</v>
      </c>
      <c r="AP33" s="164">
        <v>2907.1456912310196</v>
      </c>
      <c r="AQ33" s="164">
        <v>2886.2526831375712</v>
      </c>
      <c r="AR33" s="164">
        <v>2865.9575010779636</v>
      </c>
      <c r="AS33" s="164">
        <v>2852.3904805397283</v>
      </c>
      <c r="AT33" s="164">
        <v>2841.471626637604</v>
      </c>
      <c r="AU33" s="164">
        <v>2832.0099267440005</v>
      </c>
      <c r="AV33" s="164">
        <v>2824.0437038835298</v>
      </c>
      <c r="AW33" s="164">
        <v>2816.4698167912529</v>
      </c>
      <c r="AX33" s="164">
        <v>2809.3898858397529</v>
      </c>
      <c r="AY33" s="164">
        <v>2802.7226630376085</v>
      </c>
      <c r="AZ33" s="164">
        <v>2796.4279201222676</v>
      </c>
      <c r="BA33" s="164">
        <v>2790.6244066335607</v>
      </c>
      <c r="BB33" s="164">
        <v>2785.6285048480586</v>
      </c>
      <c r="BC33" s="164">
        <v>2781.252666861069</v>
      </c>
      <c r="BD33" s="164">
        <v>2777.4526647480993</v>
      </c>
      <c r="BE33" s="164">
        <v>2774.0602707626181</v>
      </c>
      <c r="BF33" s="164">
        <v>2771.1906596713666</v>
      </c>
      <c r="BG33" s="164">
        <v>2768.6034068655472</v>
      </c>
      <c r="BH33" s="164">
        <v>2766.1874571684643</v>
      </c>
      <c r="BI33" s="164">
        <v>2764.0361341030562</v>
      </c>
      <c r="BJ33" s="164">
        <v>2762.1288170887228</v>
      </c>
      <c r="BK33" s="164">
        <v>2760.5057534608768</v>
      </c>
    </row>
    <row r="34" spans="1:63" ht="18">
      <c r="A34" s="119" t="s">
        <v>1038</v>
      </c>
      <c r="B34" s="119" t="s">
        <v>1035</v>
      </c>
      <c r="C34" s="164">
        <v>100.83</v>
      </c>
      <c r="D34" s="164">
        <v>103.11</v>
      </c>
      <c r="E34" s="164">
        <v>103.86</v>
      </c>
      <c r="F34" s="164">
        <v>105.18</v>
      </c>
      <c r="G34" s="164">
        <v>102.78</v>
      </c>
      <c r="H34" s="164">
        <v>104.01</v>
      </c>
      <c r="I34" s="164">
        <v>104.53</v>
      </c>
      <c r="J34" s="164">
        <v>106.97</v>
      </c>
      <c r="K34" s="164">
        <v>110.54</v>
      </c>
      <c r="L34" s="164">
        <v>113.65</v>
      </c>
      <c r="M34" s="164">
        <v>114.82</v>
      </c>
      <c r="N34" s="164">
        <v>116.12</v>
      </c>
      <c r="O34" s="164">
        <v>110.98</v>
      </c>
      <c r="P34" s="164">
        <v>111.12</v>
      </c>
      <c r="Q34" s="164">
        <v>112.13</v>
      </c>
      <c r="R34" s="164">
        <v>112.06</v>
      </c>
      <c r="S34" s="164">
        <v>112.69</v>
      </c>
      <c r="T34" s="164">
        <v>112.98</v>
      </c>
      <c r="U34" s="164">
        <v>112.98</v>
      </c>
      <c r="V34" s="164">
        <v>114.15</v>
      </c>
      <c r="W34" s="164">
        <v>116.41</v>
      </c>
      <c r="X34" s="164">
        <v>118.24</v>
      </c>
      <c r="Y34" s="164">
        <v>120.31</v>
      </c>
      <c r="Z34" s="164">
        <v>123.11</v>
      </c>
      <c r="AA34" s="164">
        <v>126.85</v>
      </c>
      <c r="AB34" s="164">
        <v>130.79</v>
      </c>
      <c r="AC34" s="164">
        <v>135.54</v>
      </c>
      <c r="AD34" s="164">
        <v>139</v>
      </c>
      <c r="AE34" s="164">
        <v>142.16999999999999</v>
      </c>
      <c r="AF34" s="164">
        <v>146.16999999999999</v>
      </c>
      <c r="AG34" s="164">
        <v>148.91050139999999</v>
      </c>
      <c r="AH34" s="165">
        <v>150.32809109999999</v>
      </c>
      <c r="AI34" s="166">
        <v>152.55561155450272</v>
      </c>
      <c r="AJ34" s="164">
        <v>154.19347732431211</v>
      </c>
      <c r="AK34" s="164">
        <v>156.31392664859266</v>
      </c>
      <c r="AL34" s="164">
        <v>158.02358749268626</v>
      </c>
      <c r="AM34" s="164">
        <v>160.08779419391411</v>
      </c>
      <c r="AN34" s="164">
        <v>161.87589997040311</v>
      </c>
      <c r="AO34" s="164">
        <v>163.93057098871719</v>
      </c>
      <c r="AP34" s="164">
        <v>165.73429679615498</v>
      </c>
      <c r="AQ34" s="164">
        <v>167.45706232841022</v>
      </c>
      <c r="AR34" s="164">
        <v>168.50154916236912</v>
      </c>
      <c r="AS34" s="164">
        <v>169.53493268373768</v>
      </c>
      <c r="AT34" s="164">
        <v>170.55199720519019</v>
      </c>
      <c r="AU34" s="164">
        <v>171.39096092855388</v>
      </c>
      <c r="AV34" s="164">
        <v>172.1988739803578</v>
      </c>
      <c r="AW34" s="164">
        <v>172.98609442811014</v>
      </c>
      <c r="AX34" s="164">
        <v>173.7760080848519</v>
      </c>
      <c r="AY34" s="164">
        <v>174.55404900039241</v>
      </c>
      <c r="AZ34" s="164">
        <v>175.32000318998226</v>
      </c>
      <c r="BA34" s="164">
        <v>176.0955446090652</v>
      </c>
      <c r="BB34" s="164">
        <v>176.86156110628855</v>
      </c>
      <c r="BC34" s="164">
        <v>177.61726099380951</v>
      </c>
      <c r="BD34" s="164">
        <v>178.36095961079513</v>
      </c>
      <c r="BE34" s="164">
        <v>179.09264782859995</v>
      </c>
      <c r="BF34" s="164">
        <v>179.81422802211813</v>
      </c>
      <c r="BG34" s="164">
        <v>180.51584928567675</v>
      </c>
      <c r="BH34" s="164">
        <v>181.19984618121416</v>
      </c>
      <c r="BI34" s="164">
        <v>181.8730623319974</v>
      </c>
      <c r="BJ34" s="164">
        <v>182.53286774321501</v>
      </c>
      <c r="BK34" s="164">
        <v>183.17371677248832</v>
      </c>
    </row>
    <row r="35" spans="1:63">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3"/>
      <c r="AE35" s="123"/>
      <c r="AF35" s="123"/>
      <c r="AG35" s="123"/>
      <c r="AH35" s="168"/>
      <c r="AI35" s="123"/>
      <c r="AJ35" s="123"/>
      <c r="AK35" s="123"/>
      <c r="AL35" s="123"/>
      <c r="AM35" s="123"/>
      <c r="AN35" s="123"/>
      <c r="AO35" s="123"/>
      <c r="AP35" s="123"/>
      <c r="AQ35" s="123"/>
      <c r="AR35" s="123"/>
      <c r="AS35" s="123"/>
      <c r="AT35" s="123"/>
      <c r="AU35" s="123"/>
      <c r="AV35" s="123"/>
      <c r="AW35" s="123"/>
      <c r="AX35" s="123"/>
      <c r="AY35" s="123"/>
      <c r="AZ35" s="123"/>
      <c r="BA35" s="123"/>
      <c r="BB35" s="123"/>
      <c r="BC35" s="123"/>
      <c r="BD35" s="123"/>
      <c r="BE35" s="123"/>
      <c r="BF35" s="123"/>
      <c r="BG35" s="123"/>
      <c r="BH35" s="123"/>
      <c r="BI35" s="123"/>
      <c r="BJ35" s="123"/>
      <c r="BK35" s="123"/>
    </row>
    <row r="36" spans="1:63">
      <c r="C36" s="123"/>
      <c r="D36" s="123"/>
      <c r="E36" s="123"/>
      <c r="F36" s="123"/>
      <c r="G36" s="123"/>
      <c r="H36" s="123"/>
      <c r="I36" s="123"/>
      <c r="J36" s="123"/>
      <c r="K36" s="123"/>
      <c r="L36" s="123"/>
      <c r="M36" s="123"/>
      <c r="N36" s="123"/>
      <c r="O36" s="123"/>
      <c r="P36" s="123"/>
      <c r="Q36" s="123"/>
      <c r="R36" s="123"/>
      <c r="S36" s="123"/>
      <c r="T36" s="123"/>
      <c r="U36" s="123"/>
      <c r="V36" s="123"/>
      <c r="W36" s="123"/>
      <c r="X36" s="123"/>
      <c r="Y36" s="123"/>
      <c r="Z36" s="123"/>
      <c r="AA36" s="123"/>
      <c r="AB36" s="123"/>
      <c r="AC36" s="123"/>
      <c r="AD36" s="123"/>
      <c r="AE36" s="123"/>
      <c r="AF36" s="123"/>
      <c r="AG36" s="123"/>
      <c r="AH36" s="168"/>
      <c r="AI36" s="123"/>
      <c r="AJ36" s="123"/>
      <c r="AK36" s="123"/>
      <c r="AL36" s="123"/>
      <c r="AM36" s="123"/>
      <c r="AN36" s="123"/>
      <c r="AO36" s="123"/>
      <c r="AP36" s="123"/>
      <c r="AQ36" s="123"/>
      <c r="AR36" s="123"/>
      <c r="AS36" s="123"/>
      <c r="AT36" s="123"/>
      <c r="AU36" s="123"/>
      <c r="AV36" s="123"/>
      <c r="AW36" s="123"/>
      <c r="AX36" s="123"/>
      <c r="AY36" s="123"/>
      <c r="AZ36" s="123"/>
      <c r="BA36" s="123"/>
      <c r="BB36" s="123"/>
      <c r="BC36" s="123"/>
      <c r="BD36" s="123"/>
      <c r="BE36" s="123"/>
      <c r="BF36" s="123"/>
      <c r="BG36" s="123"/>
      <c r="BH36" s="123"/>
      <c r="BI36" s="123"/>
      <c r="BJ36" s="123"/>
      <c r="BK36" s="123"/>
    </row>
    <row r="37" spans="1:63" s="47" customFormat="1">
      <c r="A37" s="171" t="s">
        <v>1030</v>
      </c>
      <c r="B37" s="117" t="s">
        <v>1031</v>
      </c>
      <c r="C37" s="124">
        <v>1990</v>
      </c>
      <c r="D37" s="124">
        <v>1991</v>
      </c>
      <c r="E37" s="124">
        <v>1992</v>
      </c>
      <c r="F37" s="124">
        <v>1993</v>
      </c>
      <c r="G37" s="124">
        <v>1994</v>
      </c>
      <c r="H37" s="124">
        <v>1995</v>
      </c>
      <c r="I37" s="124">
        <v>1996</v>
      </c>
      <c r="J37" s="124">
        <v>1997</v>
      </c>
      <c r="K37" s="124">
        <v>1998</v>
      </c>
      <c r="L37" s="124">
        <v>1999</v>
      </c>
      <c r="M37" s="124">
        <v>2000</v>
      </c>
      <c r="N37" s="124">
        <v>2001</v>
      </c>
      <c r="O37" s="124">
        <v>2002</v>
      </c>
      <c r="P37" s="124">
        <v>2003</v>
      </c>
      <c r="Q37" s="124">
        <v>2004</v>
      </c>
      <c r="R37" s="124">
        <v>2005</v>
      </c>
      <c r="S37" s="124">
        <v>2006</v>
      </c>
      <c r="T37" s="124">
        <v>2007</v>
      </c>
      <c r="U37" s="124">
        <v>2008</v>
      </c>
      <c r="V37" s="124">
        <v>2009</v>
      </c>
      <c r="W37" s="124">
        <v>2010</v>
      </c>
      <c r="X37" s="124">
        <v>2011</v>
      </c>
      <c r="Y37" s="124">
        <v>2012</v>
      </c>
      <c r="Z37" s="124">
        <v>2013</v>
      </c>
      <c r="AA37" s="124">
        <v>2014</v>
      </c>
      <c r="AB37" s="124">
        <v>2015</v>
      </c>
      <c r="AC37" s="124">
        <v>2016</v>
      </c>
      <c r="AD37" s="118">
        <v>2017</v>
      </c>
      <c r="AE37" s="118">
        <v>2018</v>
      </c>
      <c r="AF37" s="118">
        <v>2019</v>
      </c>
      <c r="AG37" s="118">
        <v>2020</v>
      </c>
      <c r="AH37" s="172">
        <v>2021</v>
      </c>
      <c r="AI37" s="118">
        <v>2022</v>
      </c>
      <c r="AJ37" s="118">
        <v>2023</v>
      </c>
      <c r="AK37" s="118">
        <v>2024</v>
      </c>
      <c r="AL37" s="118">
        <v>2025</v>
      </c>
      <c r="AM37" s="118">
        <v>2026</v>
      </c>
      <c r="AN37" s="118">
        <v>2027</v>
      </c>
      <c r="AO37" s="118">
        <v>2028</v>
      </c>
      <c r="AP37" s="118">
        <v>2029</v>
      </c>
      <c r="AQ37" s="118">
        <v>2030</v>
      </c>
      <c r="AR37" s="118">
        <v>2031</v>
      </c>
      <c r="AS37" s="118">
        <v>2032</v>
      </c>
      <c r="AT37" s="118">
        <v>2033</v>
      </c>
      <c r="AU37" s="118">
        <v>2034</v>
      </c>
      <c r="AV37" s="118">
        <v>2035</v>
      </c>
      <c r="AW37" s="118">
        <v>2036</v>
      </c>
      <c r="AX37" s="118">
        <v>2037</v>
      </c>
      <c r="AY37" s="118">
        <v>2038</v>
      </c>
      <c r="AZ37" s="118">
        <v>2039</v>
      </c>
      <c r="BA37" s="118">
        <v>2040</v>
      </c>
      <c r="BB37" s="118">
        <v>2041</v>
      </c>
      <c r="BC37" s="118">
        <v>2042</v>
      </c>
      <c r="BD37" s="118">
        <v>2043</v>
      </c>
      <c r="BE37" s="118">
        <v>2044</v>
      </c>
      <c r="BF37" s="118">
        <v>2045</v>
      </c>
      <c r="BG37" s="118">
        <v>2046</v>
      </c>
      <c r="BH37" s="118">
        <v>2047</v>
      </c>
      <c r="BI37" s="118">
        <v>2048</v>
      </c>
      <c r="BJ37" s="118">
        <v>2049</v>
      </c>
      <c r="BK37" s="118">
        <v>2050</v>
      </c>
    </row>
    <row r="38" spans="1:63">
      <c r="A38" s="161" t="s">
        <v>1039</v>
      </c>
      <c r="B38" s="120" t="s">
        <v>303</v>
      </c>
      <c r="C38" s="162">
        <f>SUM(C39:C41)</f>
        <v>850.25</v>
      </c>
      <c r="D38" s="162">
        <f t="shared" ref="D38:BK38" si="5">SUM(D39:D41)</f>
        <v>858.37</v>
      </c>
      <c r="E38" s="162">
        <f t="shared" si="5"/>
        <v>1117.43</v>
      </c>
      <c r="F38" s="162">
        <f t="shared" si="5"/>
        <v>1191.1199999999999</v>
      </c>
      <c r="G38" s="162">
        <f t="shared" si="5"/>
        <v>1328.49</v>
      </c>
      <c r="H38" s="162">
        <f t="shared" si="5"/>
        <v>881.39</v>
      </c>
      <c r="I38" s="162">
        <f t="shared" si="5"/>
        <v>63.45</v>
      </c>
      <c r="J38" s="162">
        <f t="shared" si="5"/>
        <v>-1319.64</v>
      </c>
      <c r="K38" s="162">
        <f t="shared" si="5"/>
        <v>-3370.38</v>
      </c>
      <c r="L38" s="162">
        <f t="shared" si="5"/>
        <v>-5899.66</v>
      </c>
      <c r="M38" s="162">
        <f t="shared" si="5"/>
        <v>-6045.99</v>
      </c>
      <c r="N38" s="162">
        <f t="shared" si="5"/>
        <v>-8560.69</v>
      </c>
      <c r="O38" s="162">
        <f t="shared" si="5"/>
        <v>-10490.04</v>
      </c>
      <c r="P38" s="162">
        <f t="shared" si="5"/>
        <v>-10231.209999999999</v>
      </c>
      <c r="Q38" s="162">
        <f t="shared" si="5"/>
        <v>-7958.18</v>
      </c>
      <c r="R38" s="162">
        <f t="shared" si="5"/>
        <v>-4041.68</v>
      </c>
      <c r="S38" s="162">
        <f t="shared" si="5"/>
        <v>-1405.91</v>
      </c>
      <c r="T38" s="162">
        <f t="shared" si="5"/>
        <v>2986.46</v>
      </c>
      <c r="U38" s="162">
        <f t="shared" si="5"/>
        <v>-13812.9</v>
      </c>
      <c r="V38" s="162">
        <f t="shared" si="5"/>
        <v>-11782.19</v>
      </c>
      <c r="W38" s="162">
        <f t="shared" si="5"/>
        <v>-11670.17</v>
      </c>
      <c r="X38" s="162">
        <f t="shared" si="5"/>
        <v>-12779.04</v>
      </c>
      <c r="Y38" s="162">
        <f t="shared" si="5"/>
        <v>-11036.96</v>
      </c>
      <c r="Z38" s="162">
        <f t="shared" si="5"/>
        <v>-8724.74</v>
      </c>
      <c r="AA38" s="162">
        <f t="shared" si="5"/>
        <v>-11232.75</v>
      </c>
      <c r="AB38" s="162">
        <f t="shared" si="5"/>
        <v>-11884.86</v>
      </c>
      <c r="AC38" s="162">
        <f t="shared" si="5"/>
        <v>-11309.65</v>
      </c>
      <c r="AD38" s="162">
        <f t="shared" si="5"/>
        <v>-10158.709999999999</v>
      </c>
      <c r="AE38" s="162">
        <f t="shared" si="5"/>
        <v>-10124.09</v>
      </c>
      <c r="AF38" s="162">
        <f t="shared" si="5"/>
        <v>-9202.64</v>
      </c>
      <c r="AG38" s="162">
        <f t="shared" si="5"/>
        <v>-7705.42</v>
      </c>
      <c r="AH38" s="163">
        <f t="shared" si="5"/>
        <v>-7031.13</v>
      </c>
      <c r="AI38" s="162">
        <f t="shared" si="5"/>
        <v>-6231.45</v>
      </c>
      <c r="AJ38" s="162">
        <f t="shared" si="5"/>
        <v>-5659.95</v>
      </c>
      <c r="AK38" s="162">
        <f t="shared" si="5"/>
        <v>-5499.68</v>
      </c>
      <c r="AL38" s="162">
        <f t="shared" si="5"/>
        <v>-6414.41</v>
      </c>
      <c r="AM38" s="162">
        <f t="shared" si="5"/>
        <v>-7869.03</v>
      </c>
      <c r="AN38" s="162">
        <f t="shared" si="5"/>
        <v>-9860.14</v>
      </c>
      <c r="AO38" s="162">
        <f t="shared" si="5"/>
        <v>-12269.26</v>
      </c>
      <c r="AP38" s="162">
        <f t="shared" si="5"/>
        <v>-14552.42</v>
      </c>
      <c r="AQ38" s="162">
        <f t="shared" si="5"/>
        <v>-16354.76</v>
      </c>
      <c r="AR38" s="162">
        <f t="shared" si="5"/>
        <v>-17284.04</v>
      </c>
      <c r="AS38" s="162">
        <f t="shared" si="5"/>
        <v>-17729.64</v>
      </c>
      <c r="AT38" s="162">
        <f t="shared" si="5"/>
        <v>-18467.849999999999</v>
      </c>
      <c r="AU38" s="162">
        <f t="shared" si="5"/>
        <v>-18992.759999999998</v>
      </c>
      <c r="AV38" s="162">
        <f t="shared" si="5"/>
        <v>-19777.060000000001</v>
      </c>
      <c r="AW38" s="162">
        <f t="shared" si="5"/>
        <v>-21017.94</v>
      </c>
      <c r="AX38" s="162">
        <f t="shared" si="5"/>
        <v>-23285.42</v>
      </c>
      <c r="AY38" s="162">
        <f t="shared" si="5"/>
        <v>-24587</v>
      </c>
      <c r="AZ38" s="162">
        <f t="shared" si="5"/>
        <v>-25980.15</v>
      </c>
      <c r="BA38" s="162">
        <f t="shared" si="5"/>
        <v>-27292.2</v>
      </c>
      <c r="BB38" s="162">
        <f t="shared" si="5"/>
        <v>-28577.77</v>
      </c>
      <c r="BC38" s="162">
        <f t="shared" si="5"/>
        <v>-29501.48</v>
      </c>
      <c r="BD38" s="162">
        <f t="shared" si="5"/>
        <v>-29884</v>
      </c>
      <c r="BE38" s="162">
        <f t="shared" si="5"/>
        <v>-29926.43</v>
      </c>
      <c r="BF38" s="162">
        <f t="shared" si="5"/>
        <v>-29249.55</v>
      </c>
      <c r="BG38" s="162">
        <f t="shared" si="5"/>
        <v>-28462.82</v>
      </c>
      <c r="BH38" s="162">
        <f t="shared" si="5"/>
        <v>-27676.33</v>
      </c>
      <c r="BI38" s="162">
        <f t="shared" si="5"/>
        <v>-27774.11</v>
      </c>
      <c r="BJ38" s="162">
        <f t="shared" si="5"/>
        <v>-27877.89</v>
      </c>
      <c r="BK38" s="162">
        <f t="shared" si="5"/>
        <v>-28019.67</v>
      </c>
    </row>
    <row r="39" spans="1:63" ht="18">
      <c r="A39" s="161" t="s">
        <v>1039</v>
      </c>
      <c r="B39" s="119" t="s">
        <v>1033</v>
      </c>
      <c r="C39" s="164">
        <v>850.25</v>
      </c>
      <c r="D39" s="164">
        <v>858.37</v>
      </c>
      <c r="E39" s="164">
        <v>1117.43</v>
      </c>
      <c r="F39" s="164">
        <v>1191.1199999999999</v>
      </c>
      <c r="G39" s="164">
        <v>1328.49</v>
      </c>
      <c r="H39" s="164">
        <v>881.39</v>
      </c>
      <c r="I39" s="164">
        <v>63.45</v>
      </c>
      <c r="J39" s="164">
        <v>-1319.64</v>
      </c>
      <c r="K39" s="164">
        <v>-3370.38</v>
      </c>
      <c r="L39" s="164">
        <v>-5899.66</v>
      </c>
      <c r="M39" s="164">
        <v>-6045.99</v>
      </c>
      <c r="N39" s="164">
        <v>-8560.69</v>
      </c>
      <c r="O39" s="164">
        <v>-10490.04</v>
      </c>
      <c r="P39" s="164">
        <v>-10231.209999999999</v>
      </c>
      <c r="Q39" s="164">
        <v>-7958.18</v>
      </c>
      <c r="R39" s="164">
        <v>-4041.68</v>
      </c>
      <c r="S39" s="164">
        <v>-1405.91</v>
      </c>
      <c r="T39" s="164">
        <v>2986.46</v>
      </c>
      <c r="U39" s="164">
        <v>-13812.9</v>
      </c>
      <c r="V39" s="164">
        <v>-11782.19</v>
      </c>
      <c r="W39" s="164">
        <v>-11670.17</v>
      </c>
      <c r="X39" s="164">
        <v>-12779.04</v>
      </c>
      <c r="Y39" s="164">
        <v>-11036.96</v>
      </c>
      <c r="Z39" s="164">
        <v>-8724.74</v>
      </c>
      <c r="AA39" s="164">
        <v>-11232.75</v>
      </c>
      <c r="AB39" s="164">
        <v>-11884.86</v>
      </c>
      <c r="AC39" s="164">
        <v>-11309.65</v>
      </c>
      <c r="AD39" s="164">
        <v>-10158.709999999999</v>
      </c>
      <c r="AE39" s="164">
        <v>-10124.09</v>
      </c>
      <c r="AF39" s="164">
        <v>-9202.64</v>
      </c>
      <c r="AG39" s="164">
        <v>-7705.42</v>
      </c>
      <c r="AH39" s="165">
        <v>-7031.13</v>
      </c>
      <c r="AI39" s="166">
        <v>-6231.45</v>
      </c>
      <c r="AJ39" s="164">
        <v>-5659.95</v>
      </c>
      <c r="AK39" s="164">
        <v>-5499.68</v>
      </c>
      <c r="AL39" s="164">
        <v>-6414.41</v>
      </c>
      <c r="AM39" s="164">
        <v>-7869.03</v>
      </c>
      <c r="AN39" s="164">
        <v>-9860.14</v>
      </c>
      <c r="AO39" s="164">
        <v>-12269.26</v>
      </c>
      <c r="AP39" s="164">
        <v>-14552.42</v>
      </c>
      <c r="AQ39" s="164">
        <v>-16354.76</v>
      </c>
      <c r="AR39" s="164">
        <v>-17284.04</v>
      </c>
      <c r="AS39" s="164">
        <v>-17729.64</v>
      </c>
      <c r="AT39" s="164">
        <v>-18467.849999999999</v>
      </c>
      <c r="AU39" s="164">
        <v>-18992.759999999998</v>
      </c>
      <c r="AV39" s="164">
        <v>-19777.060000000001</v>
      </c>
      <c r="AW39" s="164">
        <v>-21017.94</v>
      </c>
      <c r="AX39" s="164">
        <v>-23285.42</v>
      </c>
      <c r="AY39" s="164">
        <v>-24587</v>
      </c>
      <c r="AZ39" s="164">
        <v>-25980.15</v>
      </c>
      <c r="BA39" s="164">
        <v>-27292.2</v>
      </c>
      <c r="BB39" s="164">
        <v>-28577.77</v>
      </c>
      <c r="BC39" s="164">
        <v>-29501.48</v>
      </c>
      <c r="BD39" s="164">
        <v>-29884</v>
      </c>
      <c r="BE39" s="164">
        <v>-29926.43</v>
      </c>
      <c r="BF39" s="164">
        <v>-29249.55</v>
      </c>
      <c r="BG39" s="164">
        <v>-28462.82</v>
      </c>
      <c r="BH39" s="164">
        <v>-27676.33</v>
      </c>
      <c r="BI39" s="164">
        <v>-27774.11</v>
      </c>
      <c r="BJ39" s="164">
        <v>-27877.89</v>
      </c>
      <c r="BK39" s="164">
        <v>-28019.67</v>
      </c>
    </row>
    <row r="40" spans="1:63" ht="18">
      <c r="A40" s="161" t="s">
        <v>1039</v>
      </c>
      <c r="B40" s="119" t="s">
        <v>1034</v>
      </c>
      <c r="C40" s="164">
        <v>0</v>
      </c>
      <c r="D40" s="164">
        <v>0</v>
      </c>
      <c r="E40" s="164">
        <v>0</v>
      </c>
      <c r="F40" s="164">
        <v>0</v>
      </c>
      <c r="G40" s="164">
        <v>0</v>
      </c>
      <c r="H40" s="164">
        <v>0</v>
      </c>
      <c r="I40" s="164">
        <v>0</v>
      </c>
      <c r="J40" s="164">
        <v>0</v>
      </c>
      <c r="K40" s="164">
        <v>0</v>
      </c>
      <c r="L40" s="164">
        <v>0</v>
      </c>
      <c r="M40" s="164">
        <v>0</v>
      </c>
      <c r="N40" s="164">
        <v>0</v>
      </c>
      <c r="O40" s="164">
        <v>0</v>
      </c>
      <c r="P40" s="164">
        <v>0</v>
      </c>
      <c r="Q40" s="164">
        <v>0</v>
      </c>
      <c r="R40" s="164">
        <v>0</v>
      </c>
      <c r="S40" s="164">
        <v>0</v>
      </c>
      <c r="T40" s="164">
        <v>0</v>
      </c>
      <c r="U40" s="164">
        <v>0</v>
      </c>
      <c r="V40" s="164">
        <v>0</v>
      </c>
      <c r="W40" s="164">
        <v>0</v>
      </c>
      <c r="X40" s="164">
        <v>0</v>
      </c>
      <c r="Y40" s="164">
        <v>0</v>
      </c>
      <c r="Z40" s="164">
        <v>0</v>
      </c>
      <c r="AA40" s="164">
        <v>0</v>
      </c>
      <c r="AB40" s="164">
        <v>0</v>
      </c>
      <c r="AC40" s="164">
        <v>0</v>
      </c>
      <c r="AD40" s="164">
        <v>0</v>
      </c>
      <c r="AE40" s="164">
        <v>0</v>
      </c>
      <c r="AF40" s="164">
        <v>0</v>
      </c>
      <c r="AG40" s="164">
        <v>0</v>
      </c>
      <c r="AH40" s="165">
        <v>0</v>
      </c>
      <c r="AI40" s="166">
        <v>0</v>
      </c>
      <c r="AJ40" s="164">
        <v>0</v>
      </c>
      <c r="AK40" s="164">
        <v>0</v>
      </c>
      <c r="AL40" s="164">
        <v>0</v>
      </c>
      <c r="AM40" s="164">
        <v>0</v>
      </c>
      <c r="AN40" s="164">
        <v>0</v>
      </c>
      <c r="AO40" s="164">
        <v>0</v>
      </c>
      <c r="AP40" s="164">
        <v>0</v>
      </c>
      <c r="AQ40" s="164">
        <v>0</v>
      </c>
      <c r="AR40" s="164">
        <v>0</v>
      </c>
      <c r="AS40" s="164">
        <v>0</v>
      </c>
      <c r="AT40" s="164">
        <v>0</v>
      </c>
      <c r="AU40" s="164">
        <v>0</v>
      </c>
      <c r="AV40" s="164">
        <v>0</v>
      </c>
      <c r="AW40" s="164">
        <v>0</v>
      </c>
      <c r="AX40" s="164">
        <v>0</v>
      </c>
      <c r="AY40" s="164">
        <v>0</v>
      </c>
      <c r="AZ40" s="164">
        <v>0</v>
      </c>
      <c r="BA40" s="164">
        <v>0</v>
      </c>
      <c r="BB40" s="164">
        <v>0</v>
      </c>
      <c r="BC40" s="164">
        <v>0</v>
      </c>
      <c r="BD40" s="164">
        <v>0</v>
      </c>
      <c r="BE40" s="164">
        <v>0</v>
      </c>
      <c r="BF40" s="164">
        <v>0</v>
      </c>
      <c r="BG40" s="164">
        <v>0</v>
      </c>
      <c r="BH40" s="164">
        <v>0</v>
      </c>
      <c r="BI40" s="164">
        <v>0</v>
      </c>
      <c r="BJ40" s="164">
        <v>0</v>
      </c>
      <c r="BK40" s="164">
        <v>0</v>
      </c>
    </row>
    <row r="41" spans="1:63" ht="18">
      <c r="A41" s="161" t="s">
        <v>1039</v>
      </c>
      <c r="B41" s="119" t="s">
        <v>1035</v>
      </c>
      <c r="C41" s="164">
        <v>0</v>
      </c>
      <c r="D41" s="164">
        <v>0</v>
      </c>
      <c r="E41" s="164">
        <v>0</v>
      </c>
      <c r="F41" s="164">
        <v>0</v>
      </c>
      <c r="G41" s="164">
        <v>0</v>
      </c>
      <c r="H41" s="164">
        <v>0</v>
      </c>
      <c r="I41" s="164">
        <v>0</v>
      </c>
      <c r="J41" s="164">
        <v>0</v>
      </c>
      <c r="K41" s="164">
        <v>0</v>
      </c>
      <c r="L41" s="164">
        <v>0</v>
      </c>
      <c r="M41" s="164">
        <v>0</v>
      </c>
      <c r="N41" s="164">
        <v>0</v>
      </c>
      <c r="O41" s="164">
        <v>0</v>
      </c>
      <c r="P41" s="164">
        <v>0</v>
      </c>
      <c r="Q41" s="164">
        <v>0</v>
      </c>
      <c r="R41" s="164">
        <v>0</v>
      </c>
      <c r="S41" s="164">
        <v>0</v>
      </c>
      <c r="T41" s="164">
        <v>0</v>
      </c>
      <c r="U41" s="164">
        <v>0</v>
      </c>
      <c r="V41" s="164">
        <v>0</v>
      </c>
      <c r="W41" s="164">
        <v>0</v>
      </c>
      <c r="X41" s="164">
        <v>0</v>
      </c>
      <c r="Y41" s="164">
        <v>0</v>
      </c>
      <c r="Z41" s="164">
        <v>0</v>
      </c>
      <c r="AA41" s="164">
        <v>0</v>
      </c>
      <c r="AB41" s="164">
        <v>0</v>
      </c>
      <c r="AC41" s="164">
        <v>0</v>
      </c>
      <c r="AD41" s="164">
        <v>0</v>
      </c>
      <c r="AE41" s="164">
        <v>0</v>
      </c>
      <c r="AF41" s="164">
        <v>0</v>
      </c>
      <c r="AG41" s="164">
        <v>0</v>
      </c>
      <c r="AH41" s="165">
        <v>0</v>
      </c>
      <c r="AI41" s="166">
        <v>0</v>
      </c>
      <c r="AJ41" s="164">
        <v>0</v>
      </c>
      <c r="AK41" s="164">
        <v>0</v>
      </c>
      <c r="AL41" s="164">
        <v>0</v>
      </c>
      <c r="AM41" s="164">
        <v>0</v>
      </c>
      <c r="AN41" s="164">
        <v>0</v>
      </c>
      <c r="AO41" s="164">
        <v>0</v>
      </c>
      <c r="AP41" s="164">
        <v>0</v>
      </c>
      <c r="AQ41" s="164">
        <v>0</v>
      </c>
      <c r="AR41" s="164">
        <v>0</v>
      </c>
      <c r="AS41" s="164">
        <v>0</v>
      </c>
      <c r="AT41" s="164">
        <v>0</v>
      </c>
      <c r="AU41" s="164">
        <v>0</v>
      </c>
      <c r="AV41" s="164">
        <v>0</v>
      </c>
      <c r="AW41" s="164">
        <v>0</v>
      </c>
      <c r="AX41" s="164">
        <v>0</v>
      </c>
      <c r="AY41" s="164">
        <v>0</v>
      </c>
      <c r="AZ41" s="164">
        <v>0</v>
      </c>
      <c r="BA41" s="164">
        <v>0</v>
      </c>
      <c r="BB41" s="164">
        <v>0</v>
      </c>
      <c r="BC41" s="164">
        <v>0</v>
      </c>
      <c r="BD41" s="164">
        <v>0</v>
      </c>
      <c r="BE41" s="164">
        <v>0</v>
      </c>
      <c r="BF41" s="164">
        <v>0</v>
      </c>
      <c r="BG41" s="164">
        <v>0</v>
      </c>
      <c r="BH41" s="164">
        <v>0</v>
      </c>
      <c r="BI41" s="164">
        <v>0</v>
      </c>
      <c r="BJ41" s="164">
        <v>0</v>
      </c>
      <c r="BK41" s="164">
        <v>0</v>
      </c>
    </row>
    <row r="42" spans="1:63">
      <c r="C42" s="123"/>
      <c r="D42" s="123"/>
      <c r="E42" s="123"/>
      <c r="F42" s="123"/>
      <c r="G42" s="123"/>
      <c r="H42" s="123"/>
      <c r="I42" s="123"/>
      <c r="J42" s="123"/>
      <c r="K42" s="123"/>
      <c r="L42" s="123"/>
      <c r="M42" s="123"/>
      <c r="N42" s="123"/>
      <c r="O42" s="123"/>
      <c r="P42" s="123"/>
      <c r="Q42" s="123"/>
      <c r="R42" s="123"/>
      <c r="S42" s="123"/>
      <c r="T42" s="123"/>
      <c r="U42" s="123"/>
      <c r="V42" s="123"/>
      <c r="W42" s="123"/>
      <c r="X42" s="123"/>
      <c r="Y42" s="123"/>
      <c r="Z42" s="123"/>
      <c r="AA42" s="123"/>
      <c r="AB42" s="123"/>
      <c r="AC42" s="123"/>
      <c r="AD42" s="123"/>
      <c r="AE42" s="123"/>
      <c r="AF42" s="123"/>
      <c r="AG42" s="123"/>
      <c r="AH42" s="168"/>
      <c r="AI42" s="123"/>
      <c r="AJ42" s="123"/>
      <c r="AK42" s="123"/>
      <c r="AL42" s="123"/>
      <c r="AM42" s="123"/>
      <c r="AN42" s="123"/>
      <c r="AO42" s="123"/>
      <c r="AP42" s="123"/>
      <c r="AQ42" s="123"/>
      <c r="AR42" s="123"/>
      <c r="AS42" s="123"/>
      <c r="AT42" s="123"/>
      <c r="AU42" s="123"/>
      <c r="AV42" s="123"/>
      <c r="AW42" s="123"/>
      <c r="AX42" s="123"/>
      <c r="AY42" s="123"/>
      <c r="AZ42" s="123"/>
      <c r="BA42" s="123"/>
      <c r="BB42" s="123"/>
      <c r="BC42" s="123"/>
      <c r="BD42" s="123"/>
      <c r="BE42" s="123"/>
      <c r="BF42" s="123"/>
      <c r="BG42" s="123"/>
      <c r="BH42" s="123"/>
      <c r="BI42" s="123"/>
      <c r="BJ42" s="123"/>
      <c r="BK42" s="123"/>
    </row>
    <row r="43" spans="1:63">
      <c r="C43" s="123"/>
      <c r="D43" s="123"/>
      <c r="E43" s="123"/>
      <c r="F43" s="123"/>
      <c r="G43" s="123"/>
      <c r="H43" s="123"/>
      <c r="I43" s="123"/>
      <c r="J43" s="123"/>
      <c r="K43" s="123"/>
      <c r="L43" s="123"/>
      <c r="M43" s="123"/>
      <c r="N43" s="123"/>
      <c r="O43" s="123"/>
      <c r="P43" s="123"/>
      <c r="Q43" s="123"/>
      <c r="R43" s="123"/>
      <c r="S43" s="123"/>
      <c r="T43" s="123"/>
      <c r="U43" s="123"/>
      <c r="V43" s="123"/>
      <c r="W43" s="123"/>
      <c r="X43" s="123"/>
      <c r="Y43" s="123"/>
      <c r="Z43" s="123"/>
      <c r="AA43" s="123"/>
      <c r="AB43" s="123"/>
      <c r="AC43" s="123"/>
      <c r="AD43" s="123"/>
      <c r="AE43" s="123"/>
      <c r="AF43" s="123"/>
      <c r="AG43" s="123"/>
      <c r="AH43" s="168"/>
      <c r="AI43" s="123"/>
      <c r="AJ43" s="123"/>
      <c r="AK43" s="123"/>
      <c r="AL43" s="123"/>
      <c r="AM43" s="123"/>
      <c r="AN43" s="123"/>
      <c r="AO43" s="123"/>
      <c r="AP43" s="123"/>
      <c r="AQ43" s="123"/>
      <c r="AR43" s="123"/>
      <c r="AS43" s="123"/>
      <c r="AT43" s="123"/>
      <c r="AU43" s="123"/>
      <c r="AV43" s="123"/>
      <c r="AW43" s="123"/>
      <c r="AX43" s="123"/>
      <c r="AY43" s="123"/>
      <c r="AZ43" s="123"/>
      <c r="BA43" s="123"/>
      <c r="BB43" s="123"/>
      <c r="BC43" s="123"/>
      <c r="BD43" s="123"/>
      <c r="BE43" s="123"/>
      <c r="BF43" s="123"/>
      <c r="BG43" s="123"/>
      <c r="BH43" s="123"/>
      <c r="BI43" s="123"/>
      <c r="BJ43" s="123"/>
      <c r="BK43" s="123"/>
    </row>
    <row r="44" spans="1:63" s="47" customFormat="1">
      <c r="A44" s="171" t="s">
        <v>1030</v>
      </c>
      <c r="B44" s="117" t="s">
        <v>1031</v>
      </c>
      <c r="C44" s="118">
        <v>1990</v>
      </c>
      <c r="D44" s="118">
        <v>1991</v>
      </c>
      <c r="E44" s="118">
        <v>1992</v>
      </c>
      <c r="F44" s="118">
        <v>1993</v>
      </c>
      <c r="G44" s="118">
        <v>1994</v>
      </c>
      <c r="H44" s="118">
        <v>1995</v>
      </c>
      <c r="I44" s="118">
        <v>1996</v>
      </c>
      <c r="J44" s="118">
        <v>1997</v>
      </c>
      <c r="K44" s="118">
        <v>1998</v>
      </c>
      <c r="L44" s="118">
        <v>1999</v>
      </c>
      <c r="M44" s="118">
        <v>2000</v>
      </c>
      <c r="N44" s="118">
        <v>2001</v>
      </c>
      <c r="O44" s="118">
        <v>2002</v>
      </c>
      <c r="P44" s="118">
        <v>2003</v>
      </c>
      <c r="Q44" s="118">
        <v>2004</v>
      </c>
      <c r="R44" s="118">
        <v>2005</v>
      </c>
      <c r="S44" s="118">
        <v>2006</v>
      </c>
      <c r="T44" s="118">
        <v>2007</v>
      </c>
      <c r="U44" s="118">
        <v>2008</v>
      </c>
      <c r="V44" s="118">
        <v>2009</v>
      </c>
      <c r="W44" s="118">
        <v>2010</v>
      </c>
      <c r="X44" s="118">
        <v>2011</v>
      </c>
      <c r="Y44" s="118">
        <v>2012</v>
      </c>
      <c r="Z44" s="118">
        <v>2013</v>
      </c>
      <c r="AA44" s="118">
        <v>2014</v>
      </c>
      <c r="AB44" s="118">
        <v>2015</v>
      </c>
      <c r="AC44" s="118">
        <v>2016</v>
      </c>
      <c r="AD44" s="118">
        <v>2017</v>
      </c>
      <c r="AE44" s="118">
        <v>2018</v>
      </c>
      <c r="AF44" s="118">
        <v>2019</v>
      </c>
      <c r="AG44" s="118">
        <v>2020</v>
      </c>
      <c r="AH44" s="172">
        <v>2021</v>
      </c>
      <c r="AI44" s="118">
        <v>2022</v>
      </c>
      <c r="AJ44" s="118">
        <v>2023</v>
      </c>
      <c r="AK44" s="118">
        <v>2024</v>
      </c>
      <c r="AL44" s="118">
        <v>2025</v>
      </c>
      <c r="AM44" s="118">
        <v>2026</v>
      </c>
      <c r="AN44" s="118">
        <v>2027</v>
      </c>
      <c r="AO44" s="118">
        <v>2028</v>
      </c>
      <c r="AP44" s="118">
        <v>2029</v>
      </c>
      <c r="AQ44" s="118">
        <v>2030</v>
      </c>
      <c r="AR44" s="118">
        <v>2031</v>
      </c>
      <c r="AS44" s="118">
        <v>2032</v>
      </c>
      <c r="AT44" s="118">
        <v>2033</v>
      </c>
      <c r="AU44" s="118">
        <v>2034</v>
      </c>
      <c r="AV44" s="118">
        <v>2035</v>
      </c>
      <c r="AW44" s="118">
        <v>2036</v>
      </c>
      <c r="AX44" s="118">
        <v>2037</v>
      </c>
      <c r="AY44" s="118">
        <v>2038</v>
      </c>
      <c r="AZ44" s="118">
        <v>2039</v>
      </c>
      <c r="BA44" s="118">
        <v>2040</v>
      </c>
      <c r="BB44" s="118">
        <v>2041</v>
      </c>
      <c r="BC44" s="118">
        <v>2042</v>
      </c>
      <c r="BD44" s="118">
        <v>2043</v>
      </c>
      <c r="BE44" s="118">
        <v>2044</v>
      </c>
      <c r="BF44" s="118">
        <v>2045</v>
      </c>
      <c r="BG44" s="118">
        <v>2046</v>
      </c>
      <c r="BH44" s="118">
        <v>2047</v>
      </c>
      <c r="BI44" s="118">
        <v>2048</v>
      </c>
      <c r="BJ44" s="118">
        <v>2049</v>
      </c>
      <c r="BK44" s="118">
        <v>2050</v>
      </c>
    </row>
    <row r="45" spans="1:63">
      <c r="A45" s="119" t="s">
        <v>1040</v>
      </c>
      <c r="B45" s="120" t="s">
        <v>303</v>
      </c>
      <c r="C45" s="162">
        <f t="shared" ref="C45:BK45" si="6">SUM(C46:C51)</f>
        <v>3480.5699999999997</v>
      </c>
      <c r="D45" s="162">
        <f t="shared" si="6"/>
        <v>3632.8199999999997</v>
      </c>
      <c r="E45" s="162">
        <f t="shared" si="6"/>
        <v>3322.77</v>
      </c>
      <c r="F45" s="162">
        <f t="shared" si="6"/>
        <v>3188.71</v>
      </c>
      <c r="G45" s="162">
        <f t="shared" si="6"/>
        <v>3066.19</v>
      </c>
      <c r="H45" s="162">
        <f t="shared" si="6"/>
        <v>3166.2499999999995</v>
      </c>
      <c r="I45" s="162">
        <f t="shared" si="6"/>
        <v>3331.17</v>
      </c>
      <c r="J45" s="162">
        <f t="shared" si="6"/>
        <v>3253.5699999999997</v>
      </c>
      <c r="K45" s="162">
        <f t="shared" si="6"/>
        <v>3244.59</v>
      </c>
      <c r="L45" s="162">
        <f t="shared" si="6"/>
        <v>3430.8</v>
      </c>
      <c r="M45" s="162">
        <f t="shared" si="6"/>
        <v>3467.51</v>
      </c>
      <c r="N45" s="162">
        <f t="shared" si="6"/>
        <v>3572.0300000000007</v>
      </c>
      <c r="O45" s="162">
        <f t="shared" si="6"/>
        <v>3647.88</v>
      </c>
      <c r="P45" s="162">
        <f t="shared" si="6"/>
        <v>3839.1600000000003</v>
      </c>
      <c r="Q45" s="162">
        <f t="shared" si="6"/>
        <v>3896.32</v>
      </c>
      <c r="R45" s="162">
        <f t="shared" si="6"/>
        <v>4007.7399999999993</v>
      </c>
      <c r="S45" s="162">
        <f t="shared" si="6"/>
        <v>4098.7400000000007</v>
      </c>
      <c r="T45" s="162">
        <f t="shared" si="6"/>
        <v>4330.3599999999997</v>
      </c>
      <c r="U45" s="162">
        <f t="shared" si="6"/>
        <v>4213.8</v>
      </c>
      <c r="V45" s="162">
        <f t="shared" si="6"/>
        <v>4177.3</v>
      </c>
      <c r="W45" s="162">
        <f t="shared" si="6"/>
        <v>4515.88</v>
      </c>
      <c r="X45" s="162">
        <f t="shared" si="6"/>
        <v>4543.079999999999</v>
      </c>
      <c r="Y45" s="162">
        <f t="shared" si="6"/>
        <v>4570.51</v>
      </c>
      <c r="Z45" s="162">
        <f t="shared" si="6"/>
        <v>4668.79</v>
      </c>
      <c r="AA45" s="162">
        <f t="shared" si="6"/>
        <v>4870.8200000000006</v>
      </c>
      <c r="AB45" s="162">
        <f t="shared" si="6"/>
        <v>4974.3700000000008</v>
      </c>
      <c r="AC45" s="162">
        <f t="shared" si="6"/>
        <v>4706.57</v>
      </c>
      <c r="AD45" s="162">
        <f t="shared" si="6"/>
        <v>4727.4399999999996</v>
      </c>
      <c r="AE45" s="162">
        <f t="shared" si="6"/>
        <v>4638.46</v>
      </c>
      <c r="AF45" s="162">
        <f t="shared" si="6"/>
        <v>4690.5999999999995</v>
      </c>
      <c r="AG45" s="162">
        <f t="shared" si="6"/>
        <v>4495.22</v>
      </c>
      <c r="AH45" s="163">
        <f t="shared" si="6"/>
        <v>4514.6100000000006</v>
      </c>
      <c r="AI45" s="162">
        <f t="shared" si="6"/>
        <v>4448.5600000000004</v>
      </c>
      <c r="AJ45" s="162">
        <f t="shared" si="6"/>
        <v>4302.67</v>
      </c>
      <c r="AK45" s="162">
        <f t="shared" si="6"/>
        <v>4266.6000000000004</v>
      </c>
      <c r="AL45" s="162">
        <f t="shared" si="6"/>
        <v>3626.78</v>
      </c>
      <c r="AM45" s="162">
        <f t="shared" si="6"/>
        <v>3600.79</v>
      </c>
      <c r="AN45" s="162">
        <f t="shared" si="6"/>
        <v>3537.74</v>
      </c>
      <c r="AO45" s="162">
        <f t="shared" si="6"/>
        <v>3501.08</v>
      </c>
      <c r="AP45" s="162">
        <f t="shared" si="6"/>
        <v>3482.82</v>
      </c>
      <c r="AQ45" s="162">
        <f t="shared" si="6"/>
        <v>3444.37</v>
      </c>
      <c r="AR45" s="162">
        <f t="shared" si="6"/>
        <v>3389.9299999999994</v>
      </c>
      <c r="AS45" s="162">
        <f t="shared" si="6"/>
        <v>3351.63</v>
      </c>
      <c r="AT45" s="162">
        <f t="shared" si="6"/>
        <v>3296.9</v>
      </c>
      <c r="AU45" s="162">
        <f t="shared" si="6"/>
        <v>3244.2700000000004</v>
      </c>
      <c r="AV45" s="162">
        <f t="shared" si="6"/>
        <v>3193.7300000000005</v>
      </c>
      <c r="AW45" s="162">
        <f t="shared" si="6"/>
        <v>3169.9300000000003</v>
      </c>
      <c r="AX45" s="162">
        <f t="shared" si="6"/>
        <v>3149.7700000000004</v>
      </c>
      <c r="AY45" s="162">
        <f t="shared" si="6"/>
        <v>3124.5299999999997</v>
      </c>
      <c r="AZ45" s="162">
        <f t="shared" si="6"/>
        <v>3112.7800000000007</v>
      </c>
      <c r="BA45" s="162">
        <f t="shared" si="6"/>
        <v>3080.6499999999996</v>
      </c>
      <c r="BB45" s="162">
        <f t="shared" si="6"/>
        <v>3047.03</v>
      </c>
      <c r="BC45" s="162">
        <f t="shared" si="6"/>
        <v>3016.2100000000005</v>
      </c>
      <c r="BD45" s="162">
        <f t="shared" si="6"/>
        <v>2998.6600000000003</v>
      </c>
      <c r="BE45" s="162">
        <f t="shared" si="6"/>
        <v>2973.46</v>
      </c>
      <c r="BF45" s="162">
        <f t="shared" si="6"/>
        <v>2951.84</v>
      </c>
      <c r="BG45" s="162">
        <f t="shared" si="6"/>
        <v>2926.68</v>
      </c>
      <c r="BH45" s="162">
        <f t="shared" si="6"/>
        <v>2904.08</v>
      </c>
      <c r="BI45" s="162">
        <f t="shared" si="6"/>
        <v>2883.16</v>
      </c>
      <c r="BJ45" s="162">
        <f t="shared" si="6"/>
        <v>2864.2</v>
      </c>
      <c r="BK45" s="162">
        <f t="shared" si="6"/>
        <v>2847.5600000000004</v>
      </c>
    </row>
    <row r="46" spans="1:63" ht="18">
      <c r="A46" s="119" t="s">
        <v>1040</v>
      </c>
      <c r="B46" s="119" t="s">
        <v>1033</v>
      </c>
      <c r="C46" s="164">
        <v>2519.96</v>
      </c>
      <c r="D46" s="164">
        <v>2659.49</v>
      </c>
      <c r="E46" s="164">
        <v>2757.6</v>
      </c>
      <c r="F46" s="164">
        <v>2847.57</v>
      </c>
      <c r="G46" s="164">
        <v>2725.62</v>
      </c>
      <c r="H46" s="164">
        <v>2813.83</v>
      </c>
      <c r="I46" s="164">
        <v>2826.09</v>
      </c>
      <c r="J46" s="164">
        <v>2732.19</v>
      </c>
      <c r="K46" s="164">
        <v>2792.19</v>
      </c>
      <c r="L46" s="164">
        <v>2944.29</v>
      </c>
      <c r="M46" s="164">
        <v>2922.48</v>
      </c>
      <c r="N46" s="164">
        <v>2986.9</v>
      </c>
      <c r="O46" s="164">
        <v>2984.81</v>
      </c>
      <c r="P46" s="164">
        <v>3152.96</v>
      </c>
      <c r="Q46" s="164">
        <v>3131.49</v>
      </c>
      <c r="R46" s="164">
        <v>3208.64</v>
      </c>
      <c r="S46" s="164">
        <v>3180.88</v>
      </c>
      <c r="T46" s="164">
        <v>3376.87</v>
      </c>
      <c r="U46" s="164">
        <v>3158.99</v>
      </c>
      <c r="V46" s="164">
        <v>3022.38</v>
      </c>
      <c r="W46" s="164">
        <v>3319</v>
      </c>
      <c r="X46" s="164">
        <v>3294.41</v>
      </c>
      <c r="Y46" s="164">
        <v>3254.92</v>
      </c>
      <c r="Z46" s="164">
        <v>3319.36</v>
      </c>
      <c r="AA46" s="164">
        <v>3396.54</v>
      </c>
      <c r="AB46" s="164">
        <v>3509.69</v>
      </c>
      <c r="AC46" s="164">
        <v>3213.6</v>
      </c>
      <c r="AD46" s="164">
        <v>3213.88</v>
      </c>
      <c r="AE46" s="164">
        <v>3085.45</v>
      </c>
      <c r="AF46" s="164">
        <v>3085.52</v>
      </c>
      <c r="AG46" s="164">
        <v>2863.67</v>
      </c>
      <c r="AH46" s="165">
        <v>2893.04</v>
      </c>
      <c r="AI46" s="166">
        <v>2731.02</v>
      </c>
      <c r="AJ46" s="164">
        <v>2729.75</v>
      </c>
      <c r="AK46" s="164">
        <v>2728.47</v>
      </c>
      <c r="AL46" s="164">
        <v>2186.0500000000002</v>
      </c>
      <c r="AM46" s="164">
        <v>2184.9299999999998</v>
      </c>
      <c r="AN46" s="164">
        <v>2183.79</v>
      </c>
      <c r="AO46" s="164">
        <v>2182.64</v>
      </c>
      <c r="AP46" s="164">
        <v>2181.48</v>
      </c>
      <c r="AQ46" s="164">
        <v>2180.33</v>
      </c>
      <c r="AR46" s="164">
        <v>2179.1799999999998</v>
      </c>
      <c r="AS46" s="164">
        <v>2178.04</v>
      </c>
      <c r="AT46" s="164">
        <v>2176.9</v>
      </c>
      <c r="AU46" s="164">
        <v>2175.7800000000002</v>
      </c>
      <c r="AV46" s="164">
        <v>2174.66</v>
      </c>
      <c r="AW46" s="164">
        <v>2173.56</v>
      </c>
      <c r="AX46" s="164">
        <v>2172.48</v>
      </c>
      <c r="AY46" s="164">
        <v>2171.41</v>
      </c>
      <c r="AZ46" s="164">
        <v>2170.35</v>
      </c>
      <c r="BA46" s="164">
        <v>2169.31</v>
      </c>
      <c r="BB46" s="164">
        <v>2168.29</v>
      </c>
      <c r="BC46" s="164">
        <v>2167.2800000000002</v>
      </c>
      <c r="BD46" s="164">
        <v>2166.2800000000002</v>
      </c>
      <c r="BE46" s="164">
        <v>2165.29</v>
      </c>
      <c r="BF46" s="164">
        <v>2164.31</v>
      </c>
      <c r="BG46" s="164">
        <v>2163.33</v>
      </c>
      <c r="BH46" s="164">
        <v>2162.36</v>
      </c>
      <c r="BI46" s="164">
        <v>2161.38</v>
      </c>
      <c r="BJ46" s="164">
        <v>2160.39</v>
      </c>
      <c r="BK46" s="164">
        <v>2159.4</v>
      </c>
    </row>
    <row r="47" spans="1:63" ht="18">
      <c r="A47" s="119" t="s">
        <v>1040</v>
      </c>
      <c r="B47" s="119" t="s">
        <v>1034</v>
      </c>
      <c r="C47" s="164">
        <v>30.91</v>
      </c>
      <c r="D47" s="164">
        <v>52.81</v>
      </c>
      <c r="E47" s="164">
        <v>44.76</v>
      </c>
      <c r="F47" s="164">
        <v>50.23</v>
      </c>
      <c r="G47" s="164">
        <v>62.98</v>
      </c>
      <c r="H47" s="164">
        <v>88.62</v>
      </c>
      <c r="I47" s="164">
        <v>118.92</v>
      </c>
      <c r="J47" s="164">
        <v>122.68</v>
      </c>
      <c r="K47" s="164">
        <v>115.5</v>
      </c>
      <c r="L47" s="164">
        <v>132.83000000000001</v>
      </c>
      <c r="M47" s="164">
        <v>155.25</v>
      </c>
      <c r="N47" s="164">
        <v>137.32</v>
      </c>
      <c r="O47" s="164">
        <v>146.91999999999999</v>
      </c>
      <c r="P47" s="164">
        <v>62.32</v>
      </c>
      <c r="Q47" s="164">
        <v>70.05</v>
      </c>
      <c r="R47" s="164">
        <v>22.1</v>
      </c>
      <c r="S47" s="164">
        <v>26.03</v>
      </c>
      <c r="T47" s="164">
        <v>27.99</v>
      </c>
      <c r="U47" s="164">
        <v>36.729999999999997</v>
      </c>
      <c r="V47" s="164">
        <v>52.96</v>
      </c>
      <c r="W47" s="164">
        <v>53.37</v>
      </c>
      <c r="X47" s="164">
        <v>53.65</v>
      </c>
      <c r="Y47" s="164">
        <v>71.33</v>
      </c>
      <c r="Z47" s="164">
        <v>91.45</v>
      </c>
      <c r="AA47" s="164">
        <v>141.66</v>
      </c>
      <c r="AB47" s="164">
        <v>119.51</v>
      </c>
      <c r="AC47" s="164">
        <v>140.31</v>
      </c>
      <c r="AD47" s="164">
        <v>125.46</v>
      </c>
      <c r="AE47" s="164">
        <v>103.34</v>
      </c>
      <c r="AF47" s="164">
        <v>120.1</v>
      </c>
      <c r="AG47" s="164">
        <v>107.69</v>
      </c>
      <c r="AH47" s="165">
        <v>86.94</v>
      </c>
      <c r="AI47" s="166">
        <v>113.87</v>
      </c>
      <c r="AJ47" s="164">
        <v>104.2</v>
      </c>
      <c r="AK47" s="164">
        <v>104.2</v>
      </c>
      <c r="AL47" s="164">
        <v>104.2</v>
      </c>
      <c r="AM47" s="164">
        <v>104.2</v>
      </c>
      <c r="AN47" s="164">
        <v>54.93</v>
      </c>
      <c r="AO47" s="164">
        <v>54.93</v>
      </c>
      <c r="AP47" s="164">
        <v>54.93</v>
      </c>
      <c r="AQ47" s="164">
        <v>43.95</v>
      </c>
      <c r="AR47" s="164">
        <v>32.96</v>
      </c>
      <c r="AS47" s="164">
        <v>21.97</v>
      </c>
      <c r="AT47" s="164">
        <v>10.99</v>
      </c>
      <c r="AU47" s="164">
        <v>0</v>
      </c>
      <c r="AV47" s="164">
        <v>0</v>
      </c>
      <c r="AW47" s="164">
        <v>0</v>
      </c>
      <c r="AX47" s="164">
        <v>0</v>
      </c>
      <c r="AY47" s="164">
        <v>0</v>
      </c>
      <c r="AZ47" s="164">
        <v>0</v>
      </c>
      <c r="BA47" s="164">
        <v>0</v>
      </c>
      <c r="BB47" s="164">
        <v>0</v>
      </c>
      <c r="BC47" s="164">
        <v>0</v>
      </c>
      <c r="BD47" s="164">
        <v>0</v>
      </c>
      <c r="BE47" s="164">
        <v>0</v>
      </c>
      <c r="BF47" s="164">
        <v>0</v>
      </c>
      <c r="BG47" s="164">
        <v>0</v>
      </c>
      <c r="BH47" s="164">
        <v>0</v>
      </c>
      <c r="BI47" s="164">
        <v>0</v>
      </c>
      <c r="BJ47" s="164">
        <v>0</v>
      </c>
      <c r="BK47" s="164">
        <v>0</v>
      </c>
    </row>
    <row r="48" spans="1:63" ht="18">
      <c r="A48" s="119" t="s">
        <v>1040</v>
      </c>
      <c r="B48" s="119" t="s">
        <v>1035</v>
      </c>
      <c r="C48" s="164">
        <v>91.1</v>
      </c>
      <c r="D48" s="164">
        <v>86.55</v>
      </c>
      <c r="E48" s="164">
        <v>82.22</v>
      </c>
      <c r="F48" s="164">
        <v>78.11</v>
      </c>
      <c r="G48" s="164">
        <v>74.2</v>
      </c>
      <c r="H48" s="164">
        <v>70.489999999999995</v>
      </c>
      <c r="I48" s="164">
        <v>66.97</v>
      </c>
      <c r="J48" s="164">
        <v>63.62</v>
      </c>
      <c r="K48" s="164">
        <v>60.44</v>
      </c>
      <c r="L48" s="164">
        <v>57.42</v>
      </c>
      <c r="M48" s="164">
        <v>54.55</v>
      </c>
      <c r="N48" s="164">
        <v>51.82</v>
      </c>
      <c r="O48" s="164">
        <v>49.23</v>
      </c>
      <c r="P48" s="164">
        <v>46.38</v>
      </c>
      <c r="Q48" s="164">
        <v>43.06</v>
      </c>
      <c r="R48" s="164">
        <v>39.619999999999997</v>
      </c>
      <c r="S48" s="164">
        <v>36.17</v>
      </c>
      <c r="T48" s="164">
        <v>39.18</v>
      </c>
      <c r="U48" s="164">
        <v>46.83</v>
      </c>
      <c r="V48" s="164">
        <v>47.18</v>
      </c>
      <c r="W48" s="164">
        <v>47.5</v>
      </c>
      <c r="X48" s="164">
        <v>47.41</v>
      </c>
      <c r="Y48" s="164">
        <v>48.07</v>
      </c>
      <c r="Z48" s="164">
        <v>51.73</v>
      </c>
      <c r="AA48" s="164">
        <v>51.73</v>
      </c>
      <c r="AB48" s="164">
        <v>53.29</v>
      </c>
      <c r="AC48" s="164">
        <v>52.31</v>
      </c>
      <c r="AD48" s="164">
        <v>54.74</v>
      </c>
      <c r="AE48" s="164">
        <v>72.44</v>
      </c>
      <c r="AF48" s="164">
        <v>73.290000000000006</v>
      </c>
      <c r="AG48" s="164">
        <v>65.69</v>
      </c>
      <c r="AH48" s="165">
        <v>79.63</v>
      </c>
      <c r="AI48" s="166">
        <v>84.41</v>
      </c>
      <c r="AJ48" s="164">
        <v>87.14</v>
      </c>
      <c r="AK48" s="164">
        <v>89.82</v>
      </c>
      <c r="AL48" s="164">
        <v>92.67</v>
      </c>
      <c r="AM48" s="164">
        <v>95.68</v>
      </c>
      <c r="AN48" s="164">
        <v>98.88</v>
      </c>
      <c r="AO48" s="164">
        <v>102.27</v>
      </c>
      <c r="AP48" s="164">
        <v>105.86</v>
      </c>
      <c r="AQ48" s="164">
        <v>109.67</v>
      </c>
      <c r="AR48" s="164">
        <v>113.7</v>
      </c>
      <c r="AS48" s="164">
        <v>117.98</v>
      </c>
      <c r="AT48" s="164">
        <v>122.52</v>
      </c>
      <c r="AU48" s="164">
        <v>127.33</v>
      </c>
      <c r="AV48" s="164">
        <v>132.41999999999999</v>
      </c>
      <c r="AW48" s="164">
        <v>137.82</v>
      </c>
      <c r="AX48" s="164">
        <v>143.55000000000001</v>
      </c>
      <c r="AY48" s="164">
        <v>149.62</v>
      </c>
      <c r="AZ48" s="164">
        <v>156.05000000000001</v>
      </c>
      <c r="BA48" s="164">
        <v>162.87</v>
      </c>
      <c r="BB48" s="164">
        <v>162.87</v>
      </c>
      <c r="BC48" s="164">
        <v>162.87</v>
      </c>
      <c r="BD48" s="164">
        <v>162.87</v>
      </c>
      <c r="BE48" s="164">
        <v>162.87</v>
      </c>
      <c r="BF48" s="164">
        <v>162.87</v>
      </c>
      <c r="BG48" s="164">
        <v>162.87</v>
      </c>
      <c r="BH48" s="164">
        <v>162.87</v>
      </c>
      <c r="BI48" s="164">
        <v>162.87</v>
      </c>
      <c r="BJ48" s="164">
        <v>162.87</v>
      </c>
      <c r="BK48" s="164">
        <v>162.87</v>
      </c>
    </row>
    <row r="49" spans="1:63" ht="18">
      <c r="A49" s="119" t="s">
        <v>1040</v>
      </c>
      <c r="B49" s="119" t="s">
        <v>1041</v>
      </c>
      <c r="C49" s="164">
        <v>20.59</v>
      </c>
      <c r="D49" s="164">
        <v>21.5</v>
      </c>
      <c r="E49" s="164">
        <v>22.58</v>
      </c>
      <c r="F49" s="164">
        <v>23.39</v>
      </c>
      <c r="G49" s="164">
        <v>24.15</v>
      </c>
      <c r="H49" s="164">
        <v>25.17</v>
      </c>
      <c r="I49" s="164">
        <v>25.4</v>
      </c>
      <c r="J49" s="164">
        <v>26.37</v>
      </c>
      <c r="K49" s="164">
        <v>25.62</v>
      </c>
      <c r="L49" s="164">
        <v>25.32</v>
      </c>
      <c r="M49" s="164">
        <v>20.16</v>
      </c>
      <c r="N49" s="164">
        <v>20.65</v>
      </c>
      <c r="O49" s="164">
        <v>24.03</v>
      </c>
      <c r="P49" s="164">
        <v>25.96</v>
      </c>
      <c r="Q49" s="164">
        <v>29.8</v>
      </c>
      <c r="R49" s="164">
        <v>26.19</v>
      </c>
      <c r="S49" s="164">
        <v>21.69</v>
      </c>
      <c r="T49" s="164">
        <v>20.48</v>
      </c>
      <c r="U49" s="164">
        <v>19.940000000000001</v>
      </c>
      <c r="V49" s="164">
        <v>23.23</v>
      </c>
      <c r="W49" s="164">
        <v>23.54</v>
      </c>
      <c r="X49" s="164">
        <v>19.52</v>
      </c>
      <c r="Y49" s="164">
        <v>21.54</v>
      </c>
      <c r="Z49" s="164">
        <v>18.739999999999998</v>
      </c>
      <c r="AA49" s="164">
        <v>17.32</v>
      </c>
      <c r="AB49" s="164">
        <v>16.97</v>
      </c>
      <c r="AC49" s="164">
        <v>17.899999999999999</v>
      </c>
      <c r="AD49" s="164">
        <v>15.24</v>
      </c>
      <c r="AE49" s="164">
        <v>15.16</v>
      </c>
      <c r="AF49" s="164">
        <v>16.47</v>
      </c>
      <c r="AG49" s="164">
        <v>17.2</v>
      </c>
      <c r="AH49" s="165">
        <v>16.21</v>
      </c>
      <c r="AI49" s="166">
        <v>16.12</v>
      </c>
      <c r="AJ49" s="164">
        <v>16.059999999999999</v>
      </c>
      <c r="AK49" s="164">
        <v>16</v>
      </c>
      <c r="AL49" s="164">
        <v>15.95</v>
      </c>
      <c r="AM49" s="164">
        <v>15.9</v>
      </c>
      <c r="AN49" s="164">
        <v>15.85</v>
      </c>
      <c r="AO49" s="164">
        <v>15.81</v>
      </c>
      <c r="AP49" s="164">
        <v>15.77</v>
      </c>
      <c r="AQ49" s="164">
        <v>15.74</v>
      </c>
      <c r="AR49" s="164">
        <v>15.72</v>
      </c>
      <c r="AS49" s="164">
        <v>15.69</v>
      </c>
      <c r="AT49" s="164">
        <v>15.67</v>
      </c>
      <c r="AU49" s="164">
        <v>15.66</v>
      </c>
      <c r="AV49" s="164">
        <v>15.65</v>
      </c>
      <c r="AW49" s="164">
        <v>15.64</v>
      </c>
      <c r="AX49" s="164">
        <v>15.64</v>
      </c>
      <c r="AY49" s="164">
        <v>15.64</v>
      </c>
      <c r="AZ49" s="164">
        <v>15.65</v>
      </c>
      <c r="BA49" s="164">
        <v>15.66</v>
      </c>
      <c r="BB49" s="164">
        <v>15.67</v>
      </c>
      <c r="BC49" s="164">
        <v>15.69</v>
      </c>
      <c r="BD49" s="164">
        <v>15.71</v>
      </c>
      <c r="BE49" s="164">
        <v>15.73</v>
      </c>
      <c r="BF49" s="164">
        <v>15.76</v>
      </c>
      <c r="BG49" s="164">
        <v>15.79</v>
      </c>
      <c r="BH49" s="164">
        <v>15.83</v>
      </c>
      <c r="BI49" s="164">
        <v>15.87</v>
      </c>
      <c r="BJ49" s="164">
        <v>15.91</v>
      </c>
      <c r="BK49" s="164">
        <v>15.96</v>
      </c>
    </row>
    <row r="50" spans="1:63">
      <c r="A50" s="119" t="s">
        <v>1040</v>
      </c>
      <c r="B50" s="119" t="s">
        <v>120</v>
      </c>
      <c r="C50" s="164">
        <v>0</v>
      </c>
      <c r="D50" s="164">
        <v>0</v>
      </c>
      <c r="E50" s="164">
        <v>0.26</v>
      </c>
      <c r="F50" s="164">
        <v>0.42</v>
      </c>
      <c r="G50" s="164">
        <v>11.82</v>
      </c>
      <c r="H50" s="164">
        <v>29.54</v>
      </c>
      <c r="I50" s="164">
        <v>66.790000000000006</v>
      </c>
      <c r="J50" s="164">
        <v>113.35</v>
      </c>
      <c r="K50" s="164">
        <v>140.26</v>
      </c>
      <c r="L50" s="164">
        <v>185.46</v>
      </c>
      <c r="M50" s="164">
        <v>230.54</v>
      </c>
      <c r="N50" s="164">
        <v>311.83999999999997</v>
      </c>
      <c r="O50" s="164">
        <v>365.87</v>
      </c>
      <c r="P50" s="164">
        <v>435.77</v>
      </c>
      <c r="Q50" s="164">
        <v>531.85</v>
      </c>
      <c r="R50" s="164">
        <v>648.79999999999995</v>
      </c>
      <c r="S50" s="164">
        <v>736.88</v>
      </c>
      <c r="T50" s="164">
        <v>822.16</v>
      </c>
      <c r="U50" s="164">
        <v>910.1</v>
      </c>
      <c r="V50" s="164">
        <v>982.94</v>
      </c>
      <c r="W50" s="164">
        <v>1029.7</v>
      </c>
      <c r="X50" s="164">
        <v>1096.48</v>
      </c>
      <c r="Y50" s="164">
        <v>1131.97</v>
      </c>
      <c r="Z50" s="164">
        <v>1144.23</v>
      </c>
      <c r="AA50" s="164">
        <v>1197.55</v>
      </c>
      <c r="AB50" s="164">
        <v>1222.23</v>
      </c>
      <c r="AC50" s="164">
        <v>1238.6600000000001</v>
      </c>
      <c r="AD50" s="164">
        <v>1263.75</v>
      </c>
      <c r="AE50" s="164">
        <v>1296.97</v>
      </c>
      <c r="AF50" s="164">
        <v>1315.07</v>
      </c>
      <c r="AG50" s="164">
        <v>1361.91</v>
      </c>
      <c r="AH50" s="165">
        <v>1393.21</v>
      </c>
      <c r="AI50" s="166">
        <v>1444.25</v>
      </c>
      <c r="AJ50" s="164">
        <v>1306.6300000000001</v>
      </c>
      <c r="AK50" s="164">
        <v>1269.22</v>
      </c>
      <c r="AL50" s="164">
        <v>1227.9000000000001</v>
      </c>
      <c r="AM50" s="164">
        <v>1200.07</v>
      </c>
      <c r="AN50" s="164">
        <v>1184.28</v>
      </c>
      <c r="AO50" s="164">
        <v>1145.42</v>
      </c>
      <c r="AP50" s="164">
        <v>1124.77</v>
      </c>
      <c r="AQ50" s="164">
        <v>1094.67</v>
      </c>
      <c r="AR50" s="164">
        <v>1048.3599999999999</v>
      </c>
      <c r="AS50" s="164">
        <v>1017.94</v>
      </c>
      <c r="AT50" s="164">
        <v>970.81</v>
      </c>
      <c r="AU50" s="164">
        <v>925.49</v>
      </c>
      <c r="AV50" s="164">
        <v>870.99</v>
      </c>
      <c r="AW50" s="164">
        <v>842.9</v>
      </c>
      <c r="AX50" s="164">
        <v>818.09</v>
      </c>
      <c r="AY50" s="164">
        <v>787.85</v>
      </c>
      <c r="AZ50" s="164">
        <v>770.72</v>
      </c>
      <c r="BA50" s="164">
        <v>732.8</v>
      </c>
      <c r="BB50" s="164">
        <v>700.19</v>
      </c>
      <c r="BC50" s="164">
        <v>670.36</v>
      </c>
      <c r="BD50" s="164">
        <v>653.79</v>
      </c>
      <c r="BE50" s="164">
        <v>629.55999999999995</v>
      </c>
      <c r="BF50" s="164">
        <v>608.89</v>
      </c>
      <c r="BG50" s="164">
        <v>584.67999999999995</v>
      </c>
      <c r="BH50" s="164">
        <v>563.01</v>
      </c>
      <c r="BI50" s="164">
        <v>543.03</v>
      </c>
      <c r="BJ50" s="164">
        <v>525.02</v>
      </c>
      <c r="BK50" s="164">
        <v>509.32</v>
      </c>
    </row>
    <row r="51" spans="1:63">
      <c r="A51" s="119" t="s">
        <v>1040</v>
      </c>
      <c r="B51" s="119" t="s">
        <v>121</v>
      </c>
      <c r="C51" s="164">
        <v>818.01</v>
      </c>
      <c r="D51" s="164">
        <v>812.47</v>
      </c>
      <c r="E51" s="164">
        <v>415.35</v>
      </c>
      <c r="F51" s="164">
        <v>188.99</v>
      </c>
      <c r="G51" s="164">
        <v>167.42</v>
      </c>
      <c r="H51" s="164">
        <v>138.6</v>
      </c>
      <c r="I51" s="164">
        <v>227</v>
      </c>
      <c r="J51" s="164">
        <v>195.36</v>
      </c>
      <c r="K51" s="164">
        <v>110.58</v>
      </c>
      <c r="L51" s="164">
        <v>85.48</v>
      </c>
      <c r="M51" s="164">
        <v>84.53</v>
      </c>
      <c r="N51" s="164">
        <v>63.5</v>
      </c>
      <c r="O51" s="164">
        <v>77.02</v>
      </c>
      <c r="P51" s="164">
        <v>115.77</v>
      </c>
      <c r="Q51" s="164">
        <v>90.07</v>
      </c>
      <c r="R51" s="164">
        <v>62.39</v>
      </c>
      <c r="S51" s="164">
        <v>97.09</v>
      </c>
      <c r="T51" s="164">
        <v>43.68</v>
      </c>
      <c r="U51" s="164">
        <v>41.21</v>
      </c>
      <c r="V51" s="164">
        <v>48.61</v>
      </c>
      <c r="W51" s="164">
        <v>42.77</v>
      </c>
      <c r="X51" s="164">
        <v>31.61</v>
      </c>
      <c r="Y51" s="164">
        <v>42.68</v>
      </c>
      <c r="Z51" s="164">
        <v>43.28</v>
      </c>
      <c r="AA51" s="164">
        <v>66.02</v>
      </c>
      <c r="AB51" s="164">
        <v>52.68</v>
      </c>
      <c r="AC51" s="164">
        <v>43.79</v>
      </c>
      <c r="AD51" s="164">
        <v>54.37</v>
      </c>
      <c r="AE51" s="164">
        <v>65.099999999999994</v>
      </c>
      <c r="AF51" s="164">
        <v>80.150000000000006</v>
      </c>
      <c r="AG51" s="164">
        <v>79.06</v>
      </c>
      <c r="AH51" s="165">
        <v>45.58</v>
      </c>
      <c r="AI51" s="166">
        <v>58.89</v>
      </c>
      <c r="AJ51" s="164">
        <v>58.89</v>
      </c>
      <c r="AK51" s="164">
        <v>58.89</v>
      </c>
      <c r="AL51" s="164">
        <v>0.01</v>
      </c>
      <c r="AM51" s="164">
        <v>0.01</v>
      </c>
      <c r="AN51" s="164">
        <v>0.01</v>
      </c>
      <c r="AO51" s="164">
        <v>0.01</v>
      </c>
      <c r="AP51" s="164">
        <v>0.01</v>
      </c>
      <c r="AQ51" s="164">
        <v>0.01</v>
      </c>
      <c r="AR51" s="164">
        <v>0.01</v>
      </c>
      <c r="AS51" s="164">
        <v>0.01</v>
      </c>
      <c r="AT51" s="164">
        <v>0.01</v>
      </c>
      <c r="AU51" s="164">
        <v>0.01</v>
      </c>
      <c r="AV51" s="164">
        <v>0.01</v>
      </c>
      <c r="AW51" s="164">
        <v>0.01</v>
      </c>
      <c r="AX51" s="164">
        <v>0.01</v>
      </c>
      <c r="AY51" s="164">
        <v>0.01</v>
      </c>
      <c r="AZ51" s="164">
        <v>0.01</v>
      </c>
      <c r="BA51" s="164">
        <v>0.01</v>
      </c>
      <c r="BB51" s="164">
        <v>0.01</v>
      </c>
      <c r="BC51" s="164">
        <v>0.01</v>
      </c>
      <c r="BD51" s="164">
        <v>0.01</v>
      </c>
      <c r="BE51" s="164">
        <v>0.01</v>
      </c>
      <c r="BF51" s="164">
        <v>0.01</v>
      </c>
      <c r="BG51" s="164">
        <v>0.01</v>
      </c>
      <c r="BH51" s="164">
        <v>0.01</v>
      </c>
      <c r="BI51" s="164">
        <v>0.01</v>
      </c>
      <c r="BJ51" s="164">
        <v>0.01</v>
      </c>
      <c r="BK51" s="164">
        <v>0.01</v>
      </c>
    </row>
    <row r="52" spans="1:63">
      <c r="C52" s="112"/>
      <c r="D52" s="112"/>
      <c r="E52" s="112"/>
      <c r="F52" s="112"/>
      <c r="G52" s="112"/>
      <c r="H52" s="112"/>
      <c r="I52" s="112"/>
      <c r="J52" s="112"/>
      <c r="K52" s="112"/>
      <c r="L52" s="112"/>
      <c r="M52" s="112"/>
      <c r="N52" s="112"/>
      <c r="O52" s="112"/>
      <c r="P52" s="112"/>
      <c r="Q52" s="112"/>
      <c r="R52" s="112"/>
      <c r="S52" s="112"/>
      <c r="T52" s="112"/>
      <c r="U52" s="112"/>
      <c r="V52" s="112"/>
      <c r="W52" s="112"/>
      <c r="X52" s="112"/>
      <c r="Y52" s="112"/>
      <c r="Z52" s="112"/>
      <c r="AA52" s="112"/>
      <c r="AB52" s="112"/>
      <c r="AC52" s="112"/>
      <c r="AD52" s="112"/>
      <c r="AE52" s="112"/>
      <c r="AF52" s="112"/>
      <c r="AG52" s="111"/>
      <c r="AH52" s="173"/>
      <c r="AI52" s="111"/>
      <c r="AJ52" s="112"/>
      <c r="AK52" s="111"/>
      <c r="AL52" s="112"/>
      <c r="AM52" s="111"/>
      <c r="AN52" s="112"/>
      <c r="AO52" s="111"/>
      <c r="AP52" s="112"/>
      <c r="AQ52" s="111"/>
      <c r="AR52" s="112"/>
      <c r="AS52" s="111"/>
      <c r="AT52" s="112"/>
      <c r="AU52" s="111"/>
      <c r="AV52" s="112"/>
      <c r="AW52" s="111"/>
      <c r="AX52" s="112"/>
      <c r="AY52" s="111"/>
      <c r="AZ52" s="112"/>
      <c r="BA52" s="111"/>
      <c r="BB52" s="112"/>
      <c r="BC52" s="111"/>
      <c r="BD52" s="112"/>
      <c r="BE52" s="111"/>
      <c r="BF52" s="112"/>
      <c r="BG52" s="111"/>
      <c r="BH52" s="112"/>
      <c r="BI52" s="111"/>
      <c r="BJ52" s="112"/>
      <c r="BK52" s="111"/>
    </row>
    <row r="53" spans="1:63">
      <c r="B53" s="47"/>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row>
    <row r="54" spans="1:63">
      <c r="C54" s="126"/>
      <c r="D54" s="126"/>
      <c r="E54" s="126"/>
      <c r="F54" s="126"/>
      <c r="G54" s="126"/>
      <c r="H54" s="126"/>
      <c r="I54" s="126"/>
      <c r="J54" s="126"/>
      <c r="K54" s="126"/>
      <c r="L54" s="126"/>
      <c r="M54" s="126"/>
      <c r="N54" s="126"/>
      <c r="O54" s="126"/>
      <c r="P54" s="126"/>
      <c r="Q54" s="126"/>
      <c r="R54" s="126"/>
      <c r="S54" s="126"/>
      <c r="T54" s="126"/>
      <c r="U54" s="126"/>
      <c r="V54" s="126"/>
      <c r="W54" s="126"/>
      <c r="X54" s="126"/>
      <c r="Y54" s="126"/>
      <c r="Z54" s="126"/>
      <c r="AA54" s="126"/>
      <c r="AB54" s="126"/>
      <c r="AC54" s="126"/>
      <c r="AD54" s="126"/>
      <c r="AE54" s="126"/>
      <c r="AF54" s="126"/>
      <c r="AG54" s="126"/>
    </row>
    <row r="55" spans="1:63">
      <c r="A55" s="117" t="s">
        <v>1042</v>
      </c>
      <c r="B55" s="117" t="s">
        <v>1031</v>
      </c>
      <c r="C55" s="118">
        <v>1990</v>
      </c>
      <c r="D55" s="118">
        <v>1991</v>
      </c>
      <c r="E55" s="118">
        <v>1992</v>
      </c>
      <c r="F55" s="118">
        <v>1993</v>
      </c>
      <c r="G55" s="118">
        <v>1994</v>
      </c>
      <c r="H55" s="118">
        <v>1995</v>
      </c>
      <c r="I55" s="118">
        <v>1996</v>
      </c>
      <c r="J55" s="118">
        <v>1997</v>
      </c>
      <c r="K55" s="118">
        <v>1998</v>
      </c>
      <c r="L55" s="118">
        <v>1999</v>
      </c>
      <c r="M55" s="118">
        <v>2000</v>
      </c>
      <c r="N55" s="118">
        <v>2001</v>
      </c>
      <c r="O55" s="118">
        <v>2002</v>
      </c>
      <c r="P55" s="118">
        <v>2003</v>
      </c>
      <c r="Q55" s="118">
        <v>2004</v>
      </c>
      <c r="R55" s="118">
        <v>2005</v>
      </c>
      <c r="S55" s="118">
        <v>2006</v>
      </c>
      <c r="T55" s="118">
        <v>2007</v>
      </c>
      <c r="U55" s="118">
        <v>2008</v>
      </c>
      <c r="V55" s="118">
        <v>2009</v>
      </c>
      <c r="W55" s="118">
        <v>2010</v>
      </c>
      <c r="X55" s="118">
        <v>2011</v>
      </c>
      <c r="Y55" s="118">
        <v>2012</v>
      </c>
      <c r="Z55" s="118">
        <v>2013</v>
      </c>
      <c r="AA55" s="118">
        <v>2014</v>
      </c>
      <c r="AB55" s="118">
        <v>2015</v>
      </c>
      <c r="AC55" s="118">
        <v>2016</v>
      </c>
      <c r="AD55" s="118">
        <v>2017</v>
      </c>
      <c r="AE55" s="118">
        <v>2018</v>
      </c>
      <c r="AF55" s="118">
        <v>2019</v>
      </c>
      <c r="AG55" s="118">
        <v>2020</v>
      </c>
      <c r="AH55" s="172">
        <v>2021</v>
      </c>
      <c r="AI55" s="118">
        <v>2022</v>
      </c>
      <c r="AJ55" s="118">
        <v>2023</v>
      </c>
      <c r="AK55" s="118">
        <v>2024</v>
      </c>
      <c r="AL55" s="118">
        <v>2025</v>
      </c>
      <c r="AM55" s="118">
        <v>2026</v>
      </c>
      <c r="AN55" s="118">
        <v>2027</v>
      </c>
      <c r="AO55" s="118">
        <v>2028</v>
      </c>
      <c r="AP55" s="118">
        <v>2029</v>
      </c>
      <c r="AQ55" s="118">
        <v>2030</v>
      </c>
      <c r="AR55" s="118">
        <v>2031</v>
      </c>
      <c r="AS55" s="118">
        <v>2032</v>
      </c>
      <c r="AT55" s="118">
        <v>2033</v>
      </c>
      <c r="AU55" s="118">
        <v>2034</v>
      </c>
      <c r="AV55" s="118">
        <v>2035</v>
      </c>
      <c r="AW55" s="118">
        <v>2036</v>
      </c>
      <c r="AX55" s="118">
        <v>2037</v>
      </c>
      <c r="AY55" s="118">
        <v>2038</v>
      </c>
      <c r="AZ55" s="118">
        <v>2039</v>
      </c>
      <c r="BA55" s="118">
        <v>2040</v>
      </c>
      <c r="BB55" s="118">
        <v>2041</v>
      </c>
      <c r="BC55" s="118">
        <v>2042</v>
      </c>
      <c r="BD55" s="118">
        <v>2043</v>
      </c>
      <c r="BE55" s="118">
        <v>2044</v>
      </c>
      <c r="BF55" s="118">
        <v>2045</v>
      </c>
      <c r="BG55" s="118">
        <v>2046</v>
      </c>
      <c r="BH55" s="118">
        <v>2047</v>
      </c>
      <c r="BI55" s="118">
        <v>2048</v>
      </c>
      <c r="BJ55" s="118">
        <v>2049</v>
      </c>
      <c r="BK55" s="118">
        <v>2050</v>
      </c>
    </row>
    <row r="56" spans="1:63" s="125" customFormat="1" hidden="1" outlineLevel="2">
      <c r="A56" s="119" t="s">
        <v>1043</v>
      </c>
      <c r="B56" s="119" t="s">
        <v>1044</v>
      </c>
      <c r="C56" s="174">
        <v>8123.4738048603285</v>
      </c>
      <c r="D56" s="175">
        <v>8103.1513669163269</v>
      </c>
      <c r="E56" s="175">
        <v>8465.3738838749887</v>
      </c>
      <c r="F56" s="175">
        <v>8917.1083368543023</v>
      </c>
      <c r="G56" s="175">
        <v>9577.0808586024577</v>
      </c>
      <c r="H56" s="175">
        <v>10239.75127068527</v>
      </c>
      <c r="I56" s="175">
        <v>10370.213477161264</v>
      </c>
      <c r="J56" s="175">
        <v>10595.889532393236</v>
      </c>
      <c r="K56" s="175">
        <v>10800.287827520146</v>
      </c>
      <c r="L56" s="175">
        <v>11085.248585156942</v>
      </c>
      <c r="M56" s="175">
        <v>11635.189554943681</v>
      </c>
      <c r="N56" s="175">
        <v>11692.734720415605</v>
      </c>
      <c r="O56" s="175">
        <v>12148.077566047328</v>
      </c>
      <c r="P56" s="175">
        <v>12682.556619811654</v>
      </c>
      <c r="Q56" s="175">
        <v>12975.975090054395</v>
      </c>
      <c r="R56" s="175">
        <v>13046.884396819138</v>
      </c>
      <c r="S56" s="175">
        <v>13165.766263018877</v>
      </c>
      <c r="T56" s="175">
        <v>13268.765468082807</v>
      </c>
      <c r="U56" s="175">
        <v>13278.568818685819</v>
      </c>
      <c r="V56" s="175">
        <v>13085.963247072539</v>
      </c>
      <c r="W56" s="175">
        <v>13334.773260072896</v>
      </c>
      <c r="X56" s="175">
        <v>13318.209641078882</v>
      </c>
      <c r="Y56" s="175">
        <v>12993.508896174886</v>
      </c>
      <c r="Z56" s="175">
        <v>13068.243682161243</v>
      </c>
      <c r="AA56" s="175">
        <v>13326.977370262439</v>
      </c>
      <c r="AB56" s="175">
        <v>13801.803079339119</v>
      </c>
      <c r="AC56" s="175">
        <v>13894.375402202368</v>
      </c>
      <c r="AD56" s="175">
        <v>14792.88940934624</v>
      </c>
      <c r="AE56" s="175">
        <v>15115.515647016437</v>
      </c>
      <c r="AF56" s="175">
        <v>14644.249063934256</v>
      </c>
      <c r="AG56" s="176">
        <v>13192.241771536119</v>
      </c>
      <c r="AH56" s="176">
        <v>13846.170033687227</v>
      </c>
    </row>
    <row r="57" spans="1:63" hidden="1" collapsed="1">
      <c r="A57" s="119"/>
      <c r="B57" s="119"/>
      <c r="C57" s="112">
        <f>C56-C17</f>
        <v>3.8048603291827021E-3</v>
      </c>
      <c r="D57" s="112">
        <f t="shared" ref="D57:AH57" si="7">D56-D17</f>
        <v>1.3669163272425067E-3</v>
      </c>
      <c r="E57" s="112">
        <f t="shared" si="7"/>
        <v>-6.1161250105215004E-3</v>
      </c>
      <c r="F57" s="112">
        <f t="shared" si="7"/>
        <v>-1.6631456965114921E-3</v>
      </c>
      <c r="G57" s="112">
        <f t="shared" si="7"/>
        <v>8.5860245781077538E-4</v>
      </c>
      <c r="H57" s="112">
        <f t="shared" si="7"/>
        <v>-8.7293147298623808E-3</v>
      </c>
      <c r="I57" s="112">
        <f t="shared" si="7"/>
        <v>3.4771612645272398E-3</v>
      </c>
      <c r="J57" s="112">
        <f t="shared" si="7"/>
        <v>-4.6760676377743948E-4</v>
      </c>
      <c r="K57" s="112">
        <f t="shared" si="7"/>
        <v>-2.1724798552895663E-3</v>
      </c>
      <c r="L57" s="112">
        <f t="shared" si="7"/>
        <v>-1.4148430582281435E-3</v>
      </c>
      <c r="M57" s="112">
        <f t="shared" si="7"/>
        <v>9.5549436809960753E-3</v>
      </c>
      <c r="N57" s="112">
        <f t="shared" si="7"/>
        <v>-5.2795843967032852E-3</v>
      </c>
      <c r="O57" s="112">
        <f t="shared" si="7"/>
        <v>-2.4339526717085391E-3</v>
      </c>
      <c r="P57" s="112">
        <f t="shared" si="7"/>
        <v>6.619811654672958E-3</v>
      </c>
      <c r="Q57" s="112">
        <f t="shared" si="7"/>
        <v>5.0900543956231559E-3</v>
      </c>
      <c r="R57" s="112">
        <f t="shared" si="7"/>
        <v>4.3968191366730025E-3</v>
      </c>
      <c r="S57" s="112">
        <f t="shared" si="7"/>
        <v>6.2630188767798245E-3</v>
      </c>
      <c r="T57" s="112">
        <f t="shared" si="7"/>
        <v>5.4680828070559073E-3</v>
      </c>
      <c r="U57" s="112">
        <f t="shared" si="7"/>
        <v>8.8186858192784712E-3</v>
      </c>
      <c r="V57" s="112">
        <f t="shared" si="7"/>
        <v>3.2470725382154342E-3</v>
      </c>
      <c r="W57" s="112">
        <f t="shared" si="7"/>
        <v>-6.739927102898946E-3</v>
      </c>
      <c r="X57" s="112">
        <f t="shared" si="7"/>
        <v>-3.5892111918656155E-4</v>
      </c>
      <c r="Y57" s="112">
        <f t="shared" si="7"/>
        <v>8.8961748879228253E-3</v>
      </c>
      <c r="Z57" s="112">
        <f t="shared" si="7"/>
        <v>-6.3178387572406791E-3</v>
      </c>
      <c r="AA57" s="112">
        <f t="shared" si="7"/>
        <v>-2.6297375625290442E-3</v>
      </c>
      <c r="AB57" s="112">
        <f t="shared" si="7"/>
        <v>-6.9206608823151328E-3</v>
      </c>
      <c r="AC57" s="112">
        <f t="shared" si="7"/>
        <v>5.4022023687139153E-3</v>
      </c>
      <c r="AD57" s="112">
        <f t="shared" si="7"/>
        <v>9.4093462412274675E-3</v>
      </c>
      <c r="AE57" s="112">
        <f t="shared" si="7"/>
        <v>-4.3529835620574886E-3</v>
      </c>
      <c r="AF57" s="112">
        <f t="shared" si="7"/>
        <v>-9.3606574409932364E-4</v>
      </c>
      <c r="AG57" s="112">
        <f t="shared" si="7"/>
        <v>1.7715361191221746E-3</v>
      </c>
      <c r="AH57" s="112">
        <f t="shared" si="7"/>
        <v>3.3687227187328972E-5</v>
      </c>
    </row>
    <row r="58" spans="1:63" hidden="1">
      <c r="A58" s="119"/>
      <c r="B58" s="119"/>
      <c r="AE58" s="123"/>
    </row>
    <row r="59" spans="1:63" s="125" customFormat="1" hidden="1" collapsed="1">
      <c r="A59" s="119">
        <v>3</v>
      </c>
      <c r="B59" s="119" t="s">
        <v>1045</v>
      </c>
      <c r="C59" s="177">
        <v>36052.918995677588</v>
      </c>
      <c r="D59" s="178">
        <v>36305.594999833716</v>
      </c>
      <c r="E59" s="178">
        <v>35802.455216864677</v>
      </c>
      <c r="F59" s="178">
        <v>36186.240732689766</v>
      </c>
      <c r="G59" s="178">
        <v>37363.374800090118</v>
      </c>
      <c r="H59" s="178">
        <v>37941.44791929522</v>
      </c>
      <c r="I59" s="178">
        <v>38290.498981165045</v>
      </c>
      <c r="J59" s="178">
        <v>39201.385406128524</v>
      </c>
      <c r="K59" s="178">
        <v>38545.634822577864</v>
      </c>
      <c r="L59" s="178">
        <v>38790.615726522657</v>
      </c>
      <c r="M59" s="178">
        <v>39947.771617081424</v>
      </c>
      <c r="N59" s="178">
        <v>40715.165886361188</v>
      </c>
      <c r="O59" s="178">
        <v>40561.556768324612</v>
      </c>
      <c r="P59" s="178">
        <v>41154.447427712483</v>
      </c>
      <c r="Q59" s="178">
        <v>41258.262924788753</v>
      </c>
      <c r="R59" s="178">
        <v>41664.338140495638</v>
      </c>
      <c r="S59" s="178">
        <v>41438.291451595345</v>
      </c>
      <c r="T59" s="178">
        <v>40496.503232612653</v>
      </c>
      <c r="U59" s="178">
        <v>39092.17435012792</v>
      </c>
      <c r="V59" s="178">
        <v>39232.318769042664</v>
      </c>
      <c r="W59" s="178">
        <v>39461.508983164211</v>
      </c>
      <c r="X59" s="178">
        <v>40065.619164675489</v>
      </c>
      <c r="Y59" s="178">
        <v>40813.066323391628</v>
      </c>
      <c r="Z59" s="178">
        <v>40997.437632657464</v>
      </c>
      <c r="AA59" s="178">
        <v>41575.789983524628</v>
      </c>
      <c r="AB59" s="178">
        <v>41042.840677697794</v>
      </c>
      <c r="AC59" s="178">
        <v>40576.672706026235</v>
      </c>
      <c r="AD59" s="178">
        <v>40737.300821948869</v>
      </c>
      <c r="AE59" s="178">
        <v>41064.2278637212</v>
      </c>
      <c r="AF59" s="178">
        <v>41144.251673364328</v>
      </c>
      <c r="AG59" s="179">
        <v>41083.010755233452</v>
      </c>
      <c r="AH59" s="179">
        <v>40497.575903341763</v>
      </c>
    </row>
    <row r="60" spans="1:63" hidden="1">
      <c r="A60" s="119"/>
      <c r="B60" s="119"/>
      <c r="C60" s="180">
        <f>C59-C24</f>
        <v>-1.0043224101536907E-3</v>
      </c>
      <c r="D60" s="180">
        <f t="shared" ref="D60:AH60" si="8">D59-D24</f>
        <v>-5.0001662821159698E-3</v>
      </c>
      <c r="E60" s="180">
        <f t="shared" si="8"/>
        <v>-4.7831353222136386E-3</v>
      </c>
      <c r="F60" s="180">
        <f t="shared" si="8"/>
        <v>7.3268976848339662E-4</v>
      </c>
      <c r="G60" s="180">
        <f t="shared" si="8"/>
        <v>4.8000901151681319E-3</v>
      </c>
      <c r="H60" s="180">
        <f t="shared" si="8"/>
        <v>-1.2080704778782092E-2</v>
      </c>
      <c r="I60" s="180">
        <f t="shared" si="8"/>
        <v>8.9811650468618609E-3</v>
      </c>
      <c r="J60" s="180">
        <f t="shared" si="8"/>
        <v>-4.5938714756630361E-3</v>
      </c>
      <c r="K60" s="180">
        <f t="shared" si="8"/>
        <v>-5.1774221356026828E-3</v>
      </c>
      <c r="L60" s="180">
        <f t="shared" si="8"/>
        <v>-4.2734773451229557E-3</v>
      </c>
      <c r="M60" s="180">
        <f t="shared" si="8"/>
        <v>-8.3829185750801116E-3</v>
      </c>
      <c r="N60" s="180">
        <f t="shared" si="8"/>
        <v>5.8863611920969561E-3</v>
      </c>
      <c r="O60" s="180">
        <f t="shared" si="8"/>
        <v>-3.2316753859049641E-3</v>
      </c>
      <c r="P60" s="180">
        <f t="shared" si="8"/>
        <v>-2.5722875143401325E-3</v>
      </c>
      <c r="Q60" s="180">
        <f t="shared" si="8"/>
        <v>-7.0752112515037879E-3</v>
      </c>
      <c r="R60" s="180">
        <f t="shared" si="8"/>
        <v>-1.8595043584355153E-3</v>
      </c>
      <c r="S60" s="180">
        <f t="shared" si="8"/>
        <v>1.451595344406087E-3</v>
      </c>
      <c r="T60" s="180">
        <f t="shared" si="8"/>
        <v>-6.7673873418243602E-3</v>
      </c>
      <c r="U60" s="180">
        <f t="shared" si="8"/>
        <v>-5.6498720878153108E-3</v>
      </c>
      <c r="V60" s="180">
        <f t="shared" si="8"/>
        <v>-1.2309573285165243E-3</v>
      </c>
      <c r="W60" s="180">
        <f t="shared" si="8"/>
        <v>-1.1016835785994772E-2</v>
      </c>
      <c r="X60" s="180">
        <f t="shared" si="8"/>
        <v>-8.3532450662460178E-4</v>
      </c>
      <c r="Y60" s="180">
        <f t="shared" si="8"/>
        <v>6.3233916298486292E-3</v>
      </c>
      <c r="Z60" s="180">
        <f t="shared" si="8"/>
        <v>7.632657463545911E-3</v>
      </c>
      <c r="AA60" s="180">
        <f t="shared" si="8"/>
        <v>-1.6475380107294768E-5</v>
      </c>
      <c r="AB60" s="180">
        <f t="shared" si="8"/>
        <v>-9.3223022049642168E-3</v>
      </c>
      <c r="AC60" s="180">
        <f t="shared" si="8"/>
        <v>-7.293973772902973E-3</v>
      </c>
      <c r="AD60" s="180">
        <f t="shared" si="8"/>
        <v>8.2194887363584712E-4</v>
      </c>
      <c r="AE60" s="180">
        <f t="shared" si="8"/>
        <v>-2.1362787956604734E-3</v>
      </c>
      <c r="AF60" s="180">
        <f t="shared" si="8"/>
        <v>1.6733643278712407E-3</v>
      </c>
      <c r="AG60" s="180">
        <f t="shared" si="8"/>
        <v>7.5523345003603026E-4</v>
      </c>
      <c r="AH60" s="180">
        <f t="shared" si="8"/>
        <v>5.9033417637692764E-3</v>
      </c>
    </row>
    <row r="61" spans="1:63" hidden="1">
      <c r="A61" s="119"/>
      <c r="B61" s="119"/>
      <c r="C61" s="112"/>
      <c r="D61" s="112"/>
      <c r="E61" s="112"/>
      <c r="F61" s="112"/>
      <c r="G61" s="112"/>
      <c r="H61" s="112"/>
      <c r="I61" s="112"/>
      <c r="J61" s="112"/>
      <c r="K61" s="112"/>
      <c r="L61" s="112"/>
      <c r="M61" s="112"/>
      <c r="N61" s="112"/>
      <c r="O61" s="112"/>
      <c r="P61" s="112"/>
      <c r="Q61" s="112"/>
      <c r="R61" s="112"/>
      <c r="S61" s="112"/>
      <c r="T61" s="112"/>
      <c r="U61" s="112"/>
      <c r="V61" s="112"/>
      <c r="W61" s="112"/>
      <c r="X61" s="112"/>
      <c r="Y61" s="112"/>
      <c r="Z61" s="112"/>
      <c r="AA61" s="112"/>
      <c r="AB61" s="112"/>
      <c r="AC61" s="112"/>
      <c r="AD61" s="112"/>
      <c r="AE61" s="112"/>
      <c r="AF61" s="112"/>
    </row>
    <row r="62" spans="1:63" s="125" customFormat="1" hidden="1" collapsed="1">
      <c r="A62" s="119">
        <v>5</v>
      </c>
      <c r="B62" s="119" t="s">
        <v>1046</v>
      </c>
      <c r="C62" s="177">
        <v>4372.7542106151604</v>
      </c>
      <c r="D62" s="178">
        <v>4493.650449672642</v>
      </c>
      <c r="E62" s="178">
        <v>4607.3079386918689</v>
      </c>
      <c r="F62" s="178">
        <v>4725.15132860825</v>
      </c>
      <c r="G62" s="178">
        <v>4596.6296471539645</v>
      </c>
      <c r="H62" s="178">
        <v>4700.2728578202405</v>
      </c>
      <c r="I62" s="178">
        <v>4797.3739088209686</v>
      </c>
      <c r="J62" s="178">
        <v>4865.9496753779722</v>
      </c>
      <c r="K62" s="178">
        <v>4861.2542742698733</v>
      </c>
      <c r="L62" s="178">
        <v>4890.0983773880416</v>
      </c>
      <c r="M62" s="178">
        <v>4921.0396247498138</v>
      </c>
      <c r="N62" s="178">
        <v>4945.2767737494023</v>
      </c>
      <c r="O62" s="178">
        <v>4961.8344816669578</v>
      </c>
      <c r="P62" s="178">
        <v>4855.8357419024087</v>
      </c>
      <c r="Q62" s="178">
        <v>4875.1520425072795</v>
      </c>
      <c r="R62" s="178">
        <v>4861.8178748375803</v>
      </c>
      <c r="S62" s="178">
        <v>4639.8922461102911</v>
      </c>
      <c r="T62" s="178">
        <v>4599.1131784578465</v>
      </c>
      <c r="U62" s="178">
        <v>4504.4377058984301</v>
      </c>
      <c r="V62" s="178">
        <v>4357.5007633178993</v>
      </c>
      <c r="W62" s="178">
        <v>4294.6612781873991</v>
      </c>
      <c r="X62" s="178">
        <v>4126.8556951771907</v>
      </c>
      <c r="Y62" s="178">
        <v>4007.8855639211365</v>
      </c>
      <c r="Z62" s="178">
        <v>3951.9901470180198</v>
      </c>
      <c r="AA62" s="178">
        <v>3903.1299843248421</v>
      </c>
      <c r="AB62" s="178">
        <v>3860.8173145644864</v>
      </c>
      <c r="AC62" s="178">
        <v>3828.3988915510663</v>
      </c>
      <c r="AD62" s="178">
        <v>3785.7668633188678</v>
      </c>
      <c r="AE62" s="178">
        <v>3711.0732532306097</v>
      </c>
      <c r="AF62" s="178">
        <v>3659.6323975525224</v>
      </c>
      <c r="AG62" s="179">
        <v>3609.055131438578</v>
      </c>
      <c r="AH62" s="179">
        <v>3550.8426780282985</v>
      </c>
    </row>
    <row r="63" spans="1:63" hidden="1">
      <c r="A63" s="119"/>
      <c r="B63" s="119"/>
      <c r="C63" s="127">
        <f>C62-C31</f>
        <v>4.2106151604457409E-3</v>
      </c>
      <c r="D63" s="127">
        <f t="shared" ref="D63:AH63" si="9">D62-D31</f>
        <v>4.4967264238948701E-4</v>
      </c>
      <c r="E63" s="127">
        <f t="shared" si="9"/>
        <v>-2.0613081305782543E-3</v>
      </c>
      <c r="F63" s="127">
        <f t="shared" si="9"/>
        <v>1.3286082494232687E-3</v>
      </c>
      <c r="G63" s="127">
        <f t="shared" si="9"/>
        <v>-3.5284603563923156E-4</v>
      </c>
      <c r="H63" s="127">
        <f t="shared" si="9"/>
        <v>2.8578202400240116E-3</v>
      </c>
      <c r="I63" s="127">
        <f t="shared" si="9"/>
        <v>-6.0911790305908653E-3</v>
      </c>
      <c r="J63" s="127">
        <f t="shared" si="9"/>
        <v>-3.2462202761962544E-4</v>
      </c>
      <c r="K63" s="127">
        <f t="shared" si="9"/>
        <v>4.2742698733491125E-3</v>
      </c>
      <c r="L63" s="127">
        <f t="shared" si="9"/>
        <v>8.3773880414810264E-3</v>
      </c>
      <c r="M63" s="127">
        <f t="shared" si="9"/>
        <v>-1.0375250185461482E-2</v>
      </c>
      <c r="N63" s="127">
        <f t="shared" si="9"/>
        <v>6.7737494018729194E-3</v>
      </c>
      <c r="O63" s="127">
        <f t="shared" si="9"/>
        <v>4.4816669578722212E-3</v>
      </c>
      <c r="P63" s="127">
        <f t="shared" si="9"/>
        <v>5.7419024087721482E-3</v>
      </c>
      <c r="Q63" s="127">
        <f t="shared" si="9"/>
        <v>1.2042507279147685E-2</v>
      </c>
      <c r="R63" s="127">
        <f t="shared" si="9"/>
        <v>-2.1251624202704988E-3</v>
      </c>
      <c r="S63" s="127">
        <f t="shared" si="9"/>
        <v>2.2461102917077369E-3</v>
      </c>
      <c r="T63" s="127">
        <f t="shared" si="9"/>
        <v>-6.8215421533750487E-3</v>
      </c>
      <c r="U63" s="127">
        <f t="shared" si="9"/>
        <v>-2.2941015695323586E-3</v>
      </c>
      <c r="V63" s="127">
        <f t="shared" si="9"/>
        <v>7.6331790023687063E-4</v>
      </c>
      <c r="W63" s="127">
        <f t="shared" si="9"/>
        <v>1.1278187399511808E-2</v>
      </c>
      <c r="X63" s="127">
        <f t="shared" si="9"/>
        <v>-4.3048228089901386E-3</v>
      </c>
      <c r="Y63" s="127">
        <f t="shared" si="9"/>
        <v>-4.4360788638186932E-3</v>
      </c>
      <c r="Z63" s="127">
        <f t="shared" si="9"/>
        <v>1.4701802001582109E-4</v>
      </c>
      <c r="AA63" s="127">
        <f t="shared" si="9"/>
        <v>9.9843248422075703E-3</v>
      </c>
      <c r="AB63" s="127">
        <f t="shared" si="9"/>
        <v>-2.6854355137402308E-3</v>
      </c>
      <c r="AC63" s="127">
        <f t="shared" si="9"/>
        <v>-1.1084489337918058E-3</v>
      </c>
      <c r="AD63" s="127">
        <f t="shared" si="9"/>
        <v>-3.136681132218655E-3</v>
      </c>
      <c r="AE63" s="127">
        <f t="shared" si="9"/>
        <v>3.2532306095163221E-3</v>
      </c>
      <c r="AF63" s="127">
        <f t="shared" si="9"/>
        <v>2.3975525223249861E-3</v>
      </c>
      <c r="AG63" s="127">
        <f t="shared" si="9"/>
        <v>1.0080385777655465E-3</v>
      </c>
      <c r="AH63" s="127">
        <f t="shared" si="9"/>
        <v>4.114928298349696E-3</v>
      </c>
    </row>
    <row r="64" spans="1:63" hidden="1">
      <c r="A64" s="119"/>
      <c r="B64" s="119"/>
      <c r="C64" s="127"/>
      <c r="D64" s="127"/>
      <c r="E64" s="127"/>
      <c r="F64" s="127"/>
      <c r="G64" s="127"/>
      <c r="H64" s="127"/>
      <c r="I64" s="127"/>
      <c r="J64" s="127"/>
      <c r="K64" s="127"/>
      <c r="L64" s="127"/>
      <c r="M64" s="127"/>
      <c r="N64" s="127"/>
      <c r="O64" s="127"/>
      <c r="P64" s="127"/>
      <c r="Q64" s="127"/>
      <c r="R64" s="127"/>
      <c r="S64" s="127"/>
      <c r="T64" s="127"/>
      <c r="U64" s="127"/>
      <c r="V64" s="127"/>
      <c r="W64" s="127"/>
      <c r="X64" s="127"/>
      <c r="Y64" s="127"/>
      <c r="Z64" s="127"/>
      <c r="AA64" s="127"/>
      <c r="AB64" s="127"/>
      <c r="AC64" s="127"/>
      <c r="AD64" s="127"/>
      <c r="AE64" s="127"/>
      <c r="AF64" s="127"/>
      <c r="AG64" s="127"/>
    </row>
    <row r="65" spans="1:63" s="125" customFormat="1" hidden="1">
      <c r="A65" s="119">
        <v>2</v>
      </c>
      <c r="B65" s="119" t="s">
        <v>1047</v>
      </c>
      <c r="C65" s="177">
        <v>3480.5634745884745</v>
      </c>
      <c r="D65" s="178">
        <v>3632.8089776461343</v>
      </c>
      <c r="E65" s="178">
        <v>3322.7701107481721</v>
      </c>
      <c r="F65" s="178">
        <v>3188.7136447765752</v>
      </c>
      <c r="G65" s="181">
        <v>3066.1968881504599</v>
      </c>
      <c r="H65" s="181">
        <v>3166.2575017129116</v>
      </c>
      <c r="I65" s="181">
        <v>3331.1739266912145</v>
      </c>
      <c r="J65" s="181">
        <v>3253.5700665587656</v>
      </c>
      <c r="K65" s="181">
        <v>3244.5897194419617</v>
      </c>
      <c r="L65" s="181">
        <v>3430.8006339066014</v>
      </c>
      <c r="M65" s="181">
        <v>3467.5130620410514</v>
      </c>
      <c r="N65" s="181">
        <v>3572.0259048655171</v>
      </c>
      <c r="O65" s="181">
        <v>3647.8807544982205</v>
      </c>
      <c r="P65" s="181">
        <v>3839.1542527004458</v>
      </c>
      <c r="Q65" s="181">
        <v>3896.3295579842243</v>
      </c>
      <c r="R65" s="181">
        <v>4007.7420995202669</v>
      </c>
      <c r="S65" s="181">
        <v>4098.7451427850947</v>
      </c>
      <c r="T65" s="181">
        <v>4330.3660417523652</v>
      </c>
      <c r="U65" s="181">
        <v>4213.7905501384876</v>
      </c>
      <c r="V65" s="181">
        <v>4177.3083475304766</v>
      </c>
      <c r="W65" s="181">
        <v>4515.8941821462931</v>
      </c>
      <c r="X65" s="181">
        <v>4543.0816270906707</v>
      </c>
      <c r="Y65" s="181">
        <v>4570.5171334971692</v>
      </c>
      <c r="Z65" s="181">
        <v>4668.7892670391184</v>
      </c>
      <c r="AA65" s="181">
        <v>4870.8046547173572</v>
      </c>
      <c r="AB65" s="181">
        <v>4974.3784281982053</v>
      </c>
      <c r="AC65" s="181">
        <v>4706.5655638872013</v>
      </c>
      <c r="AD65" s="181">
        <v>4727.4394717773412</v>
      </c>
      <c r="AE65" s="181">
        <v>4638.4636797627381</v>
      </c>
      <c r="AF65" s="181">
        <v>4690.6059001265794</v>
      </c>
      <c r="AG65" s="182">
        <v>4495.219923049076</v>
      </c>
      <c r="AH65" s="182">
        <v>4514.6140201861936</v>
      </c>
    </row>
    <row r="66" spans="1:63" hidden="1">
      <c r="A66" s="119"/>
      <c r="B66" s="119"/>
      <c r="C66" s="127">
        <f>C65-C45</f>
        <v>-6.5254115252173506E-3</v>
      </c>
      <c r="D66" s="127">
        <f t="shared" ref="D66:AH66" si="10">D65-D45</f>
        <v>-1.1022353865428158E-2</v>
      </c>
      <c r="E66" s="127">
        <f t="shared" si="10"/>
        <v>1.1074817211920163E-4</v>
      </c>
      <c r="F66" s="127">
        <f t="shared" si="10"/>
        <v>3.6447765751290717E-3</v>
      </c>
      <c r="G66" s="127">
        <f t="shared" si="10"/>
        <v>6.8881504598721222E-3</v>
      </c>
      <c r="H66" s="127">
        <f t="shared" si="10"/>
        <v>7.5017129120169557E-3</v>
      </c>
      <c r="I66" s="127">
        <f t="shared" si="10"/>
        <v>3.9266912144739763E-3</v>
      </c>
      <c r="J66" s="127">
        <f t="shared" si="10"/>
        <v>6.6558765865920577E-5</v>
      </c>
      <c r="K66" s="127">
        <f t="shared" si="10"/>
        <v>-2.8055803841198212E-4</v>
      </c>
      <c r="L66" s="127">
        <f t="shared" si="10"/>
        <v>6.3390660125151044E-4</v>
      </c>
      <c r="M66" s="127">
        <f t="shared" si="10"/>
        <v>3.062041051180131E-3</v>
      </c>
      <c r="N66" s="127">
        <f t="shared" si="10"/>
        <v>-4.0951344835775672E-3</v>
      </c>
      <c r="O66" s="127">
        <f t="shared" si="10"/>
        <v>7.5449822043083259E-4</v>
      </c>
      <c r="P66" s="127">
        <f t="shared" si="10"/>
        <v>-5.7472995545140293E-3</v>
      </c>
      <c r="Q66" s="127">
        <f t="shared" si="10"/>
        <v>9.5579842241022561E-3</v>
      </c>
      <c r="R66" s="127">
        <f t="shared" si="10"/>
        <v>2.0995202676203917E-3</v>
      </c>
      <c r="S66" s="127">
        <f t="shared" si="10"/>
        <v>5.1427850939944619E-3</v>
      </c>
      <c r="T66" s="127">
        <f t="shared" si="10"/>
        <v>6.0417523654905381E-3</v>
      </c>
      <c r="U66" s="127">
        <f t="shared" si="10"/>
        <v>-9.4498615126212826E-3</v>
      </c>
      <c r="V66" s="127">
        <f t="shared" si="10"/>
        <v>8.3475304763851454E-3</v>
      </c>
      <c r="W66" s="127">
        <f t="shared" si="10"/>
        <v>1.4182146293023834E-2</v>
      </c>
      <c r="X66" s="127">
        <f t="shared" si="10"/>
        <v>1.6270906717181788E-3</v>
      </c>
      <c r="Y66" s="127">
        <f t="shared" si="10"/>
        <v>7.1334971689793747E-3</v>
      </c>
      <c r="Z66" s="127">
        <f t="shared" si="10"/>
        <v>-7.3296088157803752E-4</v>
      </c>
      <c r="AA66" s="127">
        <f t="shared" si="10"/>
        <v>-1.5345282643465907E-2</v>
      </c>
      <c r="AB66" s="127">
        <f t="shared" si="10"/>
        <v>8.428198204455839E-3</v>
      </c>
      <c r="AC66" s="127">
        <f t="shared" si="10"/>
        <v>-4.4361127984302584E-3</v>
      </c>
      <c r="AD66" s="127">
        <f t="shared" si="10"/>
        <v>-5.2822265843133209E-4</v>
      </c>
      <c r="AE66" s="127">
        <f t="shared" si="10"/>
        <v>3.6797627381019993E-3</v>
      </c>
      <c r="AF66" s="127">
        <f t="shared" si="10"/>
        <v>5.9001265799452085E-3</v>
      </c>
      <c r="AG66" s="127">
        <f t="shared" si="10"/>
        <v>-7.6950924267293885E-5</v>
      </c>
      <c r="AH66" s="127">
        <f t="shared" si="10"/>
        <v>4.0201861929745064E-3</v>
      </c>
    </row>
    <row r="67" spans="1:63" hidden="1">
      <c r="A67" s="119"/>
      <c r="B67" s="119"/>
      <c r="C67" s="127"/>
      <c r="D67" s="127"/>
      <c r="E67" s="127"/>
      <c r="F67" s="127"/>
      <c r="G67" s="127"/>
      <c r="H67" s="127"/>
      <c r="I67" s="127"/>
      <c r="J67" s="127"/>
      <c r="K67" s="127"/>
      <c r="L67" s="127"/>
      <c r="M67" s="127"/>
      <c r="N67" s="127"/>
      <c r="O67" s="127"/>
      <c r="P67" s="127"/>
      <c r="Q67" s="127"/>
      <c r="R67" s="127"/>
      <c r="S67" s="127"/>
      <c r="T67" s="127"/>
      <c r="U67" s="127"/>
      <c r="V67" s="127"/>
      <c r="W67" s="127"/>
      <c r="X67" s="127"/>
      <c r="Y67" s="127"/>
      <c r="Z67" s="127"/>
      <c r="AA67" s="127"/>
      <c r="AB67" s="127"/>
      <c r="AC67" s="127"/>
      <c r="AD67" s="127"/>
      <c r="AE67" s="127"/>
      <c r="AF67" s="127"/>
      <c r="AG67" s="127"/>
    </row>
    <row r="68" spans="1:63" hidden="1">
      <c r="A68" s="119"/>
      <c r="B68" s="119"/>
      <c r="C68" s="127"/>
      <c r="D68" s="127"/>
      <c r="E68" s="127"/>
      <c r="F68" s="127"/>
      <c r="G68" s="127"/>
      <c r="H68" s="127"/>
      <c r="I68" s="127"/>
      <c r="J68" s="127"/>
      <c r="K68" s="127"/>
      <c r="L68" s="127"/>
      <c r="M68" s="127"/>
      <c r="N68" s="127"/>
      <c r="O68" s="127"/>
      <c r="P68" s="127"/>
      <c r="Q68" s="127"/>
      <c r="R68" s="127"/>
      <c r="S68" s="127"/>
      <c r="T68" s="127"/>
      <c r="U68" s="127"/>
      <c r="V68" s="127"/>
      <c r="W68" s="127"/>
      <c r="X68" s="127"/>
      <c r="Y68" s="127"/>
      <c r="Z68" s="127"/>
      <c r="AA68" s="127"/>
      <c r="AB68" s="127"/>
      <c r="AC68" s="127"/>
      <c r="AD68" s="127"/>
      <c r="AE68" s="127"/>
      <c r="AF68" s="127"/>
      <c r="AG68" s="127"/>
    </row>
    <row r="69" spans="1:63" hidden="1">
      <c r="A69" s="119"/>
      <c r="B69" s="119"/>
      <c r="C69" s="112"/>
      <c r="D69" s="112"/>
      <c r="E69" s="112"/>
      <c r="F69" s="112"/>
      <c r="G69" s="112"/>
      <c r="H69" s="112"/>
      <c r="I69" s="112"/>
      <c r="J69" s="112"/>
      <c r="K69" s="112"/>
      <c r="L69" s="112"/>
      <c r="M69" s="112"/>
      <c r="N69" s="112"/>
      <c r="O69" s="112"/>
      <c r="P69" s="112"/>
      <c r="Q69" s="112"/>
      <c r="R69" s="112"/>
      <c r="S69" s="112"/>
      <c r="T69" s="112"/>
      <c r="U69" s="112"/>
      <c r="V69" s="112"/>
      <c r="W69" s="112"/>
      <c r="X69" s="112"/>
      <c r="Y69" s="112"/>
      <c r="Z69" s="112"/>
      <c r="AA69" s="112"/>
      <c r="AB69" s="112"/>
      <c r="AC69" s="112"/>
      <c r="AD69" s="112"/>
      <c r="AE69" s="112"/>
      <c r="AF69" s="112"/>
    </row>
    <row r="70" spans="1:63" hidden="1">
      <c r="A70" s="119"/>
      <c r="B70" s="119"/>
      <c r="C70" s="112">
        <f>ROUND(C18,2)</f>
        <v>7936.45</v>
      </c>
      <c r="D70" s="112">
        <f t="shared" ref="D70:BK72" si="11">ROUND(D18,2)</f>
        <v>7915.24</v>
      </c>
      <c r="E70" s="112">
        <f t="shared" si="11"/>
        <v>8271.9699999999993</v>
      </c>
      <c r="F70" s="112">
        <f t="shared" si="11"/>
        <v>8720.4</v>
      </c>
      <c r="G70" s="112">
        <f t="shared" si="11"/>
        <v>9373.66</v>
      </c>
      <c r="H70" s="112">
        <f t="shared" si="11"/>
        <v>10029.86</v>
      </c>
      <c r="I70" s="112">
        <f t="shared" si="11"/>
        <v>10161.48</v>
      </c>
      <c r="J70" s="112">
        <f t="shared" si="11"/>
        <v>10383.51</v>
      </c>
      <c r="K70" s="112">
        <f t="shared" si="11"/>
        <v>10587.78</v>
      </c>
      <c r="L70" s="112">
        <f t="shared" si="11"/>
        <v>10868.59</v>
      </c>
      <c r="M70" s="112">
        <f t="shared" si="11"/>
        <v>11410.88</v>
      </c>
      <c r="N70" s="112">
        <f t="shared" si="11"/>
        <v>11473.86</v>
      </c>
      <c r="O70" s="112">
        <f t="shared" si="11"/>
        <v>11925.66</v>
      </c>
      <c r="P70" s="112">
        <f t="shared" si="11"/>
        <v>12453.65</v>
      </c>
      <c r="Q70" s="112">
        <f t="shared" si="11"/>
        <v>12742.48</v>
      </c>
      <c r="R70" s="112">
        <f t="shared" si="11"/>
        <v>12817.9</v>
      </c>
      <c r="S70" s="112">
        <f t="shared" si="11"/>
        <v>12944.51</v>
      </c>
      <c r="T70" s="112">
        <f t="shared" si="11"/>
        <v>13053.26</v>
      </c>
      <c r="U70" s="112">
        <f t="shared" si="11"/>
        <v>13073.8</v>
      </c>
      <c r="V70" s="112">
        <f t="shared" si="11"/>
        <v>12887.11</v>
      </c>
      <c r="W70" s="112">
        <f t="shared" si="11"/>
        <v>13145.48</v>
      </c>
      <c r="X70" s="112">
        <f t="shared" si="11"/>
        <v>13137.15</v>
      </c>
      <c r="Y70" s="112">
        <f t="shared" si="11"/>
        <v>12820.72</v>
      </c>
      <c r="Z70" s="112">
        <f t="shared" si="11"/>
        <v>12899.39</v>
      </c>
      <c r="AA70" s="112">
        <f t="shared" si="11"/>
        <v>13163.62</v>
      </c>
      <c r="AB70" s="112">
        <f t="shared" si="11"/>
        <v>13643.28</v>
      </c>
      <c r="AC70" s="112">
        <f t="shared" si="11"/>
        <v>13739.71</v>
      </c>
      <c r="AD70" s="112">
        <f t="shared" si="11"/>
        <v>14658.42</v>
      </c>
      <c r="AE70" s="112">
        <f t="shared" si="11"/>
        <v>14985.9</v>
      </c>
      <c r="AF70" s="112">
        <f t="shared" si="11"/>
        <v>14517.6</v>
      </c>
      <c r="AG70" s="112">
        <f t="shared" si="11"/>
        <v>13078.68</v>
      </c>
      <c r="AH70" s="112">
        <f t="shared" si="11"/>
        <v>13733.4</v>
      </c>
      <c r="AI70" s="112">
        <f t="shared" si="11"/>
        <v>13776.12</v>
      </c>
      <c r="AJ70" s="112">
        <f t="shared" si="11"/>
        <v>14005.46</v>
      </c>
      <c r="AK70" s="112">
        <f t="shared" si="11"/>
        <v>14018.86</v>
      </c>
      <c r="AL70" s="112">
        <f t="shared" si="11"/>
        <v>13999.31</v>
      </c>
      <c r="AM70" s="112">
        <f t="shared" si="11"/>
        <v>13941.17</v>
      </c>
      <c r="AN70" s="112">
        <f t="shared" si="11"/>
        <v>13860.24</v>
      </c>
      <c r="AO70" s="112">
        <f t="shared" si="11"/>
        <v>13755.9</v>
      </c>
      <c r="AP70" s="112">
        <f t="shared" si="11"/>
        <v>13653.95</v>
      </c>
      <c r="AQ70" s="112">
        <f t="shared" si="11"/>
        <v>13521.96</v>
      </c>
      <c r="AR70" s="112">
        <f t="shared" si="11"/>
        <v>13373.27</v>
      </c>
      <c r="AS70" s="112">
        <f t="shared" si="11"/>
        <v>13188.01</v>
      </c>
      <c r="AT70" s="112">
        <f t="shared" si="11"/>
        <v>12971.7</v>
      </c>
      <c r="AU70" s="112">
        <f t="shared" si="11"/>
        <v>12718.55</v>
      </c>
      <c r="AV70" s="112">
        <f t="shared" si="11"/>
        <v>12427.62</v>
      </c>
      <c r="AW70" s="112">
        <f t="shared" si="11"/>
        <v>12104.99</v>
      </c>
      <c r="AX70" s="112">
        <f t="shared" si="11"/>
        <v>11750.12</v>
      </c>
      <c r="AY70" s="112">
        <f t="shared" si="11"/>
        <v>11361.88</v>
      </c>
      <c r="AZ70" s="112">
        <f t="shared" si="11"/>
        <v>10945.76</v>
      </c>
      <c r="BA70" s="112">
        <f t="shared" si="11"/>
        <v>10497.1</v>
      </c>
      <c r="BB70" s="112">
        <f t="shared" si="11"/>
        <v>10048.280000000001</v>
      </c>
      <c r="BC70" s="112">
        <f t="shared" si="11"/>
        <v>9609.3799999999992</v>
      </c>
      <c r="BD70" s="112">
        <f t="shared" si="11"/>
        <v>9185.58</v>
      </c>
      <c r="BE70" s="112">
        <f t="shared" si="11"/>
        <v>8786.2800000000007</v>
      </c>
      <c r="BF70" s="112">
        <f t="shared" si="11"/>
        <v>8407.18</v>
      </c>
      <c r="BG70" s="112">
        <f t="shared" si="11"/>
        <v>8045.12</v>
      </c>
      <c r="BH70" s="112">
        <f t="shared" si="11"/>
        <v>7700.09</v>
      </c>
      <c r="BI70" s="112">
        <f t="shared" si="11"/>
        <v>7374.55</v>
      </c>
      <c r="BJ70" s="112">
        <f t="shared" si="11"/>
        <v>7063.76</v>
      </c>
      <c r="BK70" s="112">
        <f t="shared" si="11"/>
        <v>6773.15</v>
      </c>
    </row>
    <row r="71" spans="1:63" hidden="1">
      <c r="A71" s="119"/>
      <c r="B71" s="119"/>
      <c r="C71" s="112">
        <f t="shared" ref="C71:R72" si="12">ROUND(C19,2)</f>
        <v>88.78</v>
      </c>
      <c r="D71" s="112">
        <f t="shared" si="12"/>
        <v>85.86</v>
      </c>
      <c r="E71" s="112">
        <f t="shared" si="12"/>
        <v>84.01</v>
      </c>
      <c r="F71" s="112">
        <f t="shared" si="12"/>
        <v>81.650000000000006</v>
      </c>
      <c r="G71" s="112">
        <f t="shared" si="12"/>
        <v>80.34</v>
      </c>
      <c r="H71" s="112">
        <f t="shared" si="12"/>
        <v>79.099999999999994</v>
      </c>
      <c r="I71" s="112">
        <f t="shared" si="12"/>
        <v>75.459999999999994</v>
      </c>
      <c r="J71" s="112">
        <f t="shared" si="12"/>
        <v>73.39</v>
      </c>
      <c r="K71" s="112">
        <f t="shared" si="12"/>
        <v>70.33</v>
      </c>
      <c r="L71" s="112">
        <f t="shared" si="12"/>
        <v>67.44</v>
      </c>
      <c r="M71" s="112">
        <f t="shared" si="12"/>
        <v>63.93</v>
      </c>
      <c r="N71" s="112">
        <f t="shared" si="12"/>
        <v>60.95</v>
      </c>
      <c r="O71" s="112">
        <f t="shared" si="12"/>
        <v>59.37</v>
      </c>
      <c r="P71" s="112">
        <f t="shared" si="12"/>
        <v>57.25</v>
      </c>
      <c r="Q71" s="112">
        <f t="shared" si="12"/>
        <v>54.75</v>
      </c>
      <c r="R71" s="112">
        <f t="shared" si="12"/>
        <v>51.62</v>
      </c>
      <c r="S71" s="112">
        <f t="shared" si="11"/>
        <v>48</v>
      </c>
      <c r="T71" s="112">
        <f t="shared" si="11"/>
        <v>45.79</v>
      </c>
      <c r="U71" s="112">
        <f t="shared" si="11"/>
        <v>42.48</v>
      </c>
      <c r="V71" s="112">
        <f t="shared" si="11"/>
        <v>40.43</v>
      </c>
      <c r="W71" s="112">
        <f t="shared" si="11"/>
        <v>38.47</v>
      </c>
      <c r="X71" s="112">
        <f t="shared" si="11"/>
        <v>36.03</v>
      </c>
      <c r="Y71" s="112">
        <f t="shared" si="11"/>
        <v>34.15</v>
      </c>
      <c r="Z71" s="112">
        <f t="shared" si="11"/>
        <v>33.340000000000003</v>
      </c>
      <c r="AA71" s="112">
        <f t="shared" si="11"/>
        <v>32.18</v>
      </c>
      <c r="AB71" s="112">
        <f t="shared" si="11"/>
        <v>31.04</v>
      </c>
      <c r="AC71" s="112">
        <f t="shared" si="11"/>
        <v>29.95</v>
      </c>
      <c r="AD71" s="112">
        <f t="shared" si="11"/>
        <v>25.06</v>
      </c>
      <c r="AE71" s="112">
        <f t="shared" si="11"/>
        <v>23.3</v>
      </c>
      <c r="AF71" s="112">
        <f t="shared" si="11"/>
        <v>21.67</v>
      </c>
      <c r="AG71" s="112">
        <f t="shared" si="11"/>
        <v>19.14</v>
      </c>
      <c r="AH71" s="112">
        <f t="shared" si="11"/>
        <v>18.09</v>
      </c>
      <c r="AI71" s="112">
        <f t="shared" si="11"/>
        <v>18.149999999999999</v>
      </c>
      <c r="AJ71" s="112">
        <f t="shared" si="11"/>
        <v>18.45</v>
      </c>
      <c r="AK71" s="112">
        <f t="shared" si="11"/>
        <v>18.47</v>
      </c>
      <c r="AL71" s="112">
        <f t="shared" si="11"/>
        <v>18.440000000000001</v>
      </c>
      <c r="AM71" s="112">
        <f t="shared" si="11"/>
        <v>18.37</v>
      </c>
      <c r="AN71" s="112">
        <f t="shared" si="11"/>
        <v>18.260000000000002</v>
      </c>
      <c r="AO71" s="112">
        <f t="shared" si="11"/>
        <v>18.12</v>
      </c>
      <c r="AP71" s="112">
        <f t="shared" si="11"/>
        <v>17.989999999999998</v>
      </c>
      <c r="AQ71" s="112">
        <f t="shared" si="11"/>
        <v>17.809999999999999</v>
      </c>
      <c r="AR71" s="112">
        <f t="shared" si="11"/>
        <v>17.62</v>
      </c>
      <c r="AS71" s="112">
        <f t="shared" si="11"/>
        <v>17.37</v>
      </c>
      <c r="AT71" s="112">
        <f t="shared" si="11"/>
        <v>17.09</v>
      </c>
      <c r="AU71" s="112">
        <f t="shared" si="11"/>
        <v>16.760000000000002</v>
      </c>
      <c r="AV71" s="112">
        <f t="shared" si="11"/>
        <v>16.37</v>
      </c>
      <c r="AW71" s="112">
        <f t="shared" si="11"/>
        <v>15.95</v>
      </c>
      <c r="AX71" s="112">
        <f t="shared" si="11"/>
        <v>15.48</v>
      </c>
      <c r="AY71" s="112">
        <f t="shared" si="11"/>
        <v>14.97</v>
      </c>
      <c r="AZ71" s="112">
        <f t="shared" si="11"/>
        <v>14.42</v>
      </c>
      <c r="BA71" s="112">
        <f t="shared" si="11"/>
        <v>13.83</v>
      </c>
      <c r="BB71" s="112">
        <f t="shared" si="11"/>
        <v>13.24</v>
      </c>
      <c r="BC71" s="112">
        <f t="shared" si="11"/>
        <v>12.66</v>
      </c>
      <c r="BD71" s="112">
        <f t="shared" si="11"/>
        <v>12.1</v>
      </c>
      <c r="BE71" s="112">
        <f t="shared" si="11"/>
        <v>11.58</v>
      </c>
      <c r="BF71" s="112">
        <f t="shared" si="11"/>
        <v>11.08</v>
      </c>
      <c r="BG71" s="112">
        <f t="shared" si="11"/>
        <v>10.6</v>
      </c>
      <c r="BH71" s="112">
        <f t="shared" si="11"/>
        <v>10.14</v>
      </c>
      <c r="BI71" s="112">
        <f t="shared" si="11"/>
        <v>9.7200000000000006</v>
      </c>
      <c r="BJ71" s="112">
        <f t="shared" si="11"/>
        <v>9.31</v>
      </c>
      <c r="BK71" s="112">
        <f t="shared" si="11"/>
        <v>8.92</v>
      </c>
    </row>
    <row r="72" spans="1:63" hidden="1">
      <c r="A72" s="119"/>
      <c r="B72" s="119"/>
      <c r="C72" s="112">
        <f t="shared" si="12"/>
        <v>98.24</v>
      </c>
      <c r="D72" s="112">
        <f t="shared" si="11"/>
        <v>102.05</v>
      </c>
      <c r="E72" s="112">
        <f t="shared" si="11"/>
        <v>109.4</v>
      </c>
      <c r="F72" s="112">
        <f t="shared" si="11"/>
        <v>115.06</v>
      </c>
      <c r="G72" s="112">
        <f t="shared" si="11"/>
        <v>123.08</v>
      </c>
      <c r="H72" s="112">
        <f t="shared" si="11"/>
        <v>130.80000000000001</v>
      </c>
      <c r="I72" s="112">
        <f t="shared" si="11"/>
        <v>133.27000000000001</v>
      </c>
      <c r="J72" s="112">
        <f t="shared" si="11"/>
        <v>138.99</v>
      </c>
      <c r="K72" s="112">
        <f t="shared" si="11"/>
        <v>142.18</v>
      </c>
      <c r="L72" s="112">
        <f t="shared" si="11"/>
        <v>149.22</v>
      </c>
      <c r="M72" s="112">
        <f t="shared" si="11"/>
        <v>160.37</v>
      </c>
      <c r="N72" s="112">
        <f t="shared" si="11"/>
        <v>157.93</v>
      </c>
      <c r="O72" s="112">
        <f t="shared" si="11"/>
        <v>163.05000000000001</v>
      </c>
      <c r="P72" s="112">
        <f t="shared" si="11"/>
        <v>171.65</v>
      </c>
      <c r="Q72" s="112">
        <f t="shared" si="11"/>
        <v>178.74</v>
      </c>
      <c r="R72" s="112">
        <f t="shared" si="11"/>
        <v>177.36</v>
      </c>
      <c r="S72" s="112">
        <f t="shared" si="11"/>
        <v>173.25</v>
      </c>
      <c r="T72" s="112">
        <f t="shared" si="11"/>
        <v>169.71</v>
      </c>
      <c r="U72" s="112">
        <f t="shared" si="11"/>
        <v>162.28</v>
      </c>
      <c r="V72" s="112">
        <f t="shared" si="11"/>
        <v>158.41999999999999</v>
      </c>
      <c r="W72" s="112">
        <f t="shared" si="11"/>
        <v>150.83000000000001</v>
      </c>
      <c r="X72" s="112">
        <f t="shared" si="11"/>
        <v>145.03</v>
      </c>
      <c r="Y72" s="112">
        <f t="shared" si="11"/>
        <v>138.63</v>
      </c>
      <c r="Z72" s="112">
        <f t="shared" si="11"/>
        <v>135.52000000000001</v>
      </c>
      <c r="AA72" s="112">
        <f t="shared" si="11"/>
        <v>131.18</v>
      </c>
      <c r="AB72" s="112">
        <f t="shared" si="11"/>
        <v>127.49</v>
      </c>
      <c r="AC72" s="112">
        <f t="shared" si="11"/>
        <v>124.71</v>
      </c>
      <c r="AD72" s="112">
        <f t="shared" si="11"/>
        <v>109.4</v>
      </c>
      <c r="AE72" s="112">
        <f t="shared" si="11"/>
        <v>106.32</v>
      </c>
      <c r="AF72" s="112">
        <f t="shared" si="11"/>
        <v>104.98</v>
      </c>
      <c r="AG72" s="112">
        <f t="shared" si="11"/>
        <v>94.42</v>
      </c>
      <c r="AH72" s="112">
        <f t="shared" si="11"/>
        <v>94.68</v>
      </c>
      <c r="AI72" s="112">
        <f t="shared" si="11"/>
        <v>94.97</v>
      </c>
      <c r="AJ72" s="112">
        <f t="shared" si="11"/>
        <v>96.56</v>
      </c>
      <c r="AK72" s="112">
        <f t="shared" si="11"/>
        <v>96.65</v>
      </c>
      <c r="AL72" s="112">
        <f t="shared" si="11"/>
        <v>96.51</v>
      </c>
      <c r="AM72" s="112">
        <f t="shared" si="11"/>
        <v>96.11</v>
      </c>
      <c r="AN72" s="112">
        <f t="shared" si="11"/>
        <v>95.55</v>
      </c>
      <c r="AO72" s="112">
        <f t="shared" si="11"/>
        <v>94.84</v>
      </c>
      <c r="AP72" s="112">
        <f t="shared" si="11"/>
        <v>94.13</v>
      </c>
      <c r="AQ72" s="112">
        <f t="shared" si="11"/>
        <v>93.22</v>
      </c>
      <c r="AR72" s="112">
        <f t="shared" si="11"/>
        <v>92.2</v>
      </c>
      <c r="AS72" s="112">
        <f t="shared" si="11"/>
        <v>90.92</v>
      </c>
      <c r="AT72" s="112">
        <f t="shared" si="11"/>
        <v>89.43</v>
      </c>
      <c r="AU72" s="112">
        <f t="shared" si="11"/>
        <v>87.68</v>
      </c>
      <c r="AV72" s="112">
        <f t="shared" si="11"/>
        <v>85.68</v>
      </c>
      <c r="AW72" s="112">
        <f t="shared" si="11"/>
        <v>83.45</v>
      </c>
      <c r="AX72" s="112">
        <f t="shared" si="11"/>
        <v>81.010000000000005</v>
      </c>
      <c r="AY72" s="112">
        <f t="shared" si="11"/>
        <v>78.33</v>
      </c>
      <c r="AZ72" s="112">
        <f t="shared" si="11"/>
        <v>75.459999999999994</v>
      </c>
      <c r="BA72" s="112">
        <f t="shared" si="11"/>
        <v>72.37</v>
      </c>
      <c r="BB72" s="112">
        <f t="shared" si="11"/>
        <v>69.27</v>
      </c>
      <c r="BC72" s="112">
        <f t="shared" si="11"/>
        <v>66.25</v>
      </c>
      <c r="BD72" s="112">
        <f t="shared" si="11"/>
        <v>63.33</v>
      </c>
      <c r="BE72" s="112">
        <f t="shared" si="11"/>
        <v>60.57</v>
      </c>
      <c r="BF72" s="112">
        <f t="shared" si="11"/>
        <v>57.96</v>
      </c>
      <c r="BG72" s="112">
        <f t="shared" si="11"/>
        <v>55.46</v>
      </c>
      <c r="BH72" s="112">
        <f t="shared" si="11"/>
        <v>53.09</v>
      </c>
      <c r="BI72" s="112">
        <f t="shared" si="11"/>
        <v>50.84</v>
      </c>
      <c r="BJ72" s="112">
        <f t="shared" si="11"/>
        <v>48.7</v>
      </c>
      <c r="BK72" s="112">
        <f t="shared" si="11"/>
        <v>46.7</v>
      </c>
    </row>
    <row r="73" spans="1:63" hidden="1">
      <c r="A73" s="119"/>
      <c r="B73" s="119"/>
      <c r="O73" s="112"/>
      <c r="P73" s="112"/>
      <c r="Q73" s="112"/>
      <c r="R73" s="112"/>
      <c r="S73" s="112"/>
      <c r="T73" s="112"/>
      <c r="U73" s="112"/>
      <c r="V73" s="112"/>
      <c r="W73" s="112"/>
      <c r="X73" s="112"/>
      <c r="Y73" s="112"/>
      <c r="Z73" s="112"/>
      <c r="AA73" s="112"/>
      <c r="AB73" s="112"/>
      <c r="AC73" s="112"/>
      <c r="AD73" s="112"/>
      <c r="AE73" s="112"/>
      <c r="AF73" s="112"/>
      <c r="AG73" s="112"/>
      <c r="AH73" s="112"/>
      <c r="AI73" s="112"/>
      <c r="AJ73" s="112"/>
      <c r="AK73" s="112"/>
      <c r="AL73" s="112"/>
      <c r="AM73" s="112"/>
      <c r="AN73" s="112"/>
      <c r="AO73" s="112"/>
      <c r="AP73" s="112"/>
      <c r="AQ73" s="112"/>
      <c r="AR73" s="112"/>
      <c r="AS73" s="112"/>
      <c r="AT73" s="112"/>
      <c r="AU73" s="112"/>
      <c r="AV73" s="112"/>
      <c r="AW73" s="112"/>
      <c r="AX73" s="112"/>
      <c r="AY73" s="112"/>
      <c r="AZ73" s="112"/>
      <c r="BA73" s="112"/>
      <c r="BB73" s="112"/>
      <c r="BC73" s="112"/>
      <c r="BD73" s="112"/>
      <c r="BE73" s="112"/>
      <c r="BF73" s="112"/>
      <c r="BG73" s="112"/>
      <c r="BH73" s="112"/>
      <c r="BI73" s="112"/>
      <c r="BJ73" s="112"/>
      <c r="BK73" s="112"/>
    </row>
    <row r="74" spans="1:63" hidden="1">
      <c r="A74" s="119"/>
      <c r="B74" s="119"/>
    </row>
    <row r="75" spans="1:63" hidden="1">
      <c r="A75" s="119"/>
      <c r="B75" s="119"/>
      <c r="C75" s="112">
        <f>ROUND(C46,2)</f>
        <v>2519.96</v>
      </c>
      <c r="D75" s="112">
        <f t="shared" ref="D75:BK79" si="13">ROUND(D46,2)</f>
        <v>2659.49</v>
      </c>
      <c r="E75" s="112">
        <f t="shared" si="13"/>
        <v>2757.6</v>
      </c>
      <c r="F75" s="112">
        <f t="shared" si="13"/>
        <v>2847.57</v>
      </c>
      <c r="G75" s="112">
        <f t="shared" si="13"/>
        <v>2725.62</v>
      </c>
      <c r="H75" s="112">
        <f t="shared" si="13"/>
        <v>2813.83</v>
      </c>
      <c r="I75" s="112">
        <f t="shared" si="13"/>
        <v>2826.09</v>
      </c>
      <c r="J75" s="112">
        <f t="shared" si="13"/>
        <v>2732.19</v>
      </c>
      <c r="K75" s="112">
        <f t="shared" si="13"/>
        <v>2792.19</v>
      </c>
      <c r="L75" s="112">
        <f t="shared" si="13"/>
        <v>2944.29</v>
      </c>
      <c r="M75" s="112">
        <f t="shared" si="13"/>
        <v>2922.48</v>
      </c>
      <c r="N75" s="112">
        <f t="shared" si="13"/>
        <v>2986.9</v>
      </c>
      <c r="O75" s="112">
        <f t="shared" si="13"/>
        <v>2984.81</v>
      </c>
      <c r="P75" s="112">
        <f t="shared" si="13"/>
        <v>3152.96</v>
      </c>
      <c r="Q75" s="112">
        <f t="shared" si="13"/>
        <v>3131.49</v>
      </c>
      <c r="R75" s="112">
        <f t="shared" si="13"/>
        <v>3208.64</v>
      </c>
      <c r="S75" s="112">
        <f t="shared" si="13"/>
        <v>3180.88</v>
      </c>
      <c r="T75" s="112">
        <f t="shared" si="13"/>
        <v>3376.87</v>
      </c>
      <c r="U75" s="112">
        <f t="shared" si="13"/>
        <v>3158.99</v>
      </c>
      <c r="V75" s="112">
        <f t="shared" si="13"/>
        <v>3022.38</v>
      </c>
      <c r="W75" s="112">
        <f t="shared" si="13"/>
        <v>3319</v>
      </c>
      <c r="X75" s="112">
        <f t="shared" si="13"/>
        <v>3294.41</v>
      </c>
      <c r="Y75" s="112">
        <f t="shared" si="13"/>
        <v>3254.92</v>
      </c>
      <c r="Z75" s="112">
        <f t="shared" si="13"/>
        <v>3319.36</v>
      </c>
      <c r="AA75" s="112">
        <f t="shared" si="13"/>
        <v>3396.54</v>
      </c>
      <c r="AB75" s="112">
        <f t="shared" si="13"/>
        <v>3509.69</v>
      </c>
      <c r="AC75" s="112">
        <f t="shared" si="13"/>
        <v>3213.6</v>
      </c>
      <c r="AD75" s="112">
        <f t="shared" si="13"/>
        <v>3213.88</v>
      </c>
      <c r="AE75" s="112">
        <f t="shared" si="13"/>
        <v>3085.45</v>
      </c>
      <c r="AF75" s="112">
        <f t="shared" si="13"/>
        <v>3085.52</v>
      </c>
      <c r="AG75" s="112">
        <f t="shared" si="13"/>
        <v>2863.67</v>
      </c>
      <c r="AH75" s="112">
        <f t="shared" si="13"/>
        <v>2893.04</v>
      </c>
      <c r="AI75" s="112">
        <f t="shared" si="13"/>
        <v>2731.02</v>
      </c>
      <c r="AJ75" s="112">
        <f t="shared" si="13"/>
        <v>2729.75</v>
      </c>
      <c r="AK75" s="112">
        <f t="shared" si="13"/>
        <v>2728.47</v>
      </c>
      <c r="AL75" s="112">
        <f t="shared" si="13"/>
        <v>2186.0500000000002</v>
      </c>
      <c r="AM75" s="112">
        <f t="shared" si="13"/>
        <v>2184.9299999999998</v>
      </c>
      <c r="AN75" s="112">
        <f t="shared" si="13"/>
        <v>2183.79</v>
      </c>
      <c r="AO75" s="112">
        <f t="shared" si="13"/>
        <v>2182.64</v>
      </c>
      <c r="AP75" s="112">
        <f t="shared" si="13"/>
        <v>2181.48</v>
      </c>
      <c r="AQ75" s="112">
        <f t="shared" si="13"/>
        <v>2180.33</v>
      </c>
      <c r="AR75" s="112">
        <f t="shared" si="13"/>
        <v>2179.1799999999998</v>
      </c>
      <c r="AS75" s="112">
        <f t="shared" si="13"/>
        <v>2178.04</v>
      </c>
      <c r="AT75" s="112">
        <f t="shared" si="13"/>
        <v>2176.9</v>
      </c>
      <c r="AU75" s="112">
        <f t="shared" si="13"/>
        <v>2175.7800000000002</v>
      </c>
      <c r="AV75" s="112">
        <f t="shared" si="13"/>
        <v>2174.66</v>
      </c>
      <c r="AW75" s="112">
        <f t="shared" si="13"/>
        <v>2173.56</v>
      </c>
      <c r="AX75" s="112">
        <f t="shared" si="13"/>
        <v>2172.48</v>
      </c>
      <c r="AY75" s="112">
        <f t="shared" si="13"/>
        <v>2171.41</v>
      </c>
      <c r="AZ75" s="112">
        <f t="shared" si="13"/>
        <v>2170.35</v>
      </c>
      <c r="BA75" s="112">
        <f t="shared" si="13"/>
        <v>2169.31</v>
      </c>
      <c r="BB75" s="112">
        <f t="shared" si="13"/>
        <v>2168.29</v>
      </c>
      <c r="BC75" s="112">
        <f t="shared" si="13"/>
        <v>2167.2800000000002</v>
      </c>
      <c r="BD75" s="112">
        <f t="shared" si="13"/>
        <v>2166.2800000000002</v>
      </c>
      <c r="BE75" s="112">
        <f t="shared" si="13"/>
        <v>2165.29</v>
      </c>
      <c r="BF75" s="112">
        <f t="shared" si="13"/>
        <v>2164.31</v>
      </c>
      <c r="BG75" s="112">
        <f t="shared" si="13"/>
        <v>2163.33</v>
      </c>
      <c r="BH75" s="112">
        <f t="shared" si="13"/>
        <v>2162.36</v>
      </c>
      <c r="BI75" s="112">
        <f t="shared" si="13"/>
        <v>2161.38</v>
      </c>
      <c r="BJ75" s="112">
        <f t="shared" si="13"/>
        <v>2160.39</v>
      </c>
      <c r="BK75" s="112">
        <f t="shared" si="13"/>
        <v>2159.4</v>
      </c>
    </row>
    <row r="76" spans="1:63" hidden="1">
      <c r="A76" s="119"/>
      <c r="B76" s="119"/>
      <c r="C76" s="112">
        <f t="shared" ref="C76:R80" si="14">ROUND(C47,2)</f>
        <v>30.91</v>
      </c>
      <c r="D76" s="112">
        <f t="shared" si="14"/>
        <v>52.81</v>
      </c>
      <c r="E76" s="112">
        <f t="shared" si="14"/>
        <v>44.76</v>
      </c>
      <c r="F76" s="112">
        <f t="shared" si="14"/>
        <v>50.23</v>
      </c>
      <c r="G76" s="112">
        <f t="shared" si="14"/>
        <v>62.98</v>
      </c>
      <c r="H76" s="112">
        <f t="shared" si="14"/>
        <v>88.62</v>
      </c>
      <c r="I76" s="112">
        <f t="shared" si="14"/>
        <v>118.92</v>
      </c>
      <c r="J76" s="112">
        <f t="shared" si="14"/>
        <v>122.68</v>
      </c>
      <c r="K76" s="112">
        <f t="shared" si="14"/>
        <v>115.5</v>
      </c>
      <c r="L76" s="112">
        <f t="shared" si="14"/>
        <v>132.83000000000001</v>
      </c>
      <c r="M76" s="112">
        <f t="shared" si="14"/>
        <v>155.25</v>
      </c>
      <c r="N76" s="112">
        <f t="shared" si="14"/>
        <v>137.32</v>
      </c>
      <c r="O76" s="112">
        <f t="shared" si="14"/>
        <v>146.91999999999999</v>
      </c>
      <c r="P76" s="112">
        <f t="shared" si="14"/>
        <v>62.32</v>
      </c>
      <c r="Q76" s="112">
        <f t="shared" si="14"/>
        <v>70.05</v>
      </c>
      <c r="R76" s="112">
        <f t="shared" si="14"/>
        <v>22.1</v>
      </c>
      <c r="S76" s="112">
        <f t="shared" si="13"/>
        <v>26.03</v>
      </c>
      <c r="T76" s="112">
        <f t="shared" si="13"/>
        <v>27.99</v>
      </c>
      <c r="U76" s="112">
        <f t="shared" si="13"/>
        <v>36.729999999999997</v>
      </c>
      <c r="V76" s="112">
        <f t="shared" si="13"/>
        <v>52.96</v>
      </c>
      <c r="W76" s="112">
        <f t="shared" si="13"/>
        <v>53.37</v>
      </c>
      <c r="X76" s="112">
        <f t="shared" si="13"/>
        <v>53.65</v>
      </c>
      <c r="Y76" s="112">
        <f t="shared" si="13"/>
        <v>71.33</v>
      </c>
      <c r="Z76" s="112">
        <f t="shared" si="13"/>
        <v>91.45</v>
      </c>
      <c r="AA76" s="112">
        <f t="shared" si="13"/>
        <v>141.66</v>
      </c>
      <c r="AB76" s="112">
        <f t="shared" si="13"/>
        <v>119.51</v>
      </c>
      <c r="AC76" s="112">
        <f t="shared" si="13"/>
        <v>140.31</v>
      </c>
      <c r="AD76" s="112">
        <f t="shared" si="13"/>
        <v>125.46</v>
      </c>
      <c r="AE76" s="112">
        <f t="shared" si="13"/>
        <v>103.34</v>
      </c>
      <c r="AF76" s="112">
        <f t="shared" si="13"/>
        <v>120.1</v>
      </c>
      <c r="AG76" s="112">
        <f t="shared" si="13"/>
        <v>107.69</v>
      </c>
      <c r="AH76" s="112">
        <f t="shared" si="13"/>
        <v>86.94</v>
      </c>
      <c r="AI76" s="112">
        <f t="shared" si="13"/>
        <v>113.87</v>
      </c>
      <c r="AJ76" s="112">
        <f t="shared" si="13"/>
        <v>104.2</v>
      </c>
      <c r="AK76" s="112">
        <f t="shared" si="13"/>
        <v>104.2</v>
      </c>
      <c r="AL76" s="112">
        <f t="shared" si="13"/>
        <v>104.2</v>
      </c>
      <c r="AM76" s="112">
        <f t="shared" si="13"/>
        <v>104.2</v>
      </c>
      <c r="AN76" s="112">
        <f t="shared" si="13"/>
        <v>54.93</v>
      </c>
      <c r="AO76" s="112">
        <f t="shared" si="13"/>
        <v>54.93</v>
      </c>
      <c r="AP76" s="112">
        <f t="shared" si="13"/>
        <v>54.93</v>
      </c>
      <c r="AQ76" s="112">
        <f t="shared" si="13"/>
        <v>43.95</v>
      </c>
      <c r="AR76" s="112">
        <f t="shared" si="13"/>
        <v>32.96</v>
      </c>
      <c r="AS76" s="112">
        <f t="shared" si="13"/>
        <v>21.97</v>
      </c>
      <c r="AT76" s="112">
        <f t="shared" si="13"/>
        <v>10.99</v>
      </c>
      <c r="AU76" s="112">
        <f t="shared" si="13"/>
        <v>0</v>
      </c>
      <c r="AV76" s="112">
        <f t="shared" si="13"/>
        <v>0</v>
      </c>
      <c r="AW76" s="112">
        <f t="shared" si="13"/>
        <v>0</v>
      </c>
      <c r="AX76" s="112">
        <f t="shared" si="13"/>
        <v>0</v>
      </c>
      <c r="AY76" s="112">
        <f t="shared" si="13"/>
        <v>0</v>
      </c>
      <c r="AZ76" s="112">
        <f t="shared" si="13"/>
        <v>0</v>
      </c>
      <c r="BA76" s="112">
        <f t="shared" si="13"/>
        <v>0</v>
      </c>
      <c r="BB76" s="112">
        <f t="shared" si="13"/>
        <v>0</v>
      </c>
      <c r="BC76" s="112">
        <f t="shared" si="13"/>
        <v>0</v>
      </c>
      <c r="BD76" s="112">
        <f t="shared" si="13"/>
        <v>0</v>
      </c>
      <c r="BE76" s="112">
        <f t="shared" si="13"/>
        <v>0</v>
      </c>
      <c r="BF76" s="112">
        <f t="shared" si="13"/>
        <v>0</v>
      </c>
      <c r="BG76" s="112">
        <f t="shared" si="13"/>
        <v>0</v>
      </c>
      <c r="BH76" s="112">
        <f t="shared" si="13"/>
        <v>0</v>
      </c>
      <c r="BI76" s="112">
        <f t="shared" si="13"/>
        <v>0</v>
      </c>
      <c r="BJ76" s="112">
        <f t="shared" si="13"/>
        <v>0</v>
      </c>
      <c r="BK76" s="112">
        <f t="shared" si="13"/>
        <v>0</v>
      </c>
    </row>
    <row r="77" spans="1:63" hidden="1">
      <c r="A77" s="119"/>
      <c r="B77" s="119"/>
      <c r="C77" s="112">
        <f t="shared" si="14"/>
        <v>91.1</v>
      </c>
      <c r="D77" s="112">
        <f t="shared" si="13"/>
        <v>86.55</v>
      </c>
      <c r="E77" s="112">
        <f t="shared" si="13"/>
        <v>82.22</v>
      </c>
      <c r="F77" s="112">
        <f t="shared" si="13"/>
        <v>78.11</v>
      </c>
      <c r="G77" s="112">
        <f t="shared" si="13"/>
        <v>74.2</v>
      </c>
      <c r="H77" s="112">
        <f t="shared" si="13"/>
        <v>70.489999999999995</v>
      </c>
      <c r="I77" s="112">
        <f t="shared" si="13"/>
        <v>66.97</v>
      </c>
      <c r="J77" s="112">
        <f t="shared" si="13"/>
        <v>63.62</v>
      </c>
      <c r="K77" s="112">
        <f t="shared" si="13"/>
        <v>60.44</v>
      </c>
      <c r="L77" s="112">
        <f t="shared" si="13"/>
        <v>57.42</v>
      </c>
      <c r="M77" s="112">
        <f t="shared" si="13"/>
        <v>54.55</v>
      </c>
      <c r="N77" s="112">
        <f t="shared" si="13"/>
        <v>51.82</v>
      </c>
      <c r="O77" s="112">
        <f t="shared" si="13"/>
        <v>49.23</v>
      </c>
      <c r="P77" s="112">
        <f t="shared" si="13"/>
        <v>46.38</v>
      </c>
      <c r="Q77" s="112">
        <f t="shared" si="13"/>
        <v>43.06</v>
      </c>
      <c r="R77" s="112">
        <f t="shared" si="13"/>
        <v>39.619999999999997</v>
      </c>
      <c r="S77" s="112">
        <f t="shared" si="13"/>
        <v>36.17</v>
      </c>
      <c r="T77" s="112">
        <f t="shared" si="13"/>
        <v>39.18</v>
      </c>
      <c r="U77" s="112">
        <f t="shared" si="13"/>
        <v>46.83</v>
      </c>
      <c r="V77" s="112">
        <f t="shared" si="13"/>
        <v>47.18</v>
      </c>
      <c r="W77" s="112">
        <f t="shared" si="13"/>
        <v>47.5</v>
      </c>
      <c r="X77" s="112">
        <f t="shared" si="13"/>
        <v>47.41</v>
      </c>
      <c r="Y77" s="112">
        <f t="shared" si="13"/>
        <v>48.07</v>
      </c>
      <c r="Z77" s="112">
        <f t="shared" si="13"/>
        <v>51.73</v>
      </c>
      <c r="AA77" s="112">
        <f t="shared" si="13"/>
        <v>51.73</v>
      </c>
      <c r="AB77" s="112">
        <f t="shared" si="13"/>
        <v>53.29</v>
      </c>
      <c r="AC77" s="112">
        <f t="shared" si="13"/>
        <v>52.31</v>
      </c>
      <c r="AD77" s="112">
        <f t="shared" si="13"/>
        <v>54.74</v>
      </c>
      <c r="AE77" s="112">
        <f t="shared" si="13"/>
        <v>72.44</v>
      </c>
      <c r="AF77" s="112">
        <f t="shared" si="13"/>
        <v>73.290000000000006</v>
      </c>
      <c r="AG77" s="112">
        <f t="shared" si="13"/>
        <v>65.69</v>
      </c>
      <c r="AH77" s="112">
        <f t="shared" si="13"/>
        <v>79.63</v>
      </c>
      <c r="AI77" s="112">
        <f t="shared" si="13"/>
        <v>84.41</v>
      </c>
      <c r="AJ77" s="112">
        <f t="shared" si="13"/>
        <v>87.14</v>
      </c>
      <c r="AK77" s="112">
        <f t="shared" si="13"/>
        <v>89.82</v>
      </c>
      <c r="AL77" s="112">
        <f t="shared" si="13"/>
        <v>92.67</v>
      </c>
      <c r="AM77" s="112">
        <f t="shared" si="13"/>
        <v>95.68</v>
      </c>
      <c r="AN77" s="112">
        <f t="shared" si="13"/>
        <v>98.88</v>
      </c>
      <c r="AO77" s="112">
        <f t="shared" si="13"/>
        <v>102.27</v>
      </c>
      <c r="AP77" s="112">
        <f t="shared" si="13"/>
        <v>105.86</v>
      </c>
      <c r="AQ77" s="112">
        <f t="shared" si="13"/>
        <v>109.67</v>
      </c>
      <c r="AR77" s="112">
        <f t="shared" si="13"/>
        <v>113.7</v>
      </c>
      <c r="AS77" s="112">
        <f t="shared" si="13"/>
        <v>117.98</v>
      </c>
      <c r="AT77" s="112">
        <f t="shared" si="13"/>
        <v>122.52</v>
      </c>
      <c r="AU77" s="112">
        <f t="shared" si="13"/>
        <v>127.33</v>
      </c>
      <c r="AV77" s="112">
        <f t="shared" si="13"/>
        <v>132.41999999999999</v>
      </c>
      <c r="AW77" s="112">
        <f t="shared" si="13"/>
        <v>137.82</v>
      </c>
      <c r="AX77" s="112">
        <f t="shared" si="13"/>
        <v>143.55000000000001</v>
      </c>
      <c r="AY77" s="112">
        <f t="shared" si="13"/>
        <v>149.62</v>
      </c>
      <c r="AZ77" s="112">
        <f t="shared" si="13"/>
        <v>156.05000000000001</v>
      </c>
      <c r="BA77" s="112">
        <f t="shared" si="13"/>
        <v>162.87</v>
      </c>
      <c r="BB77" s="112">
        <f t="shared" si="13"/>
        <v>162.87</v>
      </c>
      <c r="BC77" s="112">
        <f t="shared" si="13"/>
        <v>162.87</v>
      </c>
      <c r="BD77" s="112">
        <f t="shared" si="13"/>
        <v>162.87</v>
      </c>
      <c r="BE77" s="112">
        <f t="shared" si="13"/>
        <v>162.87</v>
      </c>
      <c r="BF77" s="112">
        <f t="shared" si="13"/>
        <v>162.87</v>
      </c>
      <c r="BG77" s="112">
        <f t="shared" si="13"/>
        <v>162.87</v>
      </c>
      <c r="BH77" s="112">
        <f t="shared" si="13"/>
        <v>162.87</v>
      </c>
      <c r="BI77" s="112">
        <f t="shared" si="13"/>
        <v>162.87</v>
      </c>
      <c r="BJ77" s="112">
        <f t="shared" si="13"/>
        <v>162.87</v>
      </c>
      <c r="BK77" s="112">
        <f t="shared" si="13"/>
        <v>162.87</v>
      </c>
    </row>
    <row r="78" spans="1:63" hidden="1">
      <c r="A78" s="119"/>
      <c r="B78" s="119"/>
      <c r="C78" s="112">
        <f t="shared" si="14"/>
        <v>20.59</v>
      </c>
      <c r="D78" s="112">
        <f t="shared" si="13"/>
        <v>21.5</v>
      </c>
      <c r="E78" s="112">
        <f t="shared" si="13"/>
        <v>22.58</v>
      </c>
      <c r="F78" s="112">
        <f t="shared" si="13"/>
        <v>23.39</v>
      </c>
      <c r="G78" s="112">
        <f t="shared" si="13"/>
        <v>24.15</v>
      </c>
      <c r="H78" s="112">
        <f t="shared" si="13"/>
        <v>25.17</v>
      </c>
      <c r="I78" s="112">
        <f t="shared" si="13"/>
        <v>25.4</v>
      </c>
      <c r="J78" s="112">
        <f t="shared" si="13"/>
        <v>26.37</v>
      </c>
      <c r="K78" s="112">
        <f t="shared" si="13"/>
        <v>25.62</v>
      </c>
      <c r="L78" s="112">
        <f t="shared" si="13"/>
        <v>25.32</v>
      </c>
      <c r="M78" s="112">
        <f t="shared" si="13"/>
        <v>20.16</v>
      </c>
      <c r="N78" s="112">
        <f t="shared" si="13"/>
        <v>20.65</v>
      </c>
      <c r="O78" s="112">
        <f t="shared" si="13"/>
        <v>24.03</v>
      </c>
      <c r="P78" s="112">
        <f t="shared" si="13"/>
        <v>25.96</v>
      </c>
      <c r="Q78" s="112">
        <f t="shared" si="13"/>
        <v>29.8</v>
      </c>
      <c r="R78" s="112">
        <f t="shared" si="13"/>
        <v>26.19</v>
      </c>
      <c r="S78" s="112">
        <f t="shared" si="13"/>
        <v>21.69</v>
      </c>
      <c r="T78" s="112">
        <f t="shared" si="13"/>
        <v>20.48</v>
      </c>
      <c r="U78" s="112">
        <f t="shared" si="13"/>
        <v>19.940000000000001</v>
      </c>
      <c r="V78" s="112">
        <f t="shared" si="13"/>
        <v>23.23</v>
      </c>
      <c r="W78" s="112">
        <f t="shared" si="13"/>
        <v>23.54</v>
      </c>
      <c r="X78" s="112">
        <f t="shared" si="13"/>
        <v>19.52</v>
      </c>
      <c r="Y78" s="112">
        <f t="shared" si="13"/>
        <v>21.54</v>
      </c>
      <c r="Z78" s="112">
        <f t="shared" si="13"/>
        <v>18.739999999999998</v>
      </c>
      <c r="AA78" s="112">
        <f t="shared" si="13"/>
        <v>17.32</v>
      </c>
      <c r="AB78" s="112">
        <f t="shared" si="13"/>
        <v>16.97</v>
      </c>
      <c r="AC78" s="112">
        <f t="shared" si="13"/>
        <v>17.899999999999999</v>
      </c>
      <c r="AD78" s="112">
        <f t="shared" si="13"/>
        <v>15.24</v>
      </c>
      <c r="AE78" s="112">
        <f t="shared" si="13"/>
        <v>15.16</v>
      </c>
      <c r="AF78" s="112">
        <f t="shared" si="13"/>
        <v>16.47</v>
      </c>
      <c r="AG78" s="112">
        <f t="shared" si="13"/>
        <v>17.2</v>
      </c>
      <c r="AH78" s="112">
        <f t="shared" si="13"/>
        <v>16.21</v>
      </c>
      <c r="AI78" s="112">
        <f t="shared" si="13"/>
        <v>16.12</v>
      </c>
      <c r="AJ78" s="112">
        <f t="shared" si="13"/>
        <v>16.059999999999999</v>
      </c>
      <c r="AK78" s="112">
        <f t="shared" si="13"/>
        <v>16</v>
      </c>
      <c r="AL78" s="112">
        <f t="shared" si="13"/>
        <v>15.95</v>
      </c>
      <c r="AM78" s="112">
        <f t="shared" si="13"/>
        <v>15.9</v>
      </c>
      <c r="AN78" s="112">
        <f t="shared" si="13"/>
        <v>15.85</v>
      </c>
      <c r="AO78" s="112">
        <f t="shared" si="13"/>
        <v>15.81</v>
      </c>
      <c r="AP78" s="112">
        <f t="shared" si="13"/>
        <v>15.77</v>
      </c>
      <c r="AQ78" s="112">
        <f t="shared" si="13"/>
        <v>15.74</v>
      </c>
      <c r="AR78" s="112">
        <f t="shared" si="13"/>
        <v>15.72</v>
      </c>
      <c r="AS78" s="112">
        <f t="shared" si="13"/>
        <v>15.69</v>
      </c>
      <c r="AT78" s="112">
        <f t="shared" si="13"/>
        <v>15.67</v>
      </c>
      <c r="AU78" s="112">
        <f t="shared" si="13"/>
        <v>15.66</v>
      </c>
      <c r="AV78" s="112">
        <f t="shared" si="13"/>
        <v>15.65</v>
      </c>
      <c r="AW78" s="112">
        <f t="shared" si="13"/>
        <v>15.64</v>
      </c>
      <c r="AX78" s="112">
        <f t="shared" si="13"/>
        <v>15.64</v>
      </c>
      <c r="AY78" s="112">
        <f t="shared" si="13"/>
        <v>15.64</v>
      </c>
      <c r="AZ78" s="112">
        <f t="shared" si="13"/>
        <v>15.65</v>
      </c>
      <c r="BA78" s="112">
        <f t="shared" si="13"/>
        <v>15.66</v>
      </c>
      <c r="BB78" s="112">
        <f t="shared" si="13"/>
        <v>15.67</v>
      </c>
      <c r="BC78" s="112">
        <f t="shared" si="13"/>
        <v>15.69</v>
      </c>
      <c r="BD78" s="112">
        <f t="shared" si="13"/>
        <v>15.71</v>
      </c>
      <c r="BE78" s="112">
        <f t="shared" si="13"/>
        <v>15.73</v>
      </c>
      <c r="BF78" s="112">
        <f t="shared" si="13"/>
        <v>15.76</v>
      </c>
      <c r="BG78" s="112">
        <f t="shared" si="13"/>
        <v>15.79</v>
      </c>
      <c r="BH78" s="112">
        <f t="shared" si="13"/>
        <v>15.83</v>
      </c>
      <c r="BI78" s="112">
        <f t="shared" si="13"/>
        <v>15.87</v>
      </c>
      <c r="BJ78" s="112">
        <f t="shared" si="13"/>
        <v>15.91</v>
      </c>
      <c r="BK78" s="112">
        <f t="shared" si="13"/>
        <v>15.96</v>
      </c>
    </row>
    <row r="79" spans="1:63" hidden="1">
      <c r="A79" s="119"/>
      <c r="B79" s="119"/>
      <c r="C79" s="112">
        <f t="shared" si="14"/>
        <v>0</v>
      </c>
      <c r="D79" s="112">
        <f t="shared" si="13"/>
        <v>0</v>
      </c>
      <c r="E79" s="112">
        <f t="shared" si="13"/>
        <v>0.26</v>
      </c>
      <c r="F79" s="112">
        <f t="shared" si="13"/>
        <v>0.42</v>
      </c>
      <c r="G79" s="112">
        <f t="shared" si="13"/>
        <v>11.82</v>
      </c>
      <c r="H79" s="112">
        <f t="shared" si="13"/>
        <v>29.54</v>
      </c>
      <c r="I79" s="112">
        <f t="shared" si="13"/>
        <v>66.790000000000006</v>
      </c>
      <c r="J79" s="112">
        <f t="shared" si="13"/>
        <v>113.35</v>
      </c>
      <c r="K79" s="112">
        <f t="shared" si="13"/>
        <v>140.26</v>
      </c>
      <c r="L79" s="112">
        <f t="shared" si="13"/>
        <v>185.46</v>
      </c>
      <c r="M79" s="112">
        <f t="shared" si="13"/>
        <v>230.54</v>
      </c>
      <c r="N79" s="112">
        <f t="shared" si="13"/>
        <v>311.83999999999997</v>
      </c>
      <c r="O79" s="112">
        <f t="shared" si="13"/>
        <v>365.87</v>
      </c>
      <c r="P79" s="112">
        <f t="shared" si="13"/>
        <v>435.77</v>
      </c>
      <c r="Q79" s="112">
        <f t="shared" si="13"/>
        <v>531.85</v>
      </c>
      <c r="R79" s="112">
        <f t="shared" si="13"/>
        <v>648.79999999999995</v>
      </c>
      <c r="S79" s="112">
        <f t="shared" si="13"/>
        <v>736.88</v>
      </c>
      <c r="T79" s="112">
        <f t="shared" si="13"/>
        <v>822.16</v>
      </c>
      <c r="U79" s="112">
        <f t="shared" si="13"/>
        <v>910.1</v>
      </c>
      <c r="V79" s="112">
        <f t="shared" si="13"/>
        <v>982.94</v>
      </c>
      <c r="W79" s="112">
        <f t="shared" si="13"/>
        <v>1029.7</v>
      </c>
      <c r="X79" s="112">
        <f t="shared" si="13"/>
        <v>1096.48</v>
      </c>
      <c r="Y79" s="112">
        <f t="shared" si="13"/>
        <v>1131.97</v>
      </c>
      <c r="Z79" s="112">
        <f t="shared" si="13"/>
        <v>1144.23</v>
      </c>
      <c r="AA79" s="112">
        <f t="shared" si="13"/>
        <v>1197.55</v>
      </c>
      <c r="AB79" s="112">
        <f t="shared" si="13"/>
        <v>1222.23</v>
      </c>
      <c r="AC79" s="112">
        <f t="shared" si="13"/>
        <v>1238.6600000000001</v>
      </c>
      <c r="AD79" s="112">
        <f t="shared" si="13"/>
        <v>1263.75</v>
      </c>
      <c r="AE79" s="112">
        <f t="shared" si="13"/>
        <v>1296.97</v>
      </c>
      <c r="AF79" s="112">
        <f t="shared" si="13"/>
        <v>1315.07</v>
      </c>
      <c r="AG79" s="112">
        <f t="shared" si="13"/>
        <v>1361.91</v>
      </c>
      <c r="AH79" s="112">
        <f t="shared" ref="AH79:BK79" si="15">ROUND(AH50,2)</f>
        <v>1393.21</v>
      </c>
      <c r="AI79" s="112">
        <f t="shared" si="15"/>
        <v>1444.25</v>
      </c>
      <c r="AJ79" s="112">
        <f t="shared" si="15"/>
        <v>1306.6300000000001</v>
      </c>
      <c r="AK79" s="112">
        <f t="shared" si="15"/>
        <v>1269.22</v>
      </c>
      <c r="AL79" s="112">
        <f t="shared" si="15"/>
        <v>1227.9000000000001</v>
      </c>
      <c r="AM79" s="112">
        <f t="shared" si="15"/>
        <v>1200.07</v>
      </c>
      <c r="AN79" s="112">
        <f t="shared" si="15"/>
        <v>1184.28</v>
      </c>
      <c r="AO79" s="112">
        <f t="shared" si="15"/>
        <v>1145.42</v>
      </c>
      <c r="AP79" s="112">
        <f t="shared" si="15"/>
        <v>1124.77</v>
      </c>
      <c r="AQ79" s="112">
        <f t="shared" si="15"/>
        <v>1094.67</v>
      </c>
      <c r="AR79" s="112">
        <f t="shared" si="15"/>
        <v>1048.3599999999999</v>
      </c>
      <c r="AS79" s="112">
        <f t="shared" si="15"/>
        <v>1017.94</v>
      </c>
      <c r="AT79" s="112">
        <f t="shared" si="15"/>
        <v>970.81</v>
      </c>
      <c r="AU79" s="112">
        <f t="shared" si="15"/>
        <v>925.49</v>
      </c>
      <c r="AV79" s="112">
        <f t="shared" si="15"/>
        <v>870.99</v>
      </c>
      <c r="AW79" s="112">
        <f t="shared" si="15"/>
        <v>842.9</v>
      </c>
      <c r="AX79" s="112">
        <f t="shared" si="15"/>
        <v>818.09</v>
      </c>
      <c r="AY79" s="112">
        <f t="shared" si="15"/>
        <v>787.85</v>
      </c>
      <c r="AZ79" s="112">
        <f t="shared" si="15"/>
        <v>770.72</v>
      </c>
      <c r="BA79" s="112">
        <f t="shared" si="15"/>
        <v>732.8</v>
      </c>
      <c r="BB79" s="112">
        <f t="shared" si="15"/>
        <v>700.19</v>
      </c>
      <c r="BC79" s="112">
        <f t="shared" si="15"/>
        <v>670.36</v>
      </c>
      <c r="BD79" s="112">
        <f t="shared" si="15"/>
        <v>653.79</v>
      </c>
      <c r="BE79" s="112">
        <f t="shared" si="15"/>
        <v>629.55999999999995</v>
      </c>
      <c r="BF79" s="112">
        <f t="shared" si="15"/>
        <v>608.89</v>
      </c>
      <c r="BG79" s="112">
        <f t="shared" si="15"/>
        <v>584.67999999999995</v>
      </c>
      <c r="BH79" s="112">
        <f t="shared" si="15"/>
        <v>563.01</v>
      </c>
      <c r="BI79" s="112">
        <f t="shared" si="15"/>
        <v>543.03</v>
      </c>
      <c r="BJ79" s="112">
        <f t="shared" si="15"/>
        <v>525.02</v>
      </c>
      <c r="BK79" s="112">
        <f t="shared" si="15"/>
        <v>509.32</v>
      </c>
    </row>
    <row r="80" spans="1:63" hidden="1">
      <c r="A80" s="119"/>
      <c r="B80" s="119"/>
      <c r="C80" s="112">
        <f t="shared" si="14"/>
        <v>818.01</v>
      </c>
      <c r="D80" s="112">
        <f t="shared" si="14"/>
        <v>812.47</v>
      </c>
      <c r="E80" s="112">
        <f t="shared" si="14"/>
        <v>415.35</v>
      </c>
      <c r="F80" s="112">
        <f t="shared" si="14"/>
        <v>188.99</v>
      </c>
      <c r="G80" s="112">
        <f t="shared" si="14"/>
        <v>167.42</v>
      </c>
      <c r="H80" s="112">
        <f t="shared" si="14"/>
        <v>138.6</v>
      </c>
      <c r="I80" s="112">
        <f t="shared" si="14"/>
        <v>227</v>
      </c>
      <c r="J80" s="112">
        <f t="shared" si="14"/>
        <v>195.36</v>
      </c>
      <c r="K80" s="112">
        <f t="shared" si="14"/>
        <v>110.58</v>
      </c>
      <c r="L80" s="112">
        <f t="shared" si="14"/>
        <v>85.48</v>
      </c>
      <c r="M80" s="112">
        <f t="shared" si="14"/>
        <v>84.53</v>
      </c>
      <c r="N80" s="112">
        <f t="shared" si="14"/>
        <v>63.5</v>
      </c>
      <c r="O80" s="112">
        <f t="shared" si="14"/>
        <v>77.02</v>
      </c>
      <c r="P80" s="112">
        <f t="shared" si="14"/>
        <v>115.77</v>
      </c>
      <c r="Q80" s="112">
        <f t="shared" si="14"/>
        <v>90.07</v>
      </c>
      <c r="R80" s="112">
        <f t="shared" si="14"/>
        <v>62.39</v>
      </c>
      <c r="S80" s="112">
        <f t="shared" ref="S80:BK80" si="16">ROUND(S51,2)</f>
        <v>97.09</v>
      </c>
      <c r="T80" s="112">
        <f t="shared" si="16"/>
        <v>43.68</v>
      </c>
      <c r="U80" s="112">
        <f t="shared" si="16"/>
        <v>41.21</v>
      </c>
      <c r="V80" s="112">
        <f t="shared" si="16"/>
        <v>48.61</v>
      </c>
      <c r="W80" s="112">
        <f t="shared" si="16"/>
        <v>42.77</v>
      </c>
      <c r="X80" s="112">
        <f t="shared" si="16"/>
        <v>31.61</v>
      </c>
      <c r="Y80" s="112">
        <f t="shared" si="16"/>
        <v>42.68</v>
      </c>
      <c r="Z80" s="112">
        <f t="shared" si="16"/>
        <v>43.28</v>
      </c>
      <c r="AA80" s="112">
        <f t="shared" si="16"/>
        <v>66.02</v>
      </c>
      <c r="AB80" s="112">
        <f t="shared" si="16"/>
        <v>52.68</v>
      </c>
      <c r="AC80" s="112">
        <f t="shared" si="16"/>
        <v>43.79</v>
      </c>
      <c r="AD80" s="112">
        <f t="shared" si="16"/>
        <v>54.37</v>
      </c>
      <c r="AE80" s="112">
        <f t="shared" si="16"/>
        <v>65.099999999999994</v>
      </c>
      <c r="AF80" s="112">
        <f t="shared" si="16"/>
        <v>80.150000000000006</v>
      </c>
      <c r="AG80" s="112">
        <f t="shared" si="16"/>
        <v>79.06</v>
      </c>
      <c r="AH80" s="112">
        <f t="shared" si="16"/>
        <v>45.58</v>
      </c>
      <c r="AI80" s="112">
        <f t="shared" si="16"/>
        <v>58.89</v>
      </c>
      <c r="AJ80" s="112">
        <f t="shared" si="16"/>
        <v>58.89</v>
      </c>
      <c r="AK80" s="112">
        <f t="shared" si="16"/>
        <v>58.89</v>
      </c>
      <c r="AL80" s="112">
        <f t="shared" si="16"/>
        <v>0.01</v>
      </c>
      <c r="AM80" s="112">
        <f t="shared" si="16"/>
        <v>0.01</v>
      </c>
      <c r="AN80" s="112">
        <f t="shared" si="16"/>
        <v>0.01</v>
      </c>
      <c r="AO80" s="112">
        <f t="shared" si="16"/>
        <v>0.01</v>
      </c>
      <c r="AP80" s="112">
        <f t="shared" si="16"/>
        <v>0.01</v>
      </c>
      <c r="AQ80" s="112">
        <f t="shared" si="16"/>
        <v>0.01</v>
      </c>
      <c r="AR80" s="112">
        <f t="shared" si="16"/>
        <v>0.01</v>
      </c>
      <c r="AS80" s="112">
        <f t="shared" si="16"/>
        <v>0.01</v>
      </c>
      <c r="AT80" s="112">
        <f t="shared" si="16"/>
        <v>0.01</v>
      </c>
      <c r="AU80" s="112">
        <f t="shared" si="16"/>
        <v>0.01</v>
      </c>
      <c r="AV80" s="112">
        <f t="shared" si="16"/>
        <v>0.01</v>
      </c>
      <c r="AW80" s="112">
        <f t="shared" si="16"/>
        <v>0.01</v>
      </c>
      <c r="AX80" s="112">
        <f t="shared" si="16"/>
        <v>0.01</v>
      </c>
      <c r="AY80" s="112">
        <f t="shared" si="16"/>
        <v>0.01</v>
      </c>
      <c r="AZ80" s="112">
        <f t="shared" si="16"/>
        <v>0.01</v>
      </c>
      <c r="BA80" s="112">
        <f t="shared" si="16"/>
        <v>0.01</v>
      </c>
      <c r="BB80" s="112">
        <f t="shared" si="16"/>
        <v>0.01</v>
      </c>
      <c r="BC80" s="112">
        <f t="shared" si="16"/>
        <v>0.01</v>
      </c>
      <c r="BD80" s="112">
        <f t="shared" si="16"/>
        <v>0.01</v>
      </c>
      <c r="BE80" s="112">
        <f t="shared" si="16"/>
        <v>0.01</v>
      </c>
      <c r="BF80" s="112">
        <f t="shared" si="16"/>
        <v>0.01</v>
      </c>
      <c r="BG80" s="112">
        <f t="shared" si="16"/>
        <v>0.01</v>
      </c>
      <c r="BH80" s="112">
        <f t="shared" si="16"/>
        <v>0.01</v>
      </c>
      <c r="BI80" s="112">
        <f t="shared" si="16"/>
        <v>0.01</v>
      </c>
      <c r="BJ80" s="112">
        <f t="shared" si="16"/>
        <v>0.01</v>
      </c>
      <c r="BK80" s="112">
        <f t="shared" si="16"/>
        <v>0.01</v>
      </c>
    </row>
    <row r="81" spans="1:63" ht="18">
      <c r="A81" s="119" t="s">
        <v>1048</v>
      </c>
      <c r="B81" s="119" t="s">
        <v>1033</v>
      </c>
      <c r="C81" s="164">
        <f>SUMIF($B$10:$B$51,$B81,C$10:C$51)-C39</f>
        <v>25496.02</v>
      </c>
      <c r="D81" s="164">
        <f t="shared" ref="D81:BK81" si="17">SUMIF($B$10:$B$51,$B81,D$10:D$51)-D39</f>
        <v>26143.51</v>
      </c>
      <c r="E81" s="164">
        <f t="shared" si="17"/>
        <v>28141.100000000002</v>
      </c>
      <c r="F81" s="164">
        <f t="shared" si="17"/>
        <v>27715.729999999996</v>
      </c>
      <c r="G81" s="164">
        <f t="shared" si="17"/>
        <v>27857</v>
      </c>
      <c r="H81" s="164">
        <f t="shared" si="17"/>
        <v>27990.160000000003</v>
      </c>
      <c r="I81" s="164">
        <f t="shared" si="17"/>
        <v>29250.1</v>
      </c>
      <c r="J81" s="164">
        <f t="shared" si="17"/>
        <v>31194.73</v>
      </c>
      <c r="K81" s="164">
        <f t="shared" si="17"/>
        <v>29767.379999999997</v>
      </c>
      <c r="L81" s="164">
        <f t="shared" si="17"/>
        <v>31379.910000000003</v>
      </c>
      <c r="M81" s="164">
        <f t="shared" si="17"/>
        <v>32166.799999999996</v>
      </c>
      <c r="N81" s="164">
        <f t="shared" si="17"/>
        <v>34279.390000000007</v>
      </c>
      <c r="O81" s="164">
        <f t="shared" si="17"/>
        <v>34440.160000000003</v>
      </c>
      <c r="P81" s="164">
        <f t="shared" si="17"/>
        <v>36095.449999999997</v>
      </c>
      <c r="Q81" s="164">
        <f t="shared" si="17"/>
        <v>35718</v>
      </c>
      <c r="R81" s="164">
        <f t="shared" si="17"/>
        <v>37286.46</v>
      </c>
      <c r="S81" s="164">
        <f t="shared" si="17"/>
        <v>37278.340000000004</v>
      </c>
      <c r="T81" s="164">
        <f t="shared" si="17"/>
        <v>36394.620000000003</v>
      </c>
      <c r="U81" s="164">
        <f t="shared" si="17"/>
        <v>37535.360000000001</v>
      </c>
      <c r="V81" s="164">
        <f t="shared" si="17"/>
        <v>34657.879999999997</v>
      </c>
      <c r="W81" s="164">
        <f t="shared" si="17"/>
        <v>34854.519999999997</v>
      </c>
      <c r="X81" s="164">
        <f t="shared" si="17"/>
        <v>34305.449999999997</v>
      </c>
      <c r="Y81" s="164">
        <f t="shared" si="17"/>
        <v>35986.879999999997</v>
      </c>
      <c r="Z81" s="164">
        <f t="shared" si="17"/>
        <v>35285.35</v>
      </c>
      <c r="AA81" s="164">
        <f t="shared" si="17"/>
        <v>35481.5</v>
      </c>
      <c r="AB81" s="164">
        <f t="shared" si="17"/>
        <v>35852.570000000007</v>
      </c>
      <c r="AC81" s="164">
        <f t="shared" si="17"/>
        <v>34182.89</v>
      </c>
      <c r="AD81" s="164">
        <f t="shared" si="17"/>
        <v>35719.54</v>
      </c>
      <c r="AE81" s="164">
        <f t="shared" si="17"/>
        <v>35736.839999999997</v>
      </c>
      <c r="AF81" s="164">
        <f t="shared" si="17"/>
        <v>36771.770000000004</v>
      </c>
      <c r="AG81" s="164">
        <f t="shared" si="17"/>
        <v>34062.499999999993</v>
      </c>
      <c r="AH81" s="165">
        <f t="shared" si="17"/>
        <v>34357.71</v>
      </c>
      <c r="AI81" s="166">
        <f t="shared" si="17"/>
        <v>31532.637674296147</v>
      </c>
      <c r="AJ81" s="164">
        <f t="shared" si="17"/>
        <v>32783.093404029882</v>
      </c>
      <c r="AK81" s="164">
        <f t="shared" si="17"/>
        <v>32002.991553328819</v>
      </c>
      <c r="AL81" s="164">
        <f t="shared" si="17"/>
        <v>28650.180213241074</v>
      </c>
      <c r="AM81" s="164">
        <f t="shared" si="17"/>
        <v>27829.937708702655</v>
      </c>
      <c r="AN81" s="164">
        <f t="shared" si="17"/>
        <v>26981.13256182351</v>
      </c>
      <c r="AO81" s="164">
        <f t="shared" si="17"/>
        <v>26516.503462106302</v>
      </c>
      <c r="AP81" s="164">
        <f t="shared" si="17"/>
        <v>25932.699242083829</v>
      </c>
      <c r="AQ81" s="164">
        <f t="shared" si="17"/>
        <v>25527.1488572335</v>
      </c>
      <c r="AR81" s="164">
        <f t="shared" si="17"/>
        <v>25289.781369298322</v>
      </c>
      <c r="AS81" s="164">
        <f t="shared" si="17"/>
        <v>24927.595932343716</v>
      </c>
      <c r="AT81" s="164">
        <f t="shared" si="17"/>
        <v>24694.241781028759</v>
      </c>
      <c r="AU81" s="164">
        <f t="shared" si="17"/>
        <v>24193.658220682802</v>
      </c>
      <c r="AV81" s="164">
        <f t="shared" si="17"/>
        <v>23766.214618863873</v>
      </c>
      <c r="AW81" s="164">
        <f t="shared" si="17"/>
        <v>23537.070398141077</v>
      </c>
      <c r="AX81" s="164">
        <f t="shared" si="17"/>
        <v>23130.45502989399</v>
      </c>
      <c r="AY81" s="164">
        <f t="shared" si="17"/>
        <v>21944.648028961805</v>
      </c>
      <c r="AZ81" s="164">
        <f t="shared" si="17"/>
        <v>21502.14894900615</v>
      </c>
      <c r="BA81" s="164">
        <f t="shared" si="17"/>
        <v>20962.567378476429</v>
      </c>
      <c r="BB81" s="164">
        <f t="shared" si="17"/>
        <v>19895.262937086009</v>
      </c>
      <c r="BC81" s="164">
        <f t="shared" si="17"/>
        <v>19423.075272723567</v>
      </c>
      <c r="BD81" s="164">
        <f t="shared" si="17"/>
        <v>18999.414058736744</v>
      </c>
      <c r="BE81" s="164">
        <f t="shared" si="17"/>
        <v>18595.178991535409</v>
      </c>
      <c r="BF81" s="164">
        <f t="shared" si="17"/>
        <v>18253.759788470488</v>
      </c>
      <c r="BG81" s="164">
        <f t="shared" si="17"/>
        <v>18052.04618595124</v>
      </c>
      <c r="BH81" s="164">
        <f t="shared" si="17"/>
        <v>17710.137937769421</v>
      </c>
      <c r="BI81" s="164">
        <f t="shared" si="17"/>
        <v>17312.284813603725</v>
      </c>
      <c r="BJ81" s="164">
        <f t="shared" si="17"/>
        <v>16925.226597681678</v>
      </c>
      <c r="BK81" s="164">
        <f t="shared" si="17"/>
        <v>16497.283087579501</v>
      </c>
    </row>
    <row r="82" spans="1:63" ht="18">
      <c r="A82" s="119" t="s">
        <v>1049</v>
      </c>
      <c r="B82" s="119" t="s">
        <v>1033</v>
      </c>
      <c r="C82" s="164">
        <f>SUMIF($B$10:$B$51,$B82,C$10:C$51)</f>
        <v>26346.27</v>
      </c>
      <c r="D82" s="164">
        <f t="shared" ref="D82:S87" si="18">SUMIF($B$10:$B$51,$B82,D$10:D$51)</f>
        <v>27001.879999999997</v>
      </c>
      <c r="E82" s="164">
        <f t="shared" si="18"/>
        <v>29258.530000000002</v>
      </c>
      <c r="F82" s="164">
        <f t="shared" si="18"/>
        <v>28906.849999999995</v>
      </c>
      <c r="G82" s="164">
        <f t="shared" si="18"/>
        <v>29185.49</v>
      </c>
      <c r="H82" s="164">
        <f t="shared" si="18"/>
        <v>28871.550000000003</v>
      </c>
      <c r="I82" s="164">
        <f t="shared" si="18"/>
        <v>29313.55</v>
      </c>
      <c r="J82" s="164">
        <f t="shared" si="18"/>
        <v>29875.09</v>
      </c>
      <c r="K82" s="164">
        <f t="shared" si="18"/>
        <v>26396.999999999996</v>
      </c>
      <c r="L82" s="164">
        <f t="shared" si="18"/>
        <v>25480.250000000004</v>
      </c>
      <c r="M82" s="164">
        <f t="shared" si="18"/>
        <v>26120.809999999994</v>
      </c>
      <c r="N82" s="164">
        <f t="shared" si="18"/>
        <v>25718.700000000004</v>
      </c>
      <c r="O82" s="164">
        <f t="shared" si="18"/>
        <v>23950.12</v>
      </c>
      <c r="P82" s="164">
        <f t="shared" si="18"/>
        <v>25864.239999999998</v>
      </c>
      <c r="Q82" s="164">
        <f t="shared" si="18"/>
        <v>27759.82</v>
      </c>
      <c r="R82" s="164">
        <f t="shared" si="18"/>
        <v>33244.78</v>
      </c>
      <c r="S82" s="164">
        <f t="shared" si="18"/>
        <v>35872.43</v>
      </c>
      <c r="T82" s="164">
        <f t="shared" ref="T82:AI87" si="19">SUMIF($B$10:$B$51,$B82,T$10:T$51)</f>
        <v>39381.08</v>
      </c>
      <c r="U82" s="164">
        <f t="shared" si="19"/>
        <v>23722.46</v>
      </c>
      <c r="V82" s="164">
        <f t="shared" si="19"/>
        <v>22875.69</v>
      </c>
      <c r="W82" s="164">
        <f t="shared" si="19"/>
        <v>23184.35</v>
      </c>
      <c r="X82" s="164">
        <f t="shared" si="19"/>
        <v>21526.409999999996</v>
      </c>
      <c r="Y82" s="164">
        <f t="shared" si="19"/>
        <v>24949.919999999998</v>
      </c>
      <c r="Z82" s="164">
        <f t="shared" si="19"/>
        <v>26560.61</v>
      </c>
      <c r="AA82" s="164">
        <f t="shared" si="19"/>
        <v>24248.75</v>
      </c>
      <c r="AB82" s="164">
        <f t="shared" si="19"/>
        <v>23967.710000000003</v>
      </c>
      <c r="AC82" s="164">
        <f t="shared" si="19"/>
        <v>22873.239999999998</v>
      </c>
      <c r="AD82" s="164">
        <f t="shared" si="19"/>
        <v>25560.83</v>
      </c>
      <c r="AE82" s="164">
        <f t="shared" si="19"/>
        <v>25612.75</v>
      </c>
      <c r="AF82" s="164">
        <f t="shared" si="19"/>
        <v>27569.13</v>
      </c>
      <c r="AG82" s="164">
        <f t="shared" si="19"/>
        <v>26357.079999999994</v>
      </c>
      <c r="AH82" s="165">
        <f t="shared" si="19"/>
        <v>27326.58</v>
      </c>
      <c r="AI82" s="166">
        <f t="shared" si="19"/>
        <v>25301.187674296147</v>
      </c>
      <c r="AJ82" s="164">
        <f t="shared" ref="AJ82:AY87" si="20">SUMIF($B$10:$B$51,$B82,AJ$10:AJ$51)</f>
        <v>27123.143404029885</v>
      </c>
      <c r="AK82" s="164">
        <f t="shared" si="20"/>
        <v>26503.311553328818</v>
      </c>
      <c r="AL82" s="164">
        <f t="shared" si="20"/>
        <v>22235.770213241074</v>
      </c>
      <c r="AM82" s="164">
        <f t="shared" si="20"/>
        <v>19960.907708702656</v>
      </c>
      <c r="AN82" s="164">
        <f t="shared" si="20"/>
        <v>17120.99256182351</v>
      </c>
      <c r="AO82" s="164">
        <f t="shared" si="20"/>
        <v>14247.243462106302</v>
      </c>
      <c r="AP82" s="164">
        <f t="shared" si="20"/>
        <v>11380.279242083829</v>
      </c>
      <c r="AQ82" s="164">
        <f t="shared" si="20"/>
        <v>9172.3888572334981</v>
      </c>
      <c r="AR82" s="164">
        <f t="shared" si="20"/>
        <v>8005.7413692983209</v>
      </c>
      <c r="AS82" s="164">
        <f t="shared" si="20"/>
        <v>7197.9559323437161</v>
      </c>
      <c r="AT82" s="164">
        <f t="shared" si="20"/>
        <v>6226.3917810287621</v>
      </c>
      <c r="AU82" s="164">
        <f t="shared" si="20"/>
        <v>5200.8982206828023</v>
      </c>
      <c r="AV82" s="164">
        <f t="shared" si="20"/>
        <v>3989.1546188638713</v>
      </c>
      <c r="AW82" s="164">
        <f t="shared" si="20"/>
        <v>2519.130398141077</v>
      </c>
      <c r="AX82" s="164">
        <f t="shared" si="20"/>
        <v>-154.96497010600751</v>
      </c>
      <c r="AY82" s="164">
        <f t="shared" si="20"/>
        <v>-2642.3519710381952</v>
      </c>
      <c r="AZ82" s="164">
        <f t="shared" ref="AZ82:BK87" si="21">SUMIF($B$10:$B$51,$B82,AZ$10:AZ$51)</f>
        <v>-4478.0010509938493</v>
      </c>
      <c r="BA82" s="164">
        <f t="shared" si="21"/>
        <v>-6329.6326215235731</v>
      </c>
      <c r="BB82" s="164">
        <f t="shared" si="21"/>
        <v>-8682.5070629139918</v>
      </c>
      <c r="BC82" s="164">
        <f t="shared" si="21"/>
        <v>-10078.404727276431</v>
      </c>
      <c r="BD82" s="164">
        <f t="shared" si="21"/>
        <v>-10884.585941263254</v>
      </c>
      <c r="BE82" s="164">
        <f t="shared" si="21"/>
        <v>-11331.251008464591</v>
      </c>
      <c r="BF82" s="164">
        <f t="shared" si="21"/>
        <v>-10995.790211529513</v>
      </c>
      <c r="BG82" s="164">
        <f t="shared" si="21"/>
        <v>-10410.77381404876</v>
      </c>
      <c r="BH82" s="164">
        <f t="shared" si="21"/>
        <v>-9966.1920622305806</v>
      </c>
      <c r="BI82" s="164">
        <f t="shared" si="21"/>
        <v>-10461.825186396276</v>
      </c>
      <c r="BJ82" s="164">
        <f t="shared" si="21"/>
        <v>-10952.663402318321</v>
      </c>
      <c r="BK82" s="164">
        <f t="shared" si="21"/>
        <v>-11522.386912420498</v>
      </c>
    </row>
    <row r="83" spans="1:63" ht="18">
      <c r="A83" s="119" t="s">
        <v>303</v>
      </c>
      <c r="B83" s="119" t="s">
        <v>1034</v>
      </c>
      <c r="C83" s="164">
        <f t="shared" ref="C83:C87" si="22">SUMIF($B$10:$B$51,$B83,C$10:C$51)</f>
        <v>36489.350000000006</v>
      </c>
      <c r="D83" s="164">
        <f t="shared" si="18"/>
        <v>36735.589999999997</v>
      </c>
      <c r="E83" s="164">
        <f t="shared" si="18"/>
        <v>36260.520000000004</v>
      </c>
      <c r="F83" s="164">
        <f t="shared" si="18"/>
        <v>36591.130000000005</v>
      </c>
      <c r="G83" s="164">
        <f t="shared" si="18"/>
        <v>37514.590000000004</v>
      </c>
      <c r="H83" s="164">
        <f t="shared" si="18"/>
        <v>37756.120000000003</v>
      </c>
      <c r="I83" s="164">
        <f t="shared" si="18"/>
        <v>38475.32</v>
      </c>
      <c r="J83" s="164">
        <f t="shared" si="18"/>
        <v>39331.840000000004</v>
      </c>
      <c r="K83" s="164">
        <f t="shared" si="18"/>
        <v>38614.39</v>
      </c>
      <c r="L83" s="164">
        <f t="shared" si="18"/>
        <v>38750.200000000004</v>
      </c>
      <c r="M83" s="164">
        <f t="shared" si="18"/>
        <v>39611.060000000005</v>
      </c>
      <c r="N83" s="164">
        <f t="shared" si="18"/>
        <v>40011.39</v>
      </c>
      <c r="O83" s="164">
        <f t="shared" si="18"/>
        <v>39589.599999999999</v>
      </c>
      <c r="P83" s="164">
        <f t="shared" si="18"/>
        <v>39681.82</v>
      </c>
      <c r="Q83" s="164">
        <f t="shared" si="18"/>
        <v>39747.760000000002</v>
      </c>
      <c r="R83" s="164">
        <f t="shared" si="18"/>
        <v>40145.19</v>
      </c>
      <c r="S83" s="164">
        <f t="shared" si="18"/>
        <v>40409.99</v>
      </c>
      <c r="T83" s="164">
        <f t="shared" si="19"/>
        <v>39243.4</v>
      </c>
      <c r="U83" s="164">
        <f t="shared" si="19"/>
        <v>37577.05000000001</v>
      </c>
      <c r="V83" s="164">
        <f t="shared" si="19"/>
        <v>37717.46</v>
      </c>
      <c r="W83" s="164">
        <f t="shared" si="19"/>
        <v>38063.870000000003</v>
      </c>
      <c r="X83" s="164">
        <f t="shared" si="19"/>
        <v>38208.199999999997</v>
      </c>
      <c r="Y83" s="164">
        <f t="shared" si="19"/>
        <v>38410.550000000003</v>
      </c>
      <c r="Z83" s="164">
        <f t="shared" si="19"/>
        <v>38407.89</v>
      </c>
      <c r="AA83" s="164">
        <f t="shared" si="19"/>
        <v>38689.250000000007</v>
      </c>
      <c r="AB83" s="164">
        <f t="shared" si="19"/>
        <v>38133.060000000005</v>
      </c>
      <c r="AC83" s="164">
        <f t="shared" si="19"/>
        <v>37583.480000000003</v>
      </c>
      <c r="AD83" s="164">
        <f t="shared" si="19"/>
        <v>37525.980000000003</v>
      </c>
      <c r="AE83" s="164">
        <f t="shared" si="19"/>
        <v>37607.22</v>
      </c>
      <c r="AF83" s="164">
        <f t="shared" si="19"/>
        <v>37582.49</v>
      </c>
      <c r="AG83" s="164">
        <f t="shared" si="19"/>
        <v>37411.193622000006</v>
      </c>
      <c r="AH83" s="165">
        <f t="shared" si="19"/>
        <v>36980.030471999999</v>
      </c>
      <c r="AI83" s="166">
        <f t="shared" si="19"/>
        <v>36545.460449128535</v>
      </c>
      <c r="AJ83" s="164">
        <f t="shared" si="20"/>
        <v>36059.239055802944</v>
      </c>
      <c r="AK83" s="164">
        <f t="shared" si="20"/>
        <v>35471.709995016994</v>
      </c>
      <c r="AL83" s="164">
        <f t="shared" si="20"/>
        <v>34974.652925726994</v>
      </c>
      <c r="AM83" s="164">
        <f t="shared" si="20"/>
        <v>34585.386258579194</v>
      </c>
      <c r="AN83" s="164">
        <f t="shared" si="20"/>
        <v>34216.028112586231</v>
      </c>
      <c r="AO83" s="164">
        <f t="shared" si="20"/>
        <v>33936.948380795126</v>
      </c>
      <c r="AP83" s="164">
        <f t="shared" si="20"/>
        <v>33717.085691231019</v>
      </c>
      <c r="AQ83" s="164">
        <f t="shared" si="20"/>
        <v>33503.822683137572</v>
      </c>
      <c r="AR83" s="164">
        <f t="shared" si="20"/>
        <v>33292.697501077964</v>
      </c>
      <c r="AS83" s="164">
        <f t="shared" si="20"/>
        <v>33091.940480539728</v>
      </c>
      <c r="AT83" s="164">
        <f t="shared" si="20"/>
        <v>32922.171626637602</v>
      </c>
      <c r="AU83" s="164">
        <f t="shared" si="20"/>
        <v>32827.049926743995</v>
      </c>
      <c r="AV83" s="164">
        <f t="shared" si="20"/>
        <v>32790.993703883534</v>
      </c>
      <c r="AW83" s="164">
        <f t="shared" si="20"/>
        <v>32757.629816791254</v>
      </c>
      <c r="AX83" s="164">
        <f t="shared" si="20"/>
        <v>32728.739885839754</v>
      </c>
      <c r="AY83" s="164">
        <f t="shared" si="20"/>
        <v>32707.112663037609</v>
      </c>
      <c r="AZ83" s="164">
        <f t="shared" si="21"/>
        <v>32685.307920122264</v>
      </c>
      <c r="BA83" s="164">
        <f t="shared" si="21"/>
        <v>32662.414406633561</v>
      </c>
      <c r="BB83" s="164">
        <f t="shared" si="21"/>
        <v>32630.338504848056</v>
      </c>
      <c r="BC83" s="164">
        <f t="shared" si="21"/>
        <v>32609.542666861071</v>
      </c>
      <c r="BD83" s="164">
        <f t="shared" si="21"/>
        <v>32588.372664748098</v>
      </c>
      <c r="BE83" s="164">
        <f t="shared" si="21"/>
        <v>32573.590270762616</v>
      </c>
      <c r="BF83" s="164">
        <f t="shared" si="21"/>
        <v>32561.540659671366</v>
      </c>
      <c r="BG83" s="164">
        <f t="shared" si="21"/>
        <v>32554.583406865546</v>
      </c>
      <c r="BH83" s="164">
        <f t="shared" si="21"/>
        <v>32536.127457168466</v>
      </c>
      <c r="BI83" s="164">
        <f t="shared" si="21"/>
        <v>32510.006134103052</v>
      </c>
      <c r="BJ83" s="164">
        <f t="shared" si="21"/>
        <v>32484.068817088722</v>
      </c>
      <c r="BK83" s="164">
        <f t="shared" si="21"/>
        <v>32458.625753460874</v>
      </c>
    </row>
    <row r="84" spans="1:63" ht="18">
      <c r="A84" s="119" t="s">
        <v>303</v>
      </c>
      <c r="B84" s="119" t="s">
        <v>1035</v>
      </c>
      <c r="C84" s="164">
        <f t="shared" si="22"/>
        <v>5074.8900000000003</v>
      </c>
      <c r="D84" s="164">
        <f t="shared" si="18"/>
        <v>5140.3899999999994</v>
      </c>
      <c r="E84" s="164">
        <f t="shared" si="18"/>
        <v>5164.47</v>
      </c>
      <c r="F84" s="164">
        <f t="shared" si="18"/>
        <v>5360.1600000000008</v>
      </c>
      <c r="G84" s="164">
        <f t="shared" si="18"/>
        <v>5549.5099999999993</v>
      </c>
      <c r="H84" s="164">
        <f t="shared" si="18"/>
        <v>5753.68</v>
      </c>
      <c r="I84" s="164">
        <f t="shared" si="18"/>
        <v>5823.09</v>
      </c>
      <c r="J84" s="164">
        <f t="shared" si="18"/>
        <v>5889.9</v>
      </c>
      <c r="K84" s="164">
        <f t="shared" si="18"/>
        <v>5832.6799999999994</v>
      </c>
      <c r="L84" s="164">
        <f t="shared" si="18"/>
        <v>5867.3799999999992</v>
      </c>
      <c r="M84" s="164">
        <f t="shared" si="18"/>
        <v>6119.26</v>
      </c>
      <c r="N84" s="164">
        <f t="shared" si="18"/>
        <v>6428.18</v>
      </c>
      <c r="O84" s="164">
        <f t="shared" si="18"/>
        <v>6488.9699999999993</v>
      </c>
      <c r="P84" s="164">
        <f t="shared" si="18"/>
        <v>6708.39</v>
      </c>
      <c r="Q84" s="164">
        <f t="shared" si="18"/>
        <v>6807.33</v>
      </c>
      <c r="R84" s="164">
        <f t="shared" si="18"/>
        <v>6854.1100000000006</v>
      </c>
      <c r="S84" s="164">
        <f t="shared" si="18"/>
        <v>6635.51</v>
      </c>
      <c r="T84" s="164">
        <f t="shared" si="19"/>
        <v>6487.67</v>
      </c>
      <c r="U84" s="164">
        <f t="shared" si="19"/>
        <v>6468.28</v>
      </c>
      <c r="V84" s="164">
        <f t="shared" si="19"/>
        <v>6449.58</v>
      </c>
      <c r="W84" s="164">
        <f t="shared" si="19"/>
        <v>6571.96</v>
      </c>
      <c r="X84" s="164">
        <f t="shared" si="19"/>
        <v>6695.59</v>
      </c>
      <c r="Y84" s="164">
        <f t="shared" si="19"/>
        <v>6757.1799999999994</v>
      </c>
      <c r="Z84" s="164">
        <f t="shared" si="19"/>
        <v>6785.6799999999994</v>
      </c>
      <c r="AA84" s="164">
        <f t="shared" si="19"/>
        <v>7018.8</v>
      </c>
      <c r="AB84" s="164">
        <f t="shared" si="19"/>
        <v>6953.96</v>
      </c>
      <c r="AC84" s="164">
        <f t="shared" si="19"/>
        <v>6979.6200000000008</v>
      </c>
      <c r="AD84" s="164">
        <f t="shared" si="19"/>
        <v>7029.76</v>
      </c>
      <c r="AE84" s="164">
        <f t="shared" si="19"/>
        <v>7140.8199999999988</v>
      </c>
      <c r="AF84" s="164">
        <f t="shared" si="19"/>
        <v>7160.96</v>
      </c>
      <c r="AG84" s="164">
        <f t="shared" si="19"/>
        <v>7237.2905013999989</v>
      </c>
      <c r="AH84" s="165">
        <f t="shared" si="19"/>
        <v>7058.5780911000002</v>
      </c>
      <c r="AI84" s="166">
        <f t="shared" si="19"/>
        <v>6939.8456115545023</v>
      </c>
      <c r="AJ84" s="164">
        <f t="shared" si="20"/>
        <v>6985.3234773243121</v>
      </c>
      <c r="AK84" s="164">
        <f t="shared" si="20"/>
        <v>6911.1839266485922</v>
      </c>
      <c r="AL84" s="164">
        <f t="shared" si="20"/>
        <v>6851.4635874926871</v>
      </c>
      <c r="AM84" s="164">
        <f t="shared" si="20"/>
        <v>6804.0577941939146</v>
      </c>
      <c r="AN84" s="164">
        <f t="shared" si="20"/>
        <v>6764.9758999704036</v>
      </c>
      <c r="AO84" s="164">
        <f t="shared" si="20"/>
        <v>6730.3605709887188</v>
      </c>
      <c r="AP84" s="164">
        <f t="shared" si="20"/>
        <v>6696.7342967961549</v>
      </c>
      <c r="AQ84" s="164">
        <f t="shared" si="20"/>
        <v>6662.8070623284102</v>
      </c>
      <c r="AR84" s="164">
        <f t="shared" si="20"/>
        <v>6633.6615491623688</v>
      </c>
      <c r="AS84" s="164">
        <f t="shared" si="20"/>
        <v>6604.0349326837377</v>
      </c>
      <c r="AT84" s="164">
        <f t="shared" si="20"/>
        <v>6576.31199720519</v>
      </c>
      <c r="AU84" s="164">
        <f t="shared" si="20"/>
        <v>6557.7109609285535</v>
      </c>
      <c r="AV84" s="164">
        <f t="shared" si="20"/>
        <v>6545.3188739803572</v>
      </c>
      <c r="AW84" s="164">
        <f t="shared" si="20"/>
        <v>6549.8960944281098</v>
      </c>
      <c r="AX84" s="164">
        <f t="shared" si="20"/>
        <v>6552.0760080848522</v>
      </c>
      <c r="AY84" s="164">
        <f t="shared" si="20"/>
        <v>6552.3140490003925</v>
      </c>
      <c r="AZ84" s="164">
        <f t="shared" si="21"/>
        <v>6554.2600031899829</v>
      </c>
      <c r="BA84" s="164">
        <f t="shared" si="21"/>
        <v>6556.3655446090643</v>
      </c>
      <c r="BB84" s="164">
        <f t="shared" si="21"/>
        <v>6549.3315611062881</v>
      </c>
      <c r="BC84" s="164">
        <f t="shared" si="21"/>
        <v>6543.5772609938085</v>
      </c>
      <c r="BD84" s="164">
        <f t="shared" si="21"/>
        <v>6538.0809596107956</v>
      </c>
      <c r="BE84" s="164">
        <f t="shared" si="21"/>
        <v>6534.0726478286006</v>
      </c>
      <c r="BF84" s="164">
        <f t="shared" si="21"/>
        <v>6530.6442280221181</v>
      </c>
      <c r="BG84" s="164">
        <f t="shared" si="21"/>
        <v>6527.1658492856777</v>
      </c>
      <c r="BH84" s="164">
        <f t="shared" si="21"/>
        <v>6522.7298461812143</v>
      </c>
      <c r="BI84" s="164">
        <f t="shared" si="21"/>
        <v>6516.8130623319976</v>
      </c>
      <c r="BJ84" s="164">
        <f t="shared" si="21"/>
        <v>6510.4828677432151</v>
      </c>
      <c r="BK84" s="164">
        <f t="shared" si="21"/>
        <v>6503.433716772488</v>
      </c>
    </row>
    <row r="85" spans="1:63" ht="18">
      <c r="A85" s="119" t="s">
        <v>303</v>
      </c>
      <c r="B85" s="119" t="s">
        <v>1041</v>
      </c>
      <c r="C85" s="164">
        <f t="shared" si="22"/>
        <v>20.59</v>
      </c>
      <c r="D85" s="164">
        <f t="shared" si="18"/>
        <v>21.5</v>
      </c>
      <c r="E85" s="164">
        <f t="shared" si="18"/>
        <v>22.58</v>
      </c>
      <c r="F85" s="164">
        <f t="shared" si="18"/>
        <v>23.39</v>
      </c>
      <c r="G85" s="164">
        <f t="shared" si="18"/>
        <v>24.15</v>
      </c>
      <c r="H85" s="164">
        <f t="shared" si="18"/>
        <v>25.17</v>
      </c>
      <c r="I85" s="164">
        <f t="shared" si="18"/>
        <v>25.4</v>
      </c>
      <c r="J85" s="164">
        <f t="shared" si="18"/>
        <v>26.37</v>
      </c>
      <c r="K85" s="164">
        <f t="shared" si="18"/>
        <v>25.62</v>
      </c>
      <c r="L85" s="164">
        <f t="shared" si="18"/>
        <v>25.32</v>
      </c>
      <c r="M85" s="164">
        <f t="shared" si="18"/>
        <v>20.16</v>
      </c>
      <c r="N85" s="164">
        <f t="shared" si="18"/>
        <v>20.65</v>
      </c>
      <c r="O85" s="164">
        <f t="shared" si="18"/>
        <v>24.03</v>
      </c>
      <c r="P85" s="164">
        <f t="shared" si="18"/>
        <v>25.96</v>
      </c>
      <c r="Q85" s="164">
        <f t="shared" si="18"/>
        <v>29.8</v>
      </c>
      <c r="R85" s="164">
        <f t="shared" si="18"/>
        <v>26.19</v>
      </c>
      <c r="S85" s="164">
        <f t="shared" si="18"/>
        <v>21.69</v>
      </c>
      <c r="T85" s="164">
        <f t="shared" si="19"/>
        <v>20.48</v>
      </c>
      <c r="U85" s="164">
        <f t="shared" si="19"/>
        <v>19.940000000000001</v>
      </c>
      <c r="V85" s="164">
        <f t="shared" si="19"/>
        <v>23.23</v>
      </c>
      <c r="W85" s="164">
        <f t="shared" si="19"/>
        <v>23.54</v>
      </c>
      <c r="X85" s="164">
        <f t="shared" si="19"/>
        <v>19.52</v>
      </c>
      <c r="Y85" s="164">
        <f t="shared" si="19"/>
        <v>21.54</v>
      </c>
      <c r="Z85" s="164">
        <f t="shared" si="19"/>
        <v>18.739999999999998</v>
      </c>
      <c r="AA85" s="164">
        <f t="shared" si="19"/>
        <v>17.32</v>
      </c>
      <c r="AB85" s="164">
        <f t="shared" si="19"/>
        <v>16.97</v>
      </c>
      <c r="AC85" s="164">
        <f t="shared" si="19"/>
        <v>17.899999999999999</v>
      </c>
      <c r="AD85" s="164">
        <f t="shared" si="19"/>
        <v>15.24</v>
      </c>
      <c r="AE85" s="164">
        <f t="shared" si="19"/>
        <v>15.16</v>
      </c>
      <c r="AF85" s="164">
        <f t="shared" si="19"/>
        <v>16.47</v>
      </c>
      <c r="AG85" s="164">
        <f t="shared" si="19"/>
        <v>17.2</v>
      </c>
      <c r="AH85" s="165">
        <f t="shared" si="19"/>
        <v>16.21</v>
      </c>
      <c r="AI85" s="166">
        <f t="shared" si="19"/>
        <v>16.12</v>
      </c>
      <c r="AJ85" s="164">
        <f t="shared" si="20"/>
        <v>16.059999999999999</v>
      </c>
      <c r="AK85" s="164">
        <f t="shared" si="20"/>
        <v>16</v>
      </c>
      <c r="AL85" s="164">
        <f t="shared" si="20"/>
        <v>15.95</v>
      </c>
      <c r="AM85" s="164">
        <f t="shared" si="20"/>
        <v>15.9</v>
      </c>
      <c r="AN85" s="164">
        <f t="shared" si="20"/>
        <v>15.85</v>
      </c>
      <c r="AO85" s="164">
        <f t="shared" si="20"/>
        <v>15.81</v>
      </c>
      <c r="AP85" s="164">
        <f t="shared" si="20"/>
        <v>15.77</v>
      </c>
      <c r="AQ85" s="164">
        <f t="shared" si="20"/>
        <v>15.74</v>
      </c>
      <c r="AR85" s="164">
        <f t="shared" si="20"/>
        <v>15.72</v>
      </c>
      <c r="AS85" s="164">
        <f t="shared" si="20"/>
        <v>15.69</v>
      </c>
      <c r="AT85" s="164">
        <f t="shared" si="20"/>
        <v>15.67</v>
      </c>
      <c r="AU85" s="164">
        <f t="shared" si="20"/>
        <v>15.66</v>
      </c>
      <c r="AV85" s="164">
        <f t="shared" si="20"/>
        <v>15.65</v>
      </c>
      <c r="AW85" s="164">
        <f t="shared" si="20"/>
        <v>15.64</v>
      </c>
      <c r="AX85" s="164">
        <f t="shared" si="20"/>
        <v>15.64</v>
      </c>
      <c r="AY85" s="164">
        <f t="shared" si="20"/>
        <v>15.64</v>
      </c>
      <c r="AZ85" s="164">
        <f t="shared" si="21"/>
        <v>15.65</v>
      </c>
      <c r="BA85" s="164">
        <f t="shared" si="21"/>
        <v>15.66</v>
      </c>
      <c r="BB85" s="164">
        <f t="shared" si="21"/>
        <v>15.67</v>
      </c>
      <c r="BC85" s="164">
        <f t="shared" si="21"/>
        <v>15.69</v>
      </c>
      <c r="BD85" s="164">
        <f t="shared" si="21"/>
        <v>15.71</v>
      </c>
      <c r="BE85" s="164">
        <f t="shared" si="21"/>
        <v>15.73</v>
      </c>
      <c r="BF85" s="164">
        <f t="shared" si="21"/>
        <v>15.76</v>
      </c>
      <c r="BG85" s="164">
        <f t="shared" si="21"/>
        <v>15.79</v>
      </c>
      <c r="BH85" s="164">
        <f t="shared" si="21"/>
        <v>15.83</v>
      </c>
      <c r="BI85" s="164">
        <f t="shared" si="21"/>
        <v>15.87</v>
      </c>
      <c r="BJ85" s="164">
        <f t="shared" si="21"/>
        <v>15.91</v>
      </c>
      <c r="BK85" s="164">
        <f t="shared" si="21"/>
        <v>15.96</v>
      </c>
    </row>
    <row r="86" spans="1:63">
      <c r="A86" s="119" t="s">
        <v>303</v>
      </c>
      <c r="B86" s="119" t="s">
        <v>120</v>
      </c>
      <c r="C86" s="164">
        <f t="shared" si="22"/>
        <v>0</v>
      </c>
      <c r="D86" s="164">
        <f t="shared" si="18"/>
        <v>0</v>
      </c>
      <c r="E86" s="164">
        <f t="shared" si="18"/>
        <v>0.26</v>
      </c>
      <c r="F86" s="164">
        <f t="shared" si="18"/>
        <v>0.42</v>
      </c>
      <c r="G86" s="164">
        <f t="shared" si="18"/>
        <v>11.82</v>
      </c>
      <c r="H86" s="164">
        <f t="shared" si="18"/>
        <v>29.54</v>
      </c>
      <c r="I86" s="164">
        <f t="shared" si="18"/>
        <v>66.790000000000006</v>
      </c>
      <c r="J86" s="164">
        <f t="shared" si="18"/>
        <v>113.35</v>
      </c>
      <c r="K86" s="164">
        <f t="shared" si="18"/>
        <v>140.26</v>
      </c>
      <c r="L86" s="164">
        <f t="shared" si="18"/>
        <v>185.46</v>
      </c>
      <c r="M86" s="164">
        <f t="shared" si="18"/>
        <v>230.54</v>
      </c>
      <c r="N86" s="164">
        <f t="shared" si="18"/>
        <v>311.83999999999997</v>
      </c>
      <c r="O86" s="164">
        <f t="shared" si="18"/>
        <v>365.87</v>
      </c>
      <c r="P86" s="164">
        <f t="shared" si="18"/>
        <v>435.77</v>
      </c>
      <c r="Q86" s="164">
        <f t="shared" si="18"/>
        <v>531.85</v>
      </c>
      <c r="R86" s="164">
        <f t="shared" si="18"/>
        <v>648.79999999999995</v>
      </c>
      <c r="S86" s="164">
        <f t="shared" si="18"/>
        <v>736.88</v>
      </c>
      <c r="T86" s="164">
        <f t="shared" si="19"/>
        <v>822.16</v>
      </c>
      <c r="U86" s="164">
        <f t="shared" si="19"/>
        <v>910.1</v>
      </c>
      <c r="V86" s="164">
        <f t="shared" si="19"/>
        <v>982.94</v>
      </c>
      <c r="W86" s="164">
        <f t="shared" si="19"/>
        <v>1029.7</v>
      </c>
      <c r="X86" s="164">
        <f t="shared" si="19"/>
        <v>1096.48</v>
      </c>
      <c r="Y86" s="164">
        <f t="shared" si="19"/>
        <v>1131.97</v>
      </c>
      <c r="Z86" s="164">
        <f t="shared" si="19"/>
        <v>1144.23</v>
      </c>
      <c r="AA86" s="164">
        <f t="shared" si="19"/>
        <v>1197.55</v>
      </c>
      <c r="AB86" s="164">
        <f t="shared" si="19"/>
        <v>1222.23</v>
      </c>
      <c r="AC86" s="164">
        <f t="shared" si="19"/>
        <v>1238.6600000000001</v>
      </c>
      <c r="AD86" s="164">
        <f t="shared" si="19"/>
        <v>1263.75</v>
      </c>
      <c r="AE86" s="164">
        <f t="shared" si="19"/>
        <v>1296.97</v>
      </c>
      <c r="AF86" s="164">
        <f t="shared" si="19"/>
        <v>1315.07</v>
      </c>
      <c r="AG86" s="164">
        <f t="shared" si="19"/>
        <v>1361.91</v>
      </c>
      <c r="AH86" s="165">
        <f t="shared" si="19"/>
        <v>1393.21</v>
      </c>
      <c r="AI86" s="166">
        <f t="shared" si="19"/>
        <v>1444.25</v>
      </c>
      <c r="AJ86" s="164">
        <f t="shared" si="20"/>
        <v>1306.6300000000001</v>
      </c>
      <c r="AK86" s="164">
        <f t="shared" si="20"/>
        <v>1269.22</v>
      </c>
      <c r="AL86" s="164">
        <f t="shared" si="20"/>
        <v>1227.9000000000001</v>
      </c>
      <c r="AM86" s="164">
        <f t="shared" si="20"/>
        <v>1200.07</v>
      </c>
      <c r="AN86" s="164">
        <f t="shared" si="20"/>
        <v>1184.28</v>
      </c>
      <c r="AO86" s="164">
        <f t="shared" si="20"/>
        <v>1145.42</v>
      </c>
      <c r="AP86" s="164">
        <f t="shared" si="20"/>
        <v>1124.77</v>
      </c>
      <c r="AQ86" s="164">
        <f t="shared" si="20"/>
        <v>1094.67</v>
      </c>
      <c r="AR86" s="164">
        <f t="shared" si="20"/>
        <v>1048.3599999999999</v>
      </c>
      <c r="AS86" s="164">
        <f t="shared" si="20"/>
        <v>1017.94</v>
      </c>
      <c r="AT86" s="164">
        <f t="shared" si="20"/>
        <v>970.81</v>
      </c>
      <c r="AU86" s="164">
        <f t="shared" si="20"/>
        <v>925.49</v>
      </c>
      <c r="AV86" s="164">
        <f t="shared" si="20"/>
        <v>870.99</v>
      </c>
      <c r="AW86" s="164">
        <f t="shared" si="20"/>
        <v>842.9</v>
      </c>
      <c r="AX86" s="164">
        <f t="shared" si="20"/>
        <v>818.09</v>
      </c>
      <c r="AY86" s="164">
        <f t="shared" si="20"/>
        <v>787.85</v>
      </c>
      <c r="AZ86" s="164">
        <f t="shared" si="21"/>
        <v>770.72</v>
      </c>
      <c r="BA86" s="164">
        <f t="shared" si="21"/>
        <v>732.8</v>
      </c>
      <c r="BB86" s="164">
        <f t="shared" si="21"/>
        <v>700.19</v>
      </c>
      <c r="BC86" s="164">
        <f t="shared" si="21"/>
        <v>670.36</v>
      </c>
      <c r="BD86" s="164">
        <f t="shared" si="21"/>
        <v>653.79</v>
      </c>
      <c r="BE86" s="164">
        <f t="shared" si="21"/>
        <v>629.55999999999995</v>
      </c>
      <c r="BF86" s="164">
        <f t="shared" si="21"/>
        <v>608.89</v>
      </c>
      <c r="BG86" s="164">
        <f t="shared" si="21"/>
        <v>584.67999999999995</v>
      </c>
      <c r="BH86" s="164">
        <f t="shared" si="21"/>
        <v>563.01</v>
      </c>
      <c r="BI86" s="164">
        <f t="shared" si="21"/>
        <v>543.03</v>
      </c>
      <c r="BJ86" s="164">
        <f t="shared" si="21"/>
        <v>525.02</v>
      </c>
      <c r="BK86" s="164">
        <f t="shared" si="21"/>
        <v>509.32</v>
      </c>
    </row>
    <row r="87" spans="1:63">
      <c r="A87" s="119" t="s">
        <v>303</v>
      </c>
      <c r="B87" s="119" t="s">
        <v>121</v>
      </c>
      <c r="C87" s="164">
        <f t="shared" si="22"/>
        <v>818.01</v>
      </c>
      <c r="D87" s="164">
        <f t="shared" si="18"/>
        <v>812.47</v>
      </c>
      <c r="E87" s="164">
        <f t="shared" si="18"/>
        <v>415.35</v>
      </c>
      <c r="F87" s="164">
        <f t="shared" si="18"/>
        <v>188.99</v>
      </c>
      <c r="G87" s="164">
        <f t="shared" si="18"/>
        <v>167.42</v>
      </c>
      <c r="H87" s="164">
        <f t="shared" si="18"/>
        <v>138.6</v>
      </c>
      <c r="I87" s="164">
        <f t="shared" si="18"/>
        <v>227</v>
      </c>
      <c r="J87" s="164">
        <f t="shared" si="18"/>
        <v>195.36</v>
      </c>
      <c r="K87" s="164">
        <f t="shared" si="18"/>
        <v>110.58</v>
      </c>
      <c r="L87" s="164">
        <f t="shared" si="18"/>
        <v>85.48</v>
      </c>
      <c r="M87" s="164">
        <f t="shared" si="18"/>
        <v>84.53</v>
      </c>
      <c r="N87" s="164">
        <f t="shared" si="18"/>
        <v>63.5</v>
      </c>
      <c r="O87" s="164">
        <f t="shared" si="18"/>
        <v>77.02</v>
      </c>
      <c r="P87" s="164">
        <f t="shared" si="18"/>
        <v>115.77</v>
      </c>
      <c r="Q87" s="164">
        <f t="shared" si="18"/>
        <v>90.07</v>
      </c>
      <c r="R87" s="164">
        <f t="shared" si="18"/>
        <v>62.39</v>
      </c>
      <c r="S87" s="164">
        <f t="shared" si="18"/>
        <v>97.09</v>
      </c>
      <c r="T87" s="164">
        <f t="shared" si="19"/>
        <v>43.68</v>
      </c>
      <c r="U87" s="164">
        <f t="shared" si="19"/>
        <v>41.21</v>
      </c>
      <c r="V87" s="164">
        <f t="shared" si="19"/>
        <v>48.61</v>
      </c>
      <c r="W87" s="164">
        <f t="shared" si="19"/>
        <v>42.77</v>
      </c>
      <c r="X87" s="164">
        <f t="shared" si="19"/>
        <v>31.61</v>
      </c>
      <c r="Y87" s="164">
        <f t="shared" si="19"/>
        <v>42.68</v>
      </c>
      <c r="Z87" s="164">
        <f t="shared" si="19"/>
        <v>43.28</v>
      </c>
      <c r="AA87" s="164">
        <f t="shared" si="19"/>
        <v>66.02</v>
      </c>
      <c r="AB87" s="164">
        <f t="shared" si="19"/>
        <v>52.68</v>
      </c>
      <c r="AC87" s="164">
        <f t="shared" si="19"/>
        <v>43.79</v>
      </c>
      <c r="AD87" s="164">
        <f t="shared" si="19"/>
        <v>54.37</v>
      </c>
      <c r="AE87" s="164">
        <f t="shared" si="19"/>
        <v>65.099999999999994</v>
      </c>
      <c r="AF87" s="164">
        <f t="shared" si="19"/>
        <v>80.150000000000006</v>
      </c>
      <c r="AG87" s="164">
        <f t="shared" si="19"/>
        <v>79.06</v>
      </c>
      <c r="AH87" s="165">
        <f t="shared" si="19"/>
        <v>45.58</v>
      </c>
      <c r="AI87" s="166">
        <f t="shared" si="19"/>
        <v>58.89</v>
      </c>
      <c r="AJ87" s="164">
        <f t="shared" si="20"/>
        <v>58.89</v>
      </c>
      <c r="AK87" s="164">
        <f t="shared" si="20"/>
        <v>58.89</v>
      </c>
      <c r="AL87" s="164">
        <f t="shared" si="20"/>
        <v>0.01</v>
      </c>
      <c r="AM87" s="164">
        <f t="shared" si="20"/>
        <v>0.01</v>
      </c>
      <c r="AN87" s="164">
        <f t="shared" si="20"/>
        <v>0.01</v>
      </c>
      <c r="AO87" s="164">
        <f t="shared" si="20"/>
        <v>0.01</v>
      </c>
      <c r="AP87" s="164">
        <f t="shared" si="20"/>
        <v>0.01</v>
      </c>
      <c r="AQ87" s="164">
        <f t="shared" si="20"/>
        <v>0.01</v>
      </c>
      <c r="AR87" s="164">
        <f t="shared" si="20"/>
        <v>0.01</v>
      </c>
      <c r="AS87" s="164">
        <f t="shared" si="20"/>
        <v>0.01</v>
      </c>
      <c r="AT87" s="164">
        <f t="shared" si="20"/>
        <v>0.01</v>
      </c>
      <c r="AU87" s="164">
        <f t="shared" si="20"/>
        <v>0.01</v>
      </c>
      <c r="AV87" s="164">
        <f t="shared" si="20"/>
        <v>0.01</v>
      </c>
      <c r="AW87" s="164">
        <f t="shared" si="20"/>
        <v>0.01</v>
      </c>
      <c r="AX87" s="164">
        <f t="shared" si="20"/>
        <v>0.01</v>
      </c>
      <c r="AY87" s="164">
        <f t="shared" si="20"/>
        <v>0.01</v>
      </c>
      <c r="AZ87" s="164">
        <f t="shared" si="21"/>
        <v>0.01</v>
      </c>
      <c r="BA87" s="164">
        <f t="shared" si="21"/>
        <v>0.01</v>
      </c>
      <c r="BB87" s="164">
        <f t="shared" si="21"/>
        <v>0.01</v>
      </c>
      <c r="BC87" s="164">
        <f t="shared" si="21"/>
        <v>0.01</v>
      </c>
      <c r="BD87" s="164">
        <f t="shared" si="21"/>
        <v>0.01</v>
      </c>
      <c r="BE87" s="164">
        <f t="shared" si="21"/>
        <v>0.01</v>
      </c>
      <c r="BF87" s="164">
        <f t="shared" si="21"/>
        <v>0.01</v>
      </c>
      <c r="BG87" s="164">
        <f t="shared" si="21"/>
        <v>0.01</v>
      </c>
      <c r="BH87" s="164">
        <f t="shared" si="21"/>
        <v>0.01</v>
      </c>
      <c r="BI87" s="164">
        <f t="shared" si="21"/>
        <v>0.01</v>
      </c>
      <c r="BJ87" s="164">
        <f t="shared" si="21"/>
        <v>0.01</v>
      </c>
      <c r="BK87" s="164">
        <f t="shared" si="21"/>
        <v>0.01</v>
      </c>
    </row>
    <row r="89" spans="1:63">
      <c r="A89" s="119" t="s">
        <v>1050</v>
      </c>
      <c r="B89" s="119" t="s">
        <v>303</v>
      </c>
      <c r="C89" s="162">
        <f>SUM(C82:C87)</f>
        <v>68749.11</v>
      </c>
      <c r="D89" s="162">
        <f t="shared" ref="D89:BK89" si="23">SUM(D82:D87)</f>
        <v>69711.829999999987</v>
      </c>
      <c r="E89" s="162">
        <f t="shared" si="23"/>
        <v>71121.710000000006</v>
      </c>
      <c r="F89" s="162">
        <f t="shared" si="23"/>
        <v>71070.94</v>
      </c>
      <c r="G89" s="162">
        <f t="shared" si="23"/>
        <v>72452.98</v>
      </c>
      <c r="H89" s="162">
        <f t="shared" si="23"/>
        <v>72574.66</v>
      </c>
      <c r="I89" s="162">
        <f t="shared" si="23"/>
        <v>73931.14999999998</v>
      </c>
      <c r="J89" s="162">
        <f t="shared" si="23"/>
        <v>75431.91</v>
      </c>
      <c r="K89" s="162">
        <f t="shared" si="23"/>
        <v>71120.529999999984</v>
      </c>
      <c r="L89" s="162">
        <f t="shared" si="23"/>
        <v>70394.090000000026</v>
      </c>
      <c r="M89" s="162">
        <f t="shared" si="23"/>
        <v>72186.359999999986</v>
      </c>
      <c r="N89" s="162">
        <f t="shared" si="23"/>
        <v>72554.25999999998</v>
      </c>
      <c r="O89" s="162">
        <f t="shared" si="23"/>
        <v>70495.61</v>
      </c>
      <c r="P89" s="162">
        <f t="shared" si="23"/>
        <v>72831.950000000012</v>
      </c>
      <c r="Q89" s="162">
        <f t="shared" si="23"/>
        <v>74966.630000000019</v>
      </c>
      <c r="R89" s="162">
        <f t="shared" si="23"/>
        <v>80981.460000000006</v>
      </c>
      <c r="S89" s="162">
        <f t="shared" si="23"/>
        <v>83773.59</v>
      </c>
      <c r="T89" s="162">
        <f t="shared" si="23"/>
        <v>85998.47</v>
      </c>
      <c r="U89" s="162">
        <f t="shared" si="23"/>
        <v>68739.040000000023</v>
      </c>
      <c r="V89" s="162">
        <f t="shared" si="23"/>
        <v>68097.509999999995</v>
      </c>
      <c r="W89" s="162">
        <f t="shared" si="23"/>
        <v>68916.19</v>
      </c>
      <c r="X89" s="162">
        <f t="shared" si="23"/>
        <v>67577.81</v>
      </c>
      <c r="Y89" s="162">
        <f t="shared" si="23"/>
        <v>71313.839999999982</v>
      </c>
      <c r="Z89" s="162">
        <f t="shared" si="23"/>
        <v>72960.429999999993</v>
      </c>
      <c r="AA89" s="162">
        <f t="shared" si="23"/>
        <v>71237.690000000017</v>
      </c>
      <c r="AB89" s="162">
        <f t="shared" si="23"/>
        <v>70346.61</v>
      </c>
      <c r="AC89" s="162">
        <f t="shared" si="23"/>
        <v>68736.689999999988</v>
      </c>
      <c r="AD89" s="162">
        <f t="shared" si="23"/>
        <v>71449.930000000008</v>
      </c>
      <c r="AE89" s="162">
        <f t="shared" si="23"/>
        <v>71738.02</v>
      </c>
      <c r="AF89" s="162">
        <f t="shared" si="23"/>
        <v>73724.27</v>
      </c>
      <c r="AG89" s="162">
        <f t="shared" si="23"/>
        <v>72463.73412339999</v>
      </c>
      <c r="AH89" s="163">
        <f t="shared" si="23"/>
        <v>72820.188563100019</v>
      </c>
      <c r="AI89" s="162">
        <f t="shared" si="23"/>
        <v>70305.753734979182</v>
      </c>
      <c r="AJ89" s="162">
        <f t="shared" si="23"/>
        <v>71549.285937157139</v>
      </c>
      <c r="AK89" s="162">
        <f t="shared" si="23"/>
        <v>70230.315474994408</v>
      </c>
      <c r="AL89" s="162">
        <f t="shared" si="23"/>
        <v>65305.746726460755</v>
      </c>
      <c r="AM89" s="162">
        <f t="shared" si="23"/>
        <v>62566.331761475762</v>
      </c>
      <c r="AN89" s="162">
        <f t="shared" si="23"/>
        <v>59302.136574380143</v>
      </c>
      <c r="AO89" s="162">
        <f t="shared" si="23"/>
        <v>56075.792413890144</v>
      </c>
      <c r="AP89" s="162">
        <f t="shared" si="23"/>
        <v>52934.649230110997</v>
      </c>
      <c r="AQ89" s="162">
        <f t="shared" si="23"/>
        <v>50449.438602699476</v>
      </c>
      <c r="AR89" s="162">
        <f t="shared" si="23"/>
        <v>48996.190419538652</v>
      </c>
      <c r="AS89" s="162">
        <f t="shared" si="23"/>
        <v>47927.571345567187</v>
      </c>
      <c r="AT89" s="162">
        <f t="shared" si="23"/>
        <v>46711.365404871547</v>
      </c>
      <c r="AU89" s="162">
        <f>SUM(AU82:AU87)</f>
        <v>45526.819108355354</v>
      </c>
      <c r="AV89" s="162">
        <f t="shared" si="23"/>
        <v>44212.11719672777</v>
      </c>
      <c r="AW89" s="162">
        <f t="shared" si="23"/>
        <v>42685.206309360437</v>
      </c>
      <c r="AX89" s="162">
        <f t="shared" si="23"/>
        <v>39959.590923818592</v>
      </c>
      <c r="AY89" s="162">
        <f t="shared" si="23"/>
        <v>37420.574740999808</v>
      </c>
      <c r="AZ89" s="162">
        <f t="shared" si="23"/>
        <v>35547.946872318404</v>
      </c>
      <c r="BA89" s="162">
        <f t="shared" si="23"/>
        <v>33637.617329719062</v>
      </c>
      <c r="BB89" s="162">
        <f t="shared" si="23"/>
        <v>31213.033003040349</v>
      </c>
      <c r="BC89" s="162">
        <f t="shared" si="23"/>
        <v>29760.775200578442</v>
      </c>
      <c r="BD89" s="162">
        <f t="shared" si="23"/>
        <v>28911.377683095638</v>
      </c>
      <c r="BE89" s="162">
        <f t="shared" si="23"/>
        <v>28421.711910126625</v>
      </c>
      <c r="BF89" s="162">
        <f t="shared" si="23"/>
        <v>28721.054676163963</v>
      </c>
      <c r="BG89" s="162">
        <f t="shared" si="23"/>
        <v>29271.455442102462</v>
      </c>
      <c r="BH89" s="162">
        <f t="shared" si="23"/>
        <v>29671.515241119097</v>
      </c>
      <c r="BI89" s="162">
        <f t="shared" si="23"/>
        <v>29123.904010038772</v>
      </c>
      <c r="BJ89" s="162">
        <f t="shared" si="23"/>
        <v>28582.828282513616</v>
      </c>
      <c r="BK89" s="162">
        <f t="shared" si="23"/>
        <v>27964.962557812862</v>
      </c>
    </row>
    <row r="90" spans="1:63">
      <c r="A90" s="119" t="s">
        <v>1051</v>
      </c>
      <c r="B90" s="119" t="s">
        <v>303</v>
      </c>
      <c r="C90" s="162">
        <f>SUM(C83:C87,C81)</f>
        <v>67898.86</v>
      </c>
      <c r="D90" s="162">
        <f t="shared" ref="D90:BK90" si="24">SUM(D83:D87,D81)</f>
        <v>68853.459999999992</v>
      </c>
      <c r="E90" s="162">
        <f t="shared" si="24"/>
        <v>70004.280000000013</v>
      </c>
      <c r="F90" s="162">
        <f t="shared" si="24"/>
        <v>69879.820000000007</v>
      </c>
      <c r="G90" s="162">
        <f t="shared" si="24"/>
        <v>71124.490000000005</v>
      </c>
      <c r="H90" s="162">
        <f t="shared" si="24"/>
        <v>71693.27</v>
      </c>
      <c r="I90" s="162">
        <f t="shared" si="24"/>
        <v>73867.700000000012</v>
      </c>
      <c r="J90" s="162">
        <f t="shared" si="24"/>
        <v>76751.55</v>
      </c>
      <c r="K90" s="162">
        <f t="shared" si="24"/>
        <v>74490.91</v>
      </c>
      <c r="L90" s="162">
        <f t="shared" si="24"/>
        <v>76293.75</v>
      </c>
      <c r="M90" s="162">
        <f t="shared" si="24"/>
        <v>78232.350000000006</v>
      </c>
      <c r="N90" s="162">
        <f t="shared" si="24"/>
        <v>81114.950000000012</v>
      </c>
      <c r="O90" s="162">
        <f t="shared" si="24"/>
        <v>80985.649999999994</v>
      </c>
      <c r="P90" s="162">
        <f t="shared" si="24"/>
        <v>83063.159999999989</v>
      </c>
      <c r="Q90" s="162">
        <f t="shared" si="24"/>
        <v>82924.81</v>
      </c>
      <c r="R90" s="162">
        <f t="shared" si="24"/>
        <v>85023.140000000014</v>
      </c>
      <c r="S90" s="162">
        <f t="shared" si="24"/>
        <v>85179.5</v>
      </c>
      <c r="T90" s="162">
        <f t="shared" si="24"/>
        <v>83012.010000000009</v>
      </c>
      <c r="U90" s="162">
        <f t="shared" si="24"/>
        <v>82551.94</v>
      </c>
      <c r="V90" s="162">
        <f t="shared" si="24"/>
        <v>79879.700000000012</v>
      </c>
      <c r="W90" s="162">
        <f t="shared" si="24"/>
        <v>80586.359999999986</v>
      </c>
      <c r="X90" s="162">
        <f t="shared" si="24"/>
        <v>80356.849999999991</v>
      </c>
      <c r="Y90" s="162">
        <f t="shared" si="24"/>
        <v>82350.8</v>
      </c>
      <c r="Z90" s="162">
        <f t="shared" si="24"/>
        <v>81685.17</v>
      </c>
      <c r="AA90" s="162">
        <f t="shared" si="24"/>
        <v>82470.44</v>
      </c>
      <c r="AB90" s="162">
        <f t="shared" si="24"/>
        <v>82231.470000000016</v>
      </c>
      <c r="AC90" s="162">
        <f t="shared" si="24"/>
        <v>80046.340000000011</v>
      </c>
      <c r="AD90" s="162">
        <f t="shared" si="24"/>
        <v>81608.640000000014</v>
      </c>
      <c r="AE90" s="162">
        <f t="shared" si="24"/>
        <v>81862.11</v>
      </c>
      <c r="AF90" s="162">
        <f t="shared" si="24"/>
        <v>82926.91</v>
      </c>
      <c r="AG90" s="162">
        <f t="shared" si="24"/>
        <v>80169.154123399989</v>
      </c>
      <c r="AH90" s="163">
        <f t="shared" si="24"/>
        <v>79851.318563100009</v>
      </c>
      <c r="AI90" s="162">
        <f t="shared" si="24"/>
        <v>76537.203734979194</v>
      </c>
      <c r="AJ90" s="162">
        <f t="shared" si="24"/>
        <v>77209.235937157122</v>
      </c>
      <c r="AK90" s="162">
        <f t="shared" si="24"/>
        <v>75729.995474994401</v>
      </c>
      <c r="AL90" s="162">
        <f t="shared" si="24"/>
        <v>71720.156726460758</v>
      </c>
      <c r="AM90" s="162">
        <f t="shared" si="24"/>
        <v>70435.361761475768</v>
      </c>
      <c r="AN90" s="162">
        <f t="shared" si="24"/>
        <v>69162.276574380143</v>
      </c>
      <c r="AO90" s="162">
        <f t="shared" si="24"/>
        <v>68345.052413890138</v>
      </c>
      <c r="AP90" s="162">
        <f t="shared" si="24"/>
        <v>67487.069230110996</v>
      </c>
      <c r="AQ90" s="162">
        <f t="shared" si="24"/>
        <v>66804.198602699471</v>
      </c>
      <c r="AR90" s="162">
        <f t="shared" si="24"/>
        <v>66280.230419538653</v>
      </c>
      <c r="AS90" s="162">
        <f t="shared" si="24"/>
        <v>65657.211345567193</v>
      </c>
      <c r="AT90" s="162">
        <f t="shared" si="24"/>
        <v>65179.215404871553</v>
      </c>
      <c r="AU90" s="162">
        <f t="shared" si="24"/>
        <v>64519.579108355356</v>
      </c>
      <c r="AV90" s="162">
        <f t="shared" si="24"/>
        <v>63989.177196727767</v>
      </c>
      <c r="AW90" s="162">
        <f t="shared" si="24"/>
        <v>63703.14630936044</v>
      </c>
      <c r="AX90" s="162">
        <f t="shared" si="24"/>
        <v>63245.010923818598</v>
      </c>
      <c r="AY90" s="162">
        <f t="shared" si="24"/>
        <v>62007.574740999808</v>
      </c>
      <c r="AZ90" s="162">
        <f t="shared" si="24"/>
        <v>61528.096872318405</v>
      </c>
      <c r="BA90" s="162">
        <f t="shared" si="24"/>
        <v>60929.817329719066</v>
      </c>
      <c r="BB90" s="162">
        <f t="shared" si="24"/>
        <v>59790.803003040353</v>
      </c>
      <c r="BC90" s="162">
        <f t="shared" si="24"/>
        <v>59262.255200578453</v>
      </c>
      <c r="BD90" s="162">
        <f t="shared" si="24"/>
        <v>58795.377683095641</v>
      </c>
      <c r="BE90" s="162">
        <f t="shared" si="24"/>
        <v>58348.141910126629</v>
      </c>
      <c r="BF90" s="162">
        <f t="shared" si="24"/>
        <v>57970.604676163974</v>
      </c>
      <c r="BG90" s="162">
        <f t="shared" si="24"/>
        <v>57734.275442102473</v>
      </c>
      <c r="BH90" s="162">
        <f t="shared" si="24"/>
        <v>57347.84524111911</v>
      </c>
      <c r="BI90" s="162">
        <f t="shared" si="24"/>
        <v>56898.01401003878</v>
      </c>
      <c r="BJ90" s="162">
        <f t="shared" si="24"/>
        <v>56460.718282513619</v>
      </c>
      <c r="BK90" s="162">
        <f t="shared" si="24"/>
        <v>55984.63255781286</v>
      </c>
    </row>
    <row r="92" spans="1:63">
      <c r="AH92" s="186"/>
      <c r="AI92" s="186"/>
      <c r="AJ92" s="186"/>
      <c r="AK92" s="186"/>
      <c r="AL92" s="186"/>
      <c r="AM92" s="186"/>
      <c r="AN92" s="186"/>
      <c r="AO92" s="186"/>
      <c r="AP92" s="186"/>
      <c r="AQ92" s="186"/>
      <c r="AR92" s="186"/>
      <c r="AS92" s="186"/>
      <c r="AT92" s="186"/>
      <c r="AU92" s="186"/>
      <c r="AV92" s="186"/>
      <c r="AW92" s="186"/>
      <c r="AX92" s="186"/>
      <c r="AY92" s="186"/>
      <c r="AZ92" s="186"/>
      <c r="BA92" s="186"/>
      <c r="BB92" s="186"/>
      <c r="BC92" s="186"/>
      <c r="BD92" s="186"/>
      <c r="BE92" s="186"/>
      <c r="BF92" s="186"/>
      <c r="BG92" s="186"/>
      <c r="BH92" s="186"/>
      <c r="BI92" s="186"/>
      <c r="BJ92" s="186"/>
      <c r="BK92" s="186"/>
    </row>
    <row r="94" spans="1:63">
      <c r="AH94" s="204"/>
      <c r="AI94" s="127"/>
      <c r="AU94" s="184"/>
    </row>
    <row r="95" spans="1:63">
      <c r="AT95" s="183"/>
    </row>
    <row r="96" spans="1:63">
      <c r="AH96" s="168"/>
    </row>
    <row r="98" spans="34:34">
      <c r="AH98" s="168"/>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8B5CF-C64F-467F-B8A9-121F566D975E}">
  <sheetPr>
    <tabColor theme="5" tint="0.79998168889431442"/>
  </sheetPr>
  <dimension ref="A1:BM23"/>
  <sheetViews>
    <sheetView topLeftCell="L1" workbookViewId="0">
      <selection activeCell="A15" sqref="A15:XFD15"/>
    </sheetView>
  </sheetViews>
  <sheetFormatPr defaultRowHeight="15"/>
  <cols>
    <col min="1" max="1" width="32.42578125" customWidth="1"/>
    <col min="2" max="62" width="10.85546875" bestFit="1" customWidth="1"/>
  </cols>
  <sheetData>
    <row r="1" spans="1:65" ht="21">
      <c r="A1" s="145" t="s">
        <v>1020</v>
      </c>
      <c r="AO1" s="116"/>
      <c r="AP1" s="116"/>
      <c r="AQ1" s="116"/>
      <c r="AR1" s="116"/>
      <c r="AS1" s="116"/>
      <c r="AT1" s="116"/>
      <c r="AU1" s="116"/>
      <c r="AV1" s="116"/>
      <c r="AW1" s="116"/>
      <c r="AX1" s="116"/>
      <c r="AY1" s="116"/>
      <c r="AZ1" s="116"/>
      <c r="BA1" s="116"/>
      <c r="BB1" s="116"/>
      <c r="BC1" s="116"/>
      <c r="BD1" s="116"/>
      <c r="BE1" s="116"/>
      <c r="BF1" s="116"/>
      <c r="BG1" s="116"/>
      <c r="BH1" s="116"/>
      <c r="BI1" s="116"/>
      <c r="BJ1" s="116"/>
    </row>
    <row r="2" spans="1:65">
      <c r="A2" s="146" t="s">
        <v>1021</v>
      </c>
      <c r="AO2" s="116"/>
      <c r="AP2" s="116"/>
      <c r="AQ2" s="116"/>
      <c r="AR2" s="116"/>
      <c r="AS2" s="116"/>
      <c r="AT2" s="116"/>
      <c r="AU2" s="116"/>
      <c r="AV2" s="116"/>
      <c r="AW2" s="116"/>
      <c r="AX2" s="116"/>
      <c r="AY2" s="116"/>
      <c r="AZ2" s="116"/>
      <c r="BA2" s="116"/>
      <c r="BB2" s="116"/>
      <c r="BC2" s="116"/>
      <c r="BD2" s="116"/>
      <c r="BE2" s="116"/>
      <c r="BF2" s="116"/>
      <c r="BG2" s="116"/>
      <c r="BH2" s="116"/>
      <c r="BI2" s="116"/>
      <c r="BJ2" s="116"/>
    </row>
    <row r="3" spans="1:65" ht="18">
      <c r="A3" t="s">
        <v>1022</v>
      </c>
      <c r="AO3" s="116"/>
      <c r="AP3" s="116"/>
      <c r="AQ3" s="116"/>
      <c r="AR3" s="116"/>
      <c r="AS3" s="116"/>
      <c r="AT3" s="116"/>
      <c r="AU3" s="116"/>
      <c r="AV3" s="116"/>
      <c r="AW3" s="116"/>
      <c r="AX3" s="116"/>
      <c r="AY3" s="116"/>
      <c r="AZ3" s="116"/>
      <c r="BA3" s="116"/>
      <c r="BB3" s="116"/>
      <c r="BC3" s="116"/>
      <c r="BD3" s="116"/>
      <c r="BE3" s="116"/>
      <c r="BF3" s="116"/>
      <c r="BG3" s="116"/>
      <c r="BH3" s="116"/>
      <c r="BI3" s="116"/>
      <c r="BJ3" s="116"/>
    </row>
    <row r="4" spans="1:65" ht="18">
      <c r="A4" t="s">
        <v>1023</v>
      </c>
      <c r="AO4" s="116"/>
      <c r="AP4" s="116"/>
      <c r="AQ4" s="116"/>
      <c r="AR4" s="116"/>
      <c r="AS4" s="116"/>
      <c r="AT4" s="116"/>
      <c r="AU4" s="116"/>
      <c r="AV4" s="116"/>
      <c r="AW4" s="116"/>
      <c r="AX4" s="116"/>
      <c r="AY4" s="116"/>
      <c r="AZ4" s="116"/>
      <c r="BA4" s="116"/>
      <c r="BB4" s="116"/>
      <c r="BC4" s="116"/>
      <c r="BD4" s="116"/>
      <c r="BE4" s="116"/>
      <c r="BF4" s="116"/>
      <c r="BG4" s="116"/>
      <c r="BH4" s="116"/>
      <c r="BI4" s="116"/>
      <c r="BJ4" s="116"/>
    </row>
    <row r="5" spans="1:65">
      <c r="A5" t="s">
        <v>1024</v>
      </c>
      <c r="C5" t="s">
        <v>1052</v>
      </c>
      <c r="AO5" s="116"/>
      <c r="AP5" s="116"/>
      <c r="AQ5" s="116"/>
      <c r="AR5" s="116"/>
      <c r="AS5" s="116"/>
      <c r="AT5" s="116"/>
      <c r="AU5" s="116"/>
      <c r="AV5" s="116"/>
      <c r="AW5" s="116"/>
      <c r="AX5" s="116"/>
      <c r="AY5" s="116"/>
      <c r="AZ5" s="116"/>
      <c r="BA5" s="116"/>
      <c r="BB5" s="116"/>
      <c r="BC5" s="116"/>
      <c r="BD5" s="116"/>
      <c r="BE5" s="116"/>
      <c r="BF5" s="116"/>
      <c r="BG5" s="116"/>
      <c r="BH5" s="116"/>
      <c r="BI5" s="116"/>
      <c r="BJ5" s="116"/>
    </row>
    <row r="6" spans="1:65">
      <c r="A6" t="s">
        <v>1025</v>
      </c>
      <c r="AO6" s="116"/>
      <c r="AP6" s="116"/>
      <c r="AQ6" s="116"/>
      <c r="AR6" s="116"/>
      <c r="AS6" s="116"/>
      <c r="AT6" s="116"/>
      <c r="AU6" s="116"/>
      <c r="AV6" s="116"/>
      <c r="AW6" s="116"/>
      <c r="AX6" s="116"/>
      <c r="AY6" s="116"/>
      <c r="AZ6" s="116"/>
      <c r="BA6" s="116"/>
      <c r="BB6" s="116"/>
      <c r="BC6" s="116"/>
      <c r="BD6" s="116"/>
      <c r="BE6" s="116"/>
      <c r="BF6" s="116"/>
      <c r="BG6" s="116"/>
      <c r="BH6" s="116"/>
      <c r="BI6" s="116"/>
      <c r="BJ6" s="116"/>
    </row>
    <row r="7" spans="1:65" ht="18">
      <c r="A7" t="s">
        <v>1026</v>
      </c>
      <c r="AO7" s="116"/>
      <c r="AP7" s="116"/>
      <c r="AQ7" s="116"/>
      <c r="AR7" s="116"/>
      <c r="AS7" s="116"/>
      <c r="AT7" s="116"/>
      <c r="AU7" s="116"/>
      <c r="AV7" s="116"/>
      <c r="AW7" s="116"/>
      <c r="AX7" s="116"/>
      <c r="AY7" s="116"/>
      <c r="AZ7" s="116"/>
      <c r="BA7" s="116"/>
      <c r="BB7" s="116"/>
      <c r="BC7" s="116"/>
      <c r="BD7" s="116"/>
      <c r="BE7" s="116"/>
      <c r="BF7" s="116"/>
      <c r="BG7" s="116"/>
      <c r="BH7" s="116"/>
      <c r="BI7" s="116"/>
      <c r="BJ7" s="116"/>
    </row>
    <row r="8" spans="1:65">
      <c r="A8" t="s">
        <v>1053</v>
      </c>
      <c r="AO8" s="116"/>
      <c r="AP8" s="116"/>
      <c r="AQ8" s="116"/>
      <c r="AR8" s="116"/>
      <c r="AS8" s="116"/>
      <c r="AT8" s="116"/>
      <c r="AU8" s="116"/>
      <c r="AV8" s="116"/>
      <c r="AW8" s="116"/>
      <c r="AX8" s="116"/>
      <c r="AY8" s="116"/>
      <c r="AZ8" s="116"/>
      <c r="BA8" s="116"/>
      <c r="BB8" s="116"/>
      <c r="BC8" s="116"/>
      <c r="BD8" s="116"/>
      <c r="BE8" s="116"/>
      <c r="BF8" s="116"/>
      <c r="BG8" s="116"/>
      <c r="BH8" s="116"/>
      <c r="BI8" s="116"/>
      <c r="BJ8" s="116"/>
    </row>
    <row r="9" spans="1:65">
      <c r="A9" t="s">
        <v>1054</v>
      </c>
      <c r="AF9" s="121"/>
      <c r="AG9" s="147" t="s">
        <v>1027</v>
      </c>
      <c r="AH9" t="s">
        <v>1028</v>
      </c>
      <c r="AO9" s="116"/>
      <c r="AP9" s="116"/>
      <c r="AQ9" s="116"/>
      <c r="AR9" s="116"/>
      <c r="AS9" s="116"/>
      <c r="AT9" s="116"/>
      <c r="AU9" s="116"/>
      <c r="AV9" s="116"/>
      <c r="AW9" s="116"/>
      <c r="AX9" s="116"/>
      <c r="AY9" s="116"/>
      <c r="AZ9" s="116"/>
      <c r="BA9" s="116"/>
      <c r="BB9" s="116"/>
      <c r="BC9" s="116"/>
      <c r="BD9" s="116"/>
      <c r="BE9" s="116"/>
      <c r="BF9" s="116"/>
      <c r="BG9" s="116"/>
      <c r="BH9" s="116"/>
      <c r="BI9" s="116"/>
      <c r="BJ9" s="116"/>
    </row>
    <row r="10" spans="1:65">
      <c r="A10" s="116"/>
      <c r="B10" s="116"/>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48"/>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row>
    <row r="11" spans="1:65">
      <c r="A11" s="149" t="s">
        <v>1055</v>
      </c>
      <c r="B11" s="149">
        <v>1990</v>
      </c>
      <c r="C11" s="149">
        <v>1991</v>
      </c>
      <c r="D11" s="149">
        <v>1992</v>
      </c>
      <c r="E11" s="149">
        <v>1993</v>
      </c>
      <c r="F11" s="149">
        <v>1994</v>
      </c>
      <c r="G11" s="149">
        <v>1995</v>
      </c>
      <c r="H11" s="149">
        <v>1996</v>
      </c>
      <c r="I11" s="149">
        <v>1997</v>
      </c>
      <c r="J11" s="149">
        <v>1998</v>
      </c>
      <c r="K11" s="149">
        <v>1999</v>
      </c>
      <c r="L11" s="149">
        <v>2000</v>
      </c>
      <c r="M11" s="149">
        <v>2001</v>
      </c>
      <c r="N11" s="149">
        <v>2002</v>
      </c>
      <c r="O11" s="149">
        <v>2003</v>
      </c>
      <c r="P11" s="149">
        <v>2004</v>
      </c>
      <c r="Q11" s="149">
        <v>2005</v>
      </c>
      <c r="R11" s="149">
        <v>2006</v>
      </c>
      <c r="S11" s="149">
        <v>2007</v>
      </c>
      <c r="T11" s="149">
        <v>2008</v>
      </c>
      <c r="U11" s="149">
        <v>2009</v>
      </c>
      <c r="V11" s="149">
        <v>2010</v>
      </c>
      <c r="W11" s="149">
        <v>2011</v>
      </c>
      <c r="X11" s="149">
        <v>2012</v>
      </c>
      <c r="Y11" s="149">
        <v>2013</v>
      </c>
      <c r="Z11" s="149">
        <v>2014</v>
      </c>
      <c r="AA11" s="149">
        <v>2015</v>
      </c>
      <c r="AB11" s="149">
        <v>2016</v>
      </c>
      <c r="AC11" s="149">
        <v>2017</v>
      </c>
      <c r="AD11" s="149">
        <v>2018</v>
      </c>
      <c r="AE11" s="149">
        <v>2019</v>
      </c>
      <c r="AF11" s="149">
        <v>2020</v>
      </c>
      <c r="AG11" s="150">
        <v>2021</v>
      </c>
      <c r="AH11" s="149">
        <v>2022</v>
      </c>
      <c r="AI11" s="149">
        <v>2023</v>
      </c>
      <c r="AJ11" s="149">
        <v>2024</v>
      </c>
      <c r="AK11" s="149">
        <v>2025</v>
      </c>
      <c r="AL11" s="149">
        <v>2026</v>
      </c>
      <c r="AM11" s="149">
        <v>2027</v>
      </c>
      <c r="AN11" s="149">
        <v>2028</v>
      </c>
      <c r="AO11" s="149">
        <v>2029</v>
      </c>
      <c r="AP11" s="149">
        <v>2030</v>
      </c>
      <c r="AQ11" s="149">
        <v>2031</v>
      </c>
      <c r="AR11" s="149">
        <v>2032</v>
      </c>
      <c r="AS11" s="149">
        <v>2033</v>
      </c>
      <c r="AT11" s="149">
        <v>2034</v>
      </c>
      <c r="AU11" s="149">
        <v>2035</v>
      </c>
      <c r="AV11" s="149">
        <v>2036</v>
      </c>
      <c r="AW11" s="149">
        <v>2037</v>
      </c>
      <c r="AX11" s="149">
        <v>2038</v>
      </c>
      <c r="AY11" s="149">
        <v>2039</v>
      </c>
      <c r="AZ11" s="149">
        <v>2040</v>
      </c>
      <c r="BA11" s="149">
        <v>2041</v>
      </c>
      <c r="BB11" s="149">
        <v>2042</v>
      </c>
      <c r="BC11" s="149">
        <v>2043</v>
      </c>
      <c r="BD11" s="149">
        <v>2044</v>
      </c>
      <c r="BE11" s="149">
        <v>2045</v>
      </c>
      <c r="BF11" s="149">
        <v>2046</v>
      </c>
      <c r="BG11" s="149">
        <v>2047</v>
      </c>
      <c r="BH11" s="149">
        <v>2048</v>
      </c>
      <c r="BI11" s="149">
        <v>2049</v>
      </c>
      <c r="BJ11" s="149">
        <v>2050</v>
      </c>
    </row>
    <row r="12" spans="1:65">
      <c r="A12" s="151" t="s">
        <v>1056</v>
      </c>
      <c r="B12" s="152">
        <f>SUM('1990-2050 Central estimate AR5'!C10,'1990-2050 Central estimate AR5'!C17,'1990-2050 Central estimate AR5'!C24,'1990-2050 Central estimate AR5'!C31,'1990-2050 Central estimate AR5'!C45)</f>
        <v>67898.859999999986</v>
      </c>
      <c r="C12" s="152">
        <f>SUM('1990-2050 Central estimate AR5'!D10,'1990-2050 Central estimate AR5'!D17,'1990-2050 Central estimate AR5'!D24,'1990-2050 Central estimate AR5'!D31,'1990-2050 Central estimate AR5'!D45)</f>
        <v>68853.459999999992</v>
      </c>
      <c r="D12" s="152">
        <f>SUM('1990-2050 Central estimate AR5'!E10,'1990-2050 Central estimate AR5'!E17,'1990-2050 Central estimate AR5'!E24,'1990-2050 Central estimate AR5'!E31,'1990-2050 Central estimate AR5'!E45)</f>
        <v>70004.28</v>
      </c>
      <c r="E12" s="152">
        <f>SUM('1990-2050 Central estimate AR5'!F10,'1990-2050 Central estimate AR5'!F17,'1990-2050 Central estimate AR5'!F24,'1990-2050 Central estimate AR5'!F31,'1990-2050 Central estimate AR5'!F45)</f>
        <v>69879.820000000007</v>
      </c>
      <c r="F12" s="152">
        <f>SUM('1990-2050 Central estimate AR5'!G10,'1990-2050 Central estimate AR5'!G17,'1990-2050 Central estimate AR5'!G24,'1990-2050 Central estimate AR5'!G31,'1990-2050 Central estimate AR5'!G45)</f>
        <v>71124.490000000005</v>
      </c>
      <c r="G12" s="152">
        <f>SUM('1990-2050 Central estimate AR5'!H10,'1990-2050 Central estimate AR5'!H17,'1990-2050 Central estimate AR5'!H24,'1990-2050 Central estimate AR5'!H31,'1990-2050 Central estimate AR5'!H45)</f>
        <v>71693.27</v>
      </c>
      <c r="H12" s="152">
        <f>SUM('1990-2050 Central estimate AR5'!I10,'1990-2050 Central estimate AR5'!I17,'1990-2050 Central estimate AR5'!I24,'1990-2050 Central estimate AR5'!I31,'1990-2050 Central estimate AR5'!I45)</f>
        <v>73867.7</v>
      </c>
      <c r="I12" s="152">
        <f>SUM('1990-2050 Central estimate AR5'!J10,'1990-2050 Central estimate AR5'!J17,'1990-2050 Central estimate AR5'!J24,'1990-2050 Central estimate AR5'!J31,'1990-2050 Central estimate AR5'!J45)</f>
        <v>76751.549999999988</v>
      </c>
      <c r="J12" s="152">
        <f>SUM('1990-2050 Central estimate AR5'!K10,'1990-2050 Central estimate AR5'!K17,'1990-2050 Central estimate AR5'!K24,'1990-2050 Central estimate AR5'!K31,'1990-2050 Central estimate AR5'!K45)</f>
        <v>74490.91</v>
      </c>
      <c r="K12" s="152">
        <f>SUM('1990-2050 Central estimate AR5'!L10,'1990-2050 Central estimate AR5'!L17,'1990-2050 Central estimate AR5'!L24,'1990-2050 Central estimate AR5'!L31,'1990-2050 Central estimate AR5'!L45)</f>
        <v>76293.75</v>
      </c>
      <c r="L12" s="152">
        <f>SUM('1990-2050 Central estimate AR5'!M10,'1990-2050 Central estimate AR5'!M17,'1990-2050 Central estimate AR5'!M24,'1990-2050 Central estimate AR5'!M31,'1990-2050 Central estimate AR5'!M45)</f>
        <v>78232.349999999991</v>
      </c>
      <c r="M12" s="152">
        <f>SUM('1990-2050 Central estimate AR5'!N10,'1990-2050 Central estimate AR5'!N17,'1990-2050 Central estimate AR5'!N24,'1990-2050 Central estimate AR5'!N31,'1990-2050 Central estimate AR5'!N45)</f>
        <v>81114.95</v>
      </c>
      <c r="N12" s="152">
        <f>SUM('1990-2050 Central estimate AR5'!O10,'1990-2050 Central estimate AR5'!O17,'1990-2050 Central estimate AR5'!O24,'1990-2050 Central estimate AR5'!O31,'1990-2050 Central estimate AR5'!O45)</f>
        <v>80985.650000000009</v>
      </c>
      <c r="O12" s="152">
        <f>SUM('1990-2050 Central estimate AR5'!P10,'1990-2050 Central estimate AR5'!P17,'1990-2050 Central estimate AR5'!P24,'1990-2050 Central estimate AR5'!P31,'1990-2050 Central estimate AR5'!P45)</f>
        <v>83063.16</v>
      </c>
      <c r="P12" s="152">
        <f>SUM('1990-2050 Central estimate AR5'!Q10,'1990-2050 Central estimate AR5'!Q17,'1990-2050 Central estimate AR5'!Q24,'1990-2050 Central estimate AR5'!Q31,'1990-2050 Central estimate AR5'!Q45)</f>
        <v>82924.810000000012</v>
      </c>
      <c r="Q12" s="152">
        <f>SUM('1990-2050 Central estimate AR5'!R10,'1990-2050 Central estimate AR5'!R17,'1990-2050 Central estimate AR5'!R24,'1990-2050 Central estimate AR5'!R31,'1990-2050 Central estimate AR5'!R45)</f>
        <v>85023.140000000014</v>
      </c>
      <c r="R12" s="152">
        <f>SUM('1990-2050 Central estimate AR5'!S10,'1990-2050 Central estimate AR5'!S17,'1990-2050 Central estimate AR5'!S24,'1990-2050 Central estimate AR5'!S31,'1990-2050 Central estimate AR5'!S45)</f>
        <v>85179.5</v>
      </c>
      <c r="S12" s="152">
        <f>SUM('1990-2050 Central estimate AR5'!T10,'1990-2050 Central estimate AR5'!T17,'1990-2050 Central estimate AR5'!T24,'1990-2050 Central estimate AR5'!T31,'1990-2050 Central estimate AR5'!T45)</f>
        <v>83012.009999999995</v>
      </c>
      <c r="T12" s="152">
        <f>SUM('1990-2050 Central estimate AR5'!U10,'1990-2050 Central estimate AR5'!U17,'1990-2050 Central estimate AR5'!U24,'1990-2050 Central estimate AR5'!U31,'1990-2050 Central estimate AR5'!U45)</f>
        <v>82551.940000000017</v>
      </c>
      <c r="U12" s="152">
        <f>SUM('1990-2050 Central estimate AR5'!V10,'1990-2050 Central estimate AR5'!V17,'1990-2050 Central estimate AR5'!V24,'1990-2050 Central estimate AR5'!V31,'1990-2050 Central estimate AR5'!V45)</f>
        <v>79879.7</v>
      </c>
      <c r="V12" s="152">
        <f>SUM('1990-2050 Central estimate AR5'!W10,'1990-2050 Central estimate AR5'!W17,'1990-2050 Central estimate AR5'!W24,'1990-2050 Central estimate AR5'!W31,'1990-2050 Central estimate AR5'!W45)</f>
        <v>80586.36</v>
      </c>
      <c r="W12" s="152">
        <f>SUM('1990-2050 Central estimate AR5'!X10,'1990-2050 Central estimate AR5'!X17,'1990-2050 Central estimate AR5'!X24,'1990-2050 Central estimate AR5'!X31,'1990-2050 Central estimate AR5'!X45)</f>
        <v>80356.850000000006</v>
      </c>
      <c r="X12" s="152">
        <f>SUM('1990-2050 Central estimate AR5'!Y10,'1990-2050 Central estimate AR5'!Y17,'1990-2050 Central estimate AR5'!Y24,'1990-2050 Central estimate AR5'!Y31,'1990-2050 Central estimate AR5'!Y45)</f>
        <v>82350.799999999988</v>
      </c>
      <c r="Y12" s="152">
        <f>SUM('1990-2050 Central estimate AR5'!Z10,'1990-2050 Central estimate AR5'!Z17,'1990-2050 Central estimate AR5'!Z24,'1990-2050 Central estimate AR5'!Z31,'1990-2050 Central estimate AR5'!Z45)</f>
        <v>81685.17</v>
      </c>
      <c r="Z12" s="152">
        <f>SUM('1990-2050 Central estimate AR5'!AA10,'1990-2050 Central estimate AR5'!AA17,'1990-2050 Central estimate AR5'!AA24,'1990-2050 Central estimate AR5'!AA31,'1990-2050 Central estimate AR5'!AA45)</f>
        <v>82470.44</v>
      </c>
      <c r="AA12" s="152">
        <f>SUM('1990-2050 Central estimate AR5'!AB10,'1990-2050 Central estimate AR5'!AB17,'1990-2050 Central estimate AR5'!AB24,'1990-2050 Central estimate AR5'!AB31,'1990-2050 Central estimate AR5'!AB45)</f>
        <v>82231.47</v>
      </c>
      <c r="AB12" s="152">
        <f>SUM('1990-2050 Central estimate AR5'!AC10,'1990-2050 Central estimate AR5'!AC17,'1990-2050 Central estimate AR5'!AC24,'1990-2050 Central estimate AR5'!AC31,'1990-2050 Central estimate AR5'!AC45)</f>
        <v>80046.34</v>
      </c>
      <c r="AC12" s="152">
        <f>SUM('1990-2050 Central estimate AR5'!AD10,'1990-2050 Central estimate AR5'!AD17,'1990-2050 Central estimate AR5'!AD24,'1990-2050 Central estimate AR5'!AD31,'1990-2050 Central estimate AR5'!AD45)</f>
        <v>81608.639999999999</v>
      </c>
      <c r="AD12" s="152">
        <f>SUM('1990-2050 Central estimate AR5'!AE10,'1990-2050 Central estimate AR5'!AE17,'1990-2050 Central estimate AR5'!AE24,'1990-2050 Central estimate AR5'!AE31,'1990-2050 Central estimate AR5'!AE45)</f>
        <v>81862.11</v>
      </c>
      <c r="AE12" s="152">
        <f>SUM('1990-2050 Central estimate AR5'!AF10,'1990-2050 Central estimate AR5'!AF17,'1990-2050 Central estimate AR5'!AF24,'1990-2050 Central estimate AR5'!AF31,'1990-2050 Central estimate AR5'!AF45)</f>
        <v>82926.91</v>
      </c>
      <c r="AF12" s="152">
        <f>SUM('1990-2050 Central estimate AR5'!AG10,'1990-2050 Central estimate AR5'!AG17,'1990-2050 Central estimate AR5'!AG24,'1990-2050 Central estimate AR5'!AG31,'1990-2050 Central estimate AR5'!AG45)</f>
        <v>80169.154123400003</v>
      </c>
      <c r="AG12" s="153">
        <f>SUM('1990-2050 Central estimate AR5'!AH10,'1990-2050 Central estimate AR5'!AH17,'1990-2050 Central estimate AR5'!AH24,'1990-2050 Central estimate AR5'!AH31,'1990-2050 Central estimate AR5'!AH45)</f>
        <v>79851.318563099994</v>
      </c>
      <c r="AH12" s="152">
        <f>SUM('1990-2050 Central estimate AR5'!AI10,'1990-2050 Central estimate AR5'!AI17,'1990-2050 Central estimate AR5'!AI24,'1990-2050 Central estimate AR5'!AI31,'1990-2050 Central estimate AR5'!AI45)</f>
        <v>76537.203734979164</v>
      </c>
      <c r="AI12" s="152">
        <f>SUM('1990-2050 Central estimate AR5'!AJ10,'1990-2050 Central estimate AR5'!AJ17,'1990-2050 Central estimate AR5'!AJ24,'1990-2050 Central estimate AR5'!AJ31,'1990-2050 Central estimate AR5'!AJ45)</f>
        <v>77209.235937157137</v>
      </c>
      <c r="AJ12" s="152">
        <f>SUM('1990-2050 Central estimate AR5'!AK10,'1990-2050 Central estimate AR5'!AK17,'1990-2050 Central estimate AR5'!AK24,'1990-2050 Central estimate AR5'!AK31,'1990-2050 Central estimate AR5'!AK45)</f>
        <v>75729.995474994415</v>
      </c>
      <c r="AK12" s="152">
        <f>SUM('1990-2050 Central estimate AR5'!AL10,'1990-2050 Central estimate AR5'!AL17,'1990-2050 Central estimate AR5'!AL24,'1990-2050 Central estimate AR5'!AL31,'1990-2050 Central estimate AR5'!AL45)</f>
        <v>71720.156726460758</v>
      </c>
      <c r="AL12" s="152">
        <f>SUM('1990-2050 Central estimate AR5'!AM10,'1990-2050 Central estimate AR5'!AM17,'1990-2050 Central estimate AR5'!AM24,'1990-2050 Central estimate AR5'!AM31,'1990-2050 Central estimate AR5'!AM45)</f>
        <v>70435.361761475768</v>
      </c>
      <c r="AM12" s="152">
        <f>SUM('1990-2050 Central estimate AR5'!AN10,'1990-2050 Central estimate AR5'!AN17,'1990-2050 Central estimate AR5'!AN24,'1990-2050 Central estimate AR5'!AN31,'1990-2050 Central estimate AR5'!AN45)</f>
        <v>69162.276574380143</v>
      </c>
      <c r="AN12" s="152">
        <f>SUM('1990-2050 Central estimate AR5'!AO10,'1990-2050 Central estimate AR5'!AO17,'1990-2050 Central estimate AR5'!AO24,'1990-2050 Central estimate AR5'!AO31,'1990-2050 Central estimate AR5'!AO45)</f>
        <v>68345.052413890138</v>
      </c>
      <c r="AO12" s="152">
        <f>SUM('1990-2050 Central estimate AR5'!AP10,'1990-2050 Central estimate AR5'!AP17,'1990-2050 Central estimate AR5'!AP24,'1990-2050 Central estimate AR5'!AP31,'1990-2050 Central estimate AR5'!AP45)</f>
        <v>67487.06923011101</v>
      </c>
      <c r="AP12" s="152">
        <f>SUM('1990-2050 Central estimate AR5'!AQ10,'1990-2050 Central estimate AR5'!AQ17,'1990-2050 Central estimate AR5'!AQ24,'1990-2050 Central estimate AR5'!AQ31,'1990-2050 Central estimate AR5'!AQ45)</f>
        <v>66804.198602699485</v>
      </c>
      <c r="AQ12" s="152">
        <f>SUM('1990-2050 Central estimate AR5'!AR10,'1990-2050 Central estimate AR5'!AR17,'1990-2050 Central estimate AR5'!AR24,'1990-2050 Central estimate AR5'!AR31,'1990-2050 Central estimate AR5'!AR45)</f>
        <v>66280.230419538653</v>
      </c>
      <c r="AR12" s="152">
        <f>SUM('1990-2050 Central estimate AR5'!AS10,'1990-2050 Central estimate AR5'!AS17,'1990-2050 Central estimate AR5'!AS24,'1990-2050 Central estimate AR5'!AS31,'1990-2050 Central estimate AR5'!AS45)</f>
        <v>65657.211345567193</v>
      </c>
      <c r="AS12" s="152">
        <f>SUM('1990-2050 Central estimate AR5'!AT10,'1990-2050 Central estimate AR5'!AT17,'1990-2050 Central estimate AR5'!AT24,'1990-2050 Central estimate AR5'!AT31,'1990-2050 Central estimate AR5'!AT45)</f>
        <v>65179.215404871553</v>
      </c>
      <c r="AT12" s="152">
        <f>SUM('1990-2050 Central estimate AR5'!AU10,'1990-2050 Central estimate AR5'!AU17,'1990-2050 Central estimate AR5'!AU24,'1990-2050 Central estimate AR5'!AU31,'1990-2050 Central estimate AR5'!AU45)</f>
        <v>64519.579108355349</v>
      </c>
      <c r="AU12" s="152">
        <f>SUM('1990-2050 Central estimate AR5'!AV10,'1990-2050 Central estimate AR5'!AV17,'1990-2050 Central estimate AR5'!AV24,'1990-2050 Central estimate AR5'!AV31,'1990-2050 Central estimate AR5'!AV45)</f>
        <v>63989.177196727767</v>
      </c>
      <c r="AV12" s="152">
        <f>SUM('1990-2050 Central estimate AR5'!AW10,'1990-2050 Central estimate AR5'!AW17,'1990-2050 Central estimate AR5'!AW24,'1990-2050 Central estimate AR5'!AW31,'1990-2050 Central estimate AR5'!AW45)</f>
        <v>63703.14630936044</v>
      </c>
      <c r="AW12" s="152">
        <f>SUM('1990-2050 Central estimate AR5'!AX10,'1990-2050 Central estimate AR5'!AX17,'1990-2050 Central estimate AR5'!AX24,'1990-2050 Central estimate AR5'!AX31,'1990-2050 Central estimate AR5'!AX45)</f>
        <v>63245.010923818598</v>
      </c>
      <c r="AX12" s="152">
        <f>SUM('1990-2050 Central estimate AR5'!AY10,'1990-2050 Central estimate AR5'!AY17,'1990-2050 Central estimate AR5'!AY24,'1990-2050 Central estimate AR5'!AY31,'1990-2050 Central estimate AR5'!AY45)</f>
        <v>62007.5747409998</v>
      </c>
      <c r="AY12" s="152">
        <f>SUM('1990-2050 Central estimate AR5'!AZ10,'1990-2050 Central estimate AR5'!AZ17,'1990-2050 Central estimate AR5'!AZ24,'1990-2050 Central estimate AR5'!AZ31,'1990-2050 Central estimate AR5'!AZ45)</f>
        <v>61528.096872318398</v>
      </c>
      <c r="AZ12" s="152">
        <f>SUM('1990-2050 Central estimate AR5'!BA10,'1990-2050 Central estimate AR5'!BA17,'1990-2050 Central estimate AR5'!BA24,'1990-2050 Central estimate AR5'!BA31,'1990-2050 Central estimate AR5'!BA45)</f>
        <v>60929.817329719059</v>
      </c>
      <c r="BA12" s="152">
        <f>SUM('1990-2050 Central estimate AR5'!BB10,'1990-2050 Central estimate AR5'!BB17,'1990-2050 Central estimate AR5'!BB24,'1990-2050 Central estimate AR5'!BB31,'1990-2050 Central estimate AR5'!BB45)</f>
        <v>59790.803003040353</v>
      </c>
      <c r="BB12" s="152">
        <f>SUM('1990-2050 Central estimate AR5'!BC10,'1990-2050 Central estimate AR5'!BC17,'1990-2050 Central estimate AR5'!BC24,'1990-2050 Central estimate AR5'!BC31,'1990-2050 Central estimate AR5'!BC45)</f>
        <v>59262.255200578446</v>
      </c>
      <c r="BC12" s="152">
        <f>SUM('1990-2050 Central estimate AR5'!BD10,'1990-2050 Central estimate AR5'!BD17,'1990-2050 Central estimate AR5'!BD24,'1990-2050 Central estimate AR5'!BD31,'1990-2050 Central estimate AR5'!BD45)</f>
        <v>58795.377683095641</v>
      </c>
      <c r="BD12" s="152">
        <f>SUM('1990-2050 Central estimate AR5'!BE10,'1990-2050 Central estimate AR5'!BE17,'1990-2050 Central estimate AR5'!BE24,'1990-2050 Central estimate AR5'!BE31,'1990-2050 Central estimate AR5'!BE45)</f>
        <v>58348.141910126629</v>
      </c>
      <c r="BE12" s="152">
        <f>SUM('1990-2050 Central estimate AR5'!BF10,'1990-2050 Central estimate AR5'!BF17,'1990-2050 Central estimate AR5'!BF24,'1990-2050 Central estimate AR5'!BF31,'1990-2050 Central estimate AR5'!BF45)</f>
        <v>57970.604676163959</v>
      </c>
      <c r="BF12" s="152">
        <f>SUM('1990-2050 Central estimate AR5'!BG10,'1990-2050 Central estimate AR5'!BG17,'1990-2050 Central estimate AR5'!BG24,'1990-2050 Central estimate AR5'!BG31,'1990-2050 Central estimate AR5'!BG45)</f>
        <v>57734.275442102466</v>
      </c>
      <c r="BG12" s="152">
        <f>SUM('1990-2050 Central estimate AR5'!BH10,'1990-2050 Central estimate AR5'!BH17,'1990-2050 Central estimate AR5'!BH24,'1990-2050 Central estimate AR5'!BH31,'1990-2050 Central estimate AR5'!BH45)</f>
        <v>57347.845241119096</v>
      </c>
      <c r="BH12" s="152">
        <f>SUM('1990-2050 Central estimate AR5'!BI10,'1990-2050 Central estimate AR5'!BI17,'1990-2050 Central estimate AR5'!BI24,'1990-2050 Central estimate AR5'!BI31,'1990-2050 Central estimate AR5'!BI45)</f>
        <v>56898.01401003878</v>
      </c>
      <c r="BI12" s="152">
        <f>SUM('1990-2050 Central estimate AR5'!BJ10,'1990-2050 Central estimate AR5'!BJ17,'1990-2050 Central estimate AR5'!BJ24,'1990-2050 Central estimate AR5'!BJ31,'1990-2050 Central estimate AR5'!BJ45)</f>
        <v>56460.718282513611</v>
      </c>
      <c r="BJ12" s="152">
        <f>SUM('1990-2050 Central estimate AR5'!BK10,'1990-2050 Central estimate AR5'!BK17,'1990-2050 Central estimate AR5'!BK24,'1990-2050 Central estimate AR5'!BK31,'1990-2050 Central estimate AR5'!BK45)</f>
        <v>55984.632557812867</v>
      </c>
    </row>
    <row r="13" spans="1:65">
      <c r="A13" s="151" t="s">
        <v>1057</v>
      </c>
      <c r="B13" s="152">
        <f>SUM('[19]1990-2050 High estimate AR5'!C10,'[19]1990-2050 High estimate AR5'!C17,'[19]1990-2050 High estimate AR5'!C24,'[19]1990-2050 High estimate AR5'!C31,'[19]1990-2050 High estimate AR5'!C45)</f>
        <v>67898.859999999986</v>
      </c>
      <c r="C13" s="152">
        <f>SUM('[19]1990-2050 High estimate AR5'!D10,'[19]1990-2050 High estimate AR5'!D17,'[19]1990-2050 High estimate AR5'!D24,'[19]1990-2050 High estimate AR5'!D31,'[19]1990-2050 High estimate AR5'!D45)</f>
        <v>68853.459999999992</v>
      </c>
      <c r="D13" s="152">
        <f>SUM('[19]1990-2050 High estimate AR5'!E10,'[19]1990-2050 High estimate AR5'!E17,'[19]1990-2050 High estimate AR5'!E24,'[19]1990-2050 High estimate AR5'!E31,'[19]1990-2050 High estimate AR5'!E45)</f>
        <v>70004.28</v>
      </c>
      <c r="E13" s="152">
        <f>SUM('[19]1990-2050 High estimate AR5'!F10,'[19]1990-2050 High estimate AR5'!F17,'[19]1990-2050 High estimate AR5'!F24,'[19]1990-2050 High estimate AR5'!F31,'[19]1990-2050 High estimate AR5'!F45)</f>
        <v>69879.820000000007</v>
      </c>
      <c r="F13" s="152">
        <f>SUM('[19]1990-2050 High estimate AR5'!G10,'[19]1990-2050 High estimate AR5'!G17,'[19]1990-2050 High estimate AR5'!G24,'[19]1990-2050 High estimate AR5'!G31,'[19]1990-2050 High estimate AR5'!G45)</f>
        <v>71124.490000000005</v>
      </c>
      <c r="G13" s="152">
        <f>SUM('[19]1990-2050 High estimate AR5'!H10,'[19]1990-2050 High estimate AR5'!H17,'[19]1990-2050 High estimate AR5'!H24,'[19]1990-2050 High estimate AR5'!H31,'[19]1990-2050 High estimate AR5'!H45)</f>
        <v>71693.27</v>
      </c>
      <c r="H13" s="152">
        <f>SUM('[19]1990-2050 High estimate AR5'!I10,'[19]1990-2050 High estimate AR5'!I17,'[19]1990-2050 High estimate AR5'!I24,'[19]1990-2050 High estimate AR5'!I31,'[19]1990-2050 High estimate AR5'!I45)</f>
        <v>73867.7</v>
      </c>
      <c r="I13" s="152">
        <f>SUM('[19]1990-2050 High estimate AR5'!J10,'[19]1990-2050 High estimate AR5'!J17,'[19]1990-2050 High estimate AR5'!J24,'[19]1990-2050 High estimate AR5'!J31,'[19]1990-2050 High estimate AR5'!J45)</f>
        <v>76751.549999999988</v>
      </c>
      <c r="J13" s="152">
        <f>SUM('[19]1990-2050 High estimate AR5'!K10,'[19]1990-2050 High estimate AR5'!K17,'[19]1990-2050 High estimate AR5'!K24,'[19]1990-2050 High estimate AR5'!K31,'[19]1990-2050 High estimate AR5'!K45)</f>
        <v>74490.91</v>
      </c>
      <c r="K13" s="152">
        <f>SUM('[19]1990-2050 High estimate AR5'!L10,'[19]1990-2050 High estimate AR5'!L17,'[19]1990-2050 High estimate AR5'!L24,'[19]1990-2050 High estimate AR5'!L31,'[19]1990-2050 High estimate AR5'!L45)</f>
        <v>76293.75</v>
      </c>
      <c r="L13" s="152">
        <f>SUM('[19]1990-2050 High estimate AR5'!M10,'[19]1990-2050 High estimate AR5'!M17,'[19]1990-2050 High estimate AR5'!M24,'[19]1990-2050 High estimate AR5'!M31,'[19]1990-2050 High estimate AR5'!M45)</f>
        <v>78232.349999999991</v>
      </c>
      <c r="M13" s="152">
        <f>SUM('[19]1990-2050 High estimate AR5'!N10,'[19]1990-2050 High estimate AR5'!N17,'[19]1990-2050 High estimate AR5'!N24,'[19]1990-2050 High estimate AR5'!N31,'[19]1990-2050 High estimate AR5'!N45)</f>
        <v>81114.95</v>
      </c>
      <c r="N13" s="152">
        <f>SUM('[19]1990-2050 High estimate AR5'!O10,'[19]1990-2050 High estimate AR5'!O17,'[19]1990-2050 High estimate AR5'!O24,'[19]1990-2050 High estimate AR5'!O31,'[19]1990-2050 High estimate AR5'!O45)</f>
        <v>80985.650000000009</v>
      </c>
      <c r="O13" s="152">
        <f>SUM('[19]1990-2050 High estimate AR5'!P10,'[19]1990-2050 High estimate AR5'!P17,'[19]1990-2050 High estimate AR5'!P24,'[19]1990-2050 High estimate AR5'!P31,'[19]1990-2050 High estimate AR5'!P45)</f>
        <v>83063.16</v>
      </c>
      <c r="P13" s="152">
        <f>SUM('[19]1990-2050 High estimate AR5'!Q10,'[19]1990-2050 High estimate AR5'!Q17,'[19]1990-2050 High estimate AR5'!Q24,'[19]1990-2050 High estimate AR5'!Q31,'[19]1990-2050 High estimate AR5'!Q45)</f>
        <v>82924.810000000012</v>
      </c>
      <c r="Q13" s="152">
        <f>SUM('[19]1990-2050 High estimate AR5'!R10,'[19]1990-2050 High estimate AR5'!R17,'[19]1990-2050 High estimate AR5'!R24,'[19]1990-2050 High estimate AR5'!R31,'[19]1990-2050 High estimate AR5'!R45)</f>
        <v>85023.140000000014</v>
      </c>
      <c r="R13" s="152">
        <f>SUM('[19]1990-2050 High estimate AR5'!S10,'[19]1990-2050 High estimate AR5'!S17,'[19]1990-2050 High estimate AR5'!S24,'[19]1990-2050 High estimate AR5'!S31,'[19]1990-2050 High estimate AR5'!S45)</f>
        <v>85179.5</v>
      </c>
      <c r="S13" s="152">
        <f>SUM('[19]1990-2050 High estimate AR5'!T10,'[19]1990-2050 High estimate AR5'!T17,'[19]1990-2050 High estimate AR5'!T24,'[19]1990-2050 High estimate AR5'!T31,'[19]1990-2050 High estimate AR5'!T45)</f>
        <v>83012.009999999995</v>
      </c>
      <c r="T13" s="152">
        <f>SUM('[19]1990-2050 High estimate AR5'!U10,'[19]1990-2050 High estimate AR5'!U17,'[19]1990-2050 High estimate AR5'!U24,'[19]1990-2050 High estimate AR5'!U31,'[19]1990-2050 High estimate AR5'!U45)</f>
        <v>82551.940000000017</v>
      </c>
      <c r="U13" s="152">
        <f>SUM('[19]1990-2050 High estimate AR5'!V10,'[19]1990-2050 High estimate AR5'!V17,'[19]1990-2050 High estimate AR5'!V24,'[19]1990-2050 High estimate AR5'!V31,'[19]1990-2050 High estimate AR5'!V45)</f>
        <v>79879.7</v>
      </c>
      <c r="V13" s="152">
        <f>SUM('[19]1990-2050 High estimate AR5'!W10,'[19]1990-2050 High estimate AR5'!W17,'[19]1990-2050 High estimate AR5'!W24,'[19]1990-2050 High estimate AR5'!W31,'[19]1990-2050 High estimate AR5'!W45)</f>
        <v>80586.36</v>
      </c>
      <c r="W13" s="152">
        <f>SUM('[19]1990-2050 High estimate AR5'!X10,'[19]1990-2050 High estimate AR5'!X17,'[19]1990-2050 High estimate AR5'!X24,'[19]1990-2050 High estimate AR5'!X31,'[19]1990-2050 High estimate AR5'!X45)</f>
        <v>80356.850000000006</v>
      </c>
      <c r="X13" s="152">
        <f>SUM('[19]1990-2050 High estimate AR5'!Y10,'[19]1990-2050 High estimate AR5'!Y17,'[19]1990-2050 High estimate AR5'!Y24,'[19]1990-2050 High estimate AR5'!Y31,'[19]1990-2050 High estimate AR5'!Y45)</f>
        <v>82350.799999999988</v>
      </c>
      <c r="Y13" s="152">
        <f>SUM('[19]1990-2050 High estimate AR5'!Z10,'[19]1990-2050 High estimate AR5'!Z17,'[19]1990-2050 High estimate AR5'!Z24,'[19]1990-2050 High estimate AR5'!Z31,'[19]1990-2050 High estimate AR5'!Z45)</f>
        <v>81685.17</v>
      </c>
      <c r="Z13" s="152">
        <f>SUM('[19]1990-2050 High estimate AR5'!AA10,'[19]1990-2050 High estimate AR5'!AA17,'[19]1990-2050 High estimate AR5'!AA24,'[19]1990-2050 High estimate AR5'!AA31,'[19]1990-2050 High estimate AR5'!AA45)</f>
        <v>82470.44</v>
      </c>
      <c r="AA13" s="152">
        <f>SUM('[19]1990-2050 High estimate AR5'!AB10,'[19]1990-2050 High estimate AR5'!AB17,'[19]1990-2050 High estimate AR5'!AB24,'[19]1990-2050 High estimate AR5'!AB31,'[19]1990-2050 High estimate AR5'!AB45)</f>
        <v>82231.47</v>
      </c>
      <c r="AB13" s="152">
        <f>SUM('[19]1990-2050 High estimate AR5'!AC10,'[19]1990-2050 High estimate AR5'!AC17,'[19]1990-2050 High estimate AR5'!AC24,'[19]1990-2050 High estimate AR5'!AC31,'[19]1990-2050 High estimate AR5'!AC45)</f>
        <v>80046.34</v>
      </c>
      <c r="AC13" s="152">
        <f>SUM('[19]1990-2050 High estimate AR5'!AD10,'[19]1990-2050 High estimate AR5'!AD17,'[19]1990-2050 High estimate AR5'!AD24,'[19]1990-2050 High estimate AR5'!AD31,'[19]1990-2050 High estimate AR5'!AD45)</f>
        <v>81608.639999999999</v>
      </c>
      <c r="AD13" s="152">
        <f>SUM('[19]1990-2050 High estimate AR5'!AE10,'[19]1990-2050 High estimate AR5'!AE17,'[19]1990-2050 High estimate AR5'!AE24,'[19]1990-2050 High estimate AR5'!AE31,'[19]1990-2050 High estimate AR5'!AE45)</f>
        <v>81862.11</v>
      </c>
      <c r="AE13" s="152">
        <f>SUM('[19]1990-2050 High estimate AR5'!AF10,'[19]1990-2050 High estimate AR5'!AF17,'[19]1990-2050 High estimate AR5'!AF24,'[19]1990-2050 High estimate AR5'!AF31,'[19]1990-2050 High estimate AR5'!AF45)</f>
        <v>82926.91</v>
      </c>
      <c r="AF13" s="152">
        <f>SUM('[19]1990-2050 High estimate AR5'!AG10,'[19]1990-2050 High estimate AR5'!AG17,'[19]1990-2050 High estimate AR5'!AG24,'[19]1990-2050 High estimate AR5'!AG31,'[19]1990-2050 High estimate AR5'!AG45)</f>
        <v>80169.154123400003</v>
      </c>
      <c r="AG13" s="153">
        <f>SUM('[19]1990-2050 High estimate AR5'!AH10,'[19]1990-2050 High estimate AR5'!AH17,'[19]1990-2050 High estimate AR5'!AH24,'[19]1990-2050 High estimate AR5'!AH31,'[19]1990-2050 High estimate AR5'!AH45)</f>
        <v>79851.318563099994</v>
      </c>
      <c r="AH13" s="152">
        <f>SUM('[19]1990-2050 High estimate AR5'!AI10,'[19]1990-2050 High estimate AR5'!AI17,'[19]1990-2050 High estimate AR5'!AI24,'[19]1990-2050 High estimate AR5'!AI31,'[19]1990-2050 High estimate AR5'!AI45)</f>
        <v>76938.739639440901</v>
      </c>
      <c r="AI13" s="152">
        <f>SUM('[19]1990-2050 High estimate AR5'!AJ10,'[19]1990-2050 High estimate AR5'!AJ17,'[19]1990-2050 High estimate AR5'!AJ24,'[19]1990-2050 High estimate AR5'!AJ31,'[19]1990-2050 High estimate AR5'!AJ45)</f>
        <v>78032.995403534209</v>
      </c>
      <c r="AJ13" s="152">
        <f>SUM('[19]1990-2050 High estimate AR5'!AK10,'[19]1990-2050 High estimate AR5'!AK17,'[19]1990-2050 High estimate AR5'!AK24,'[19]1990-2050 High estimate AR5'!AK31,'[19]1990-2050 High estimate AR5'!AK45)</f>
        <v>76869.708521777429</v>
      </c>
      <c r="AK13" s="152">
        <f>SUM('[19]1990-2050 High estimate AR5'!AL10,'[19]1990-2050 High estimate AR5'!AL17,'[19]1990-2050 High estimate AR5'!AL24,'[19]1990-2050 High estimate AR5'!AL31,'[19]1990-2050 High estimate AR5'!AL45)</f>
        <v>72895.394517488821</v>
      </c>
      <c r="AL13" s="152">
        <f>SUM('[19]1990-2050 High estimate AR5'!AM10,'[19]1990-2050 High estimate AR5'!AM17,'[19]1990-2050 High estimate AR5'!AM24,'[19]1990-2050 High estimate AR5'!AM31,'[19]1990-2050 High estimate AR5'!AM45)</f>
        <v>71652.899456456507</v>
      </c>
      <c r="AM13" s="152">
        <f>SUM('[19]1990-2050 High estimate AR5'!AN10,'[19]1990-2050 High estimate AR5'!AN17,'[19]1990-2050 High estimate AR5'!AN24,'[19]1990-2050 High estimate AR5'!AN31,'[19]1990-2050 High estimate AR5'!AN45)</f>
        <v>70447.680626684858</v>
      </c>
      <c r="AN13" s="152">
        <f>SUM('[19]1990-2050 High estimate AR5'!AO10,'[19]1990-2050 High estimate AR5'!AO17,'[19]1990-2050 High estimate AR5'!AO24,'[19]1990-2050 High estimate AR5'!AO31,'[19]1990-2050 High estimate AR5'!AO45)</f>
        <v>69767.658028041027</v>
      </c>
      <c r="AO13" s="152">
        <f>SUM('[19]1990-2050 High estimate AR5'!AP10,'[19]1990-2050 High estimate AR5'!AP17,'[19]1990-2050 High estimate AR5'!AP24,'[19]1990-2050 High estimate AR5'!AP31,'[19]1990-2050 High estimate AR5'!AP45)</f>
        <v>69301.222918087369</v>
      </c>
      <c r="AP13" s="152">
        <f>SUM('[19]1990-2050 High estimate AR5'!AQ10,'[19]1990-2050 High estimate AR5'!AQ17,'[19]1990-2050 High estimate AR5'!AQ24,'[19]1990-2050 High estimate AR5'!AQ31,'[19]1990-2050 High estimate AR5'!AQ45)</f>
        <v>69020.051728305363</v>
      </c>
      <c r="AQ13" s="152">
        <f>SUM('[19]1990-2050 High estimate AR5'!AR10,'[19]1990-2050 High estimate AR5'!AR17,'[19]1990-2050 High estimate AR5'!AR24,'[19]1990-2050 High estimate AR5'!AR31,'[19]1990-2050 High estimate AR5'!AR45)</f>
        <v>68905.903551782656</v>
      </c>
      <c r="AR13" s="152">
        <f>SUM('[19]1990-2050 High estimate AR5'!AS10,'[19]1990-2050 High estimate AR5'!AS17,'[19]1990-2050 High estimate AR5'!AS24,'[19]1990-2050 High estimate AR5'!AS31,'[19]1990-2050 High estimate AR5'!AS45)</f>
        <v>68701.533911406208</v>
      </c>
      <c r="AS13" s="152">
        <f>SUM('[19]1990-2050 High estimate AR5'!AT10,'[19]1990-2050 High estimate AR5'!AT17,'[19]1990-2050 High estimate AR5'!AT24,'[19]1990-2050 High estimate AR5'!AT31,'[19]1990-2050 High estimate AR5'!AT45)</f>
        <v>68415.695839379914</v>
      </c>
      <c r="AT13" s="152">
        <f>SUM('[19]1990-2050 High estimate AR5'!AU10,'[19]1990-2050 High estimate AR5'!AU17,'[19]1990-2050 High estimate AR5'!AU24,'[19]1990-2050 High estimate AR5'!AU31,'[19]1990-2050 High estimate AR5'!AU45)</f>
        <v>68001.990228509589</v>
      </c>
      <c r="AU13" s="152">
        <f>SUM('[19]1990-2050 High estimate AR5'!AV10,'[19]1990-2050 High estimate AR5'!AV17,'[19]1990-2050 High estimate AR5'!AV24,'[19]1990-2050 High estimate AR5'!AV31,'[19]1990-2050 High estimate AR5'!AV45)</f>
        <v>67687.880667969323</v>
      </c>
      <c r="AV13" s="152">
        <f>SUM('[19]1990-2050 High estimate AR5'!AW10,'[19]1990-2050 High estimate AR5'!AW17,'[19]1990-2050 High estimate AR5'!AW24,'[19]1990-2050 High estimate AR5'!AW31,'[19]1990-2050 High estimate AR5'!AW45)</f>
        <v>67620.436178479911</v>
      </c>
      <c r="AW13" s="152">
        <f>SUM('[19]1990-2050 High estimate AR5'!AX10,'[19]1990-2050 High estimate AR5'!AX17,'[19]1990-2050 High estimate AR5'!AX24,'[19]1990-2050 High estimate AR5'!AX31,'[19]1990-2050 High estimate AR5'!AX45)</f>
        <v>67409.19608314443</v>
      </c>
      <c r="AX13" s="152">
        <f>SUM('[19]1990-2050 High estimate AR5'!AY10,'[19]1990-2050 High estimate AR5'!AY17,'[19]1990-2050 High estimate AR5'!AY24,'[19]1990-2050 High estimate AR5'!AY31,'[19]1990-2050 High estimate AR5'!AY45)</f>
        <v>66599.594024719248</v>
      </c>
      <c r="AY13" s="152">
        <f>SUM('[19]1990-2050 High estimate AR5'!AZ10,'[19]1990-2050 High estimate AR5'!AZ17,'[19]1990-2050 High estimate AR5'!AZ24,'[19]1990-2050 High estimate AR5'!AZ31,'[19]1990-2050 High estimate AR5'!AZ45)</f>
        <v>66286.636879983882</v>
      </c>
      <c r="AZ13" s="152">
        <f>SUM('[19]1990-2050 High estimate AR5'!BA10,'[19]1990-2050 High estimate AR5'!BA17,'[19]1990-2050 High estimate AR5'!BA24,'[19]1990-2050 High estimate AR5'!BA31,'[19]1990-2050 High estimate AR5'!BA45)</f>
        <v>66002.165063259454</v>
      </c>
      <c r="BA13" s="152">
        <f>SUM('[19]1990-2050 High estimate AR5'!BB10,'[19]1990-2050 High estimate AR5'!BB17,'[19]1990-2050 High estimate AR5'!BB24,'[19]1990-2050 High estimate AR5'!BB31,'[19]1990-2050 High estimate AR5'!BB45)</f>
        <v>65035.262855149973</v>
      </c>
      <c r="BB13" s="152">
        <f>SUM('[19]1990-2050 High estimate AR5'!BC10,'[19]1990-2050 High estimate AR5'!BC17,'[19]1990-2050 High estimate AR5'!BC24,'[19]1990-2050 High estimate AR5'!BC31,'[19]1990-2050 High estimate AR5'!BC45)</f>
        <v>64609.914801814783</v>
      </c>
      <c r="BC13" s="152">
        <f>SUM('[19]1990-2050 High estimate AR5'!BD10,'[19]1990-2050 High estimate AR5'!BD17,'[19]1990-2050 High estimate AR5'!BD24,'[19]1990-2050 High estimate AR5'!BD31,'[19]1990-2050 High estimate AR5'!BD45)</f>
        <v>64224.366592368962</v>
      </c>
      <c r="BD13" s="152">
        <f>SUM('[19]1990-2050 High estimate AR5'!BE10,'[19]1990-2050 High estimate AR5'!BE17,'[19]1990-2050 High estimate AR5'!BE24,'[19]1990-2050 High estimate AR5'!BE31,'[19]1990-2050 High estimate AR5'!BE45)</f>
        <v>63905.427857981485</v>
      </c>
      <c r="BE13" s="152">
        <f>SUM('[19]1990-2050 High estimate AR5'!BF10,'[19]1990-2050 High estimate AR5'!BF17,'[19]1990-2050 High estimate AR5'!BF24,'[19]1990-2050 High estimate AR5'!BF31,'[19]1990-2050 High estimate AR5'!BF45)</f>
        <v>63763.338120174136</v>
      </c>
      <c r="BF13" s="152">
        <f>SUM('[19]1990-2050 High estimate AR5'!BG10,'[19]1990-2050 High estimate AR5'!BG17,'[19]1990-2050 High estimate AR5'!BG24,'[19]1990-2050 High estimate AR5'!BG31,'[19]1990-2050 High estimate AR5'!BG45)</f>
        <v>63571.526406238569</v>
      </c>
      <c r="BG13" s="152">
        <f>SUM('[19]1990-2050 High estimate AR5'!BH10,'[19]1990-2050 High estimate AR5'!BH17,'[19]1990-2050 High estimate AR5'!BH24,'[19]1990-2050 High estimate AR5'!BH31,'[19]1990-2050 High estimate AR5'!BH45)</f>
        <v>63283.475199502864</v>
      </c>
      <c r="BH13" s="152">
        <f>SUM('[19]1990-2050 High estimate AR5'!BI10,'[19]1990-2050 High estimate AR5'!BI17,'[19]1990-2050 High estimate AR5'!BI24,'[19]1990-2050 High estimate AR5'!BI31,'[19]1990-2050 High estimate AR5'!BI45)</f>
        <v>62873.028672747336</v>
      </c>
      <c r="BI13" s="152">
        <f>SUM('[19]1990-2050 High estimate AR5'!BJ10,'[19]1990-2050 High estimate AR5'!BJ17,'[19]1990-2050 High estimate AR5'!BJ24,'[19]1990-2050 High estimate AR5'!BJ31,'[19]1990-2050 High estimate AR5'!BJ45)</f>
        <v>62543.324467360442</v>
      </c>
      <c r="BJ13" s="152">
        <f>SUM('[19]1990-2050 High estimate AR5'!BK10,'[19]1990-2050 High estimate AR5'!BK17,'[19]1990-2050 High estimate AR5'!BK24,'[19]1990-2050 High estimate AR5'!BK31,'[19]1990-2050 High estimate AR5'!BK45)</f>
        <v>61988.058553956871</v>
      </c>
    </row>
    <row r="14" spans="1:65">
      <c r="A14" s="151" t="s">
        <v>1058</v>
      </c>
      <c r="B14" s="152">
        <f>SUM('[19]1990-2050 Low estimate AR5'!C10,'[19]1990-2050 Low estimate AR5'!C17,'[19]1990-2050 Low estimate AR5'!C24,'[19]1990-2050 Low estimate AR5'!C31,'[19]1990-2050 Low estimate AR5'!C45)</f>
        <v>67898.859999999986</v>
      </c>
      <c r="C14" s="152">
        <f>SUM('[19]1990-2050 Low estimate AR5'!D10,'[19]1990-2050 Low estimate AR5'!D17,'[19]1990-2050 Low estimate AR5'!D24,'[19]1990-2050 Low estimate AR5'!D31,'[19]1990-2050 Low estimate AR5'!D45)</f>
        <v>68853.459999999992</v>
      </c>
      <c r="D14" s="152">
        <f>SUM('[19]1990-2050 Low estimate AR5'!E10,'[19]1990-2050 Low estimate AR5'!E17,'[19]1990-2050 Low estimate AR5'!E24,'[19]1990-2050 Low estimate AR5'!E31,'[19]1990-2050 Low estimate AR5'!E45)</f>
        <v>70004.28</v>
      </c>
      <c r="E14" s="152">
        <f>SUM('[19]1990-2050 Low estimate AR5'!F10,'[19]1990-2050 Low estimate AR5'!F17,'[19]1990-2050 Low estimate AR5'!F24,'[19]1990-2050 Low estimate AR5'!F31,'[19]1990-2050 Low estimate AR5'!F45)</f>
        <v>69879.820000000007</v>
      </c>
      <c r="F14" s="152">
        <f>SUM('[19]1990-2050 Low estimate AR5'!G10,'[19]1990-2050 Low estimate AR5'!G17,'[19]1990-2050 Low estimate AR5'!G24,'[19]1990-2050 Low estimate AR5'!G31,'[19]1990-2050 Low estimate AR5'!G45)</f>
        <v>71124.490000000005</v>
      </c>
      <c r="G14" s="152">
        <f>SUM('[19]1990-2050 Low estimate AR5'!H10,'[19]1990-2050 Low estimate AR5'!H17,'[19]1990-2050 Low estimate AR5'!H24,'[19]1990-2050 Low estimate AR5'!H31,'[19]1990-2050 Low estimate AR5'!H45)</f>
        <v>71693.27</v>
      </c>
      <c r="H14" s="152">
        <f>SUM('[19]1990-2050 Low estimate AR5'!I10,'[19]1990-2050 Low estimate AR5'!I17,'[19]1990-2050 Low estimate AR5'!I24,'[19]1990-2050 Low estimate AR5'!I31,'[19]1990-2050 Low estimate AR5'!I45)</f>
        <v>73867.7</v>
      </c>
      <c r="I14" s="152">
        <f>SUM('[19]1990-2050 Low estimate AR5'!J10,'[19]1990-2050 Low estimate AR5'!J17,'[19]1990-2050 Low estimate AR5'!J24,'[19]1990-2050 Low estimate AR5'!J31,'[19]1990-2050 Low estimate AR5'!J45)</f>
        <v>76751.549999999988</v>
      </c>
      <c r="J14" s="152">
        <f>SUM('[19]1990-2050 Low estimate AR5'!K10,'[19]1990-2050 Low estimate AR5'!K17,'[19]1990-2050 Low estimate AR5'!K24,'[19]1990-2050 Low estimate AR5'!K31,'[19]1990-2050 Low estimate AR5'!K45)</f>
        <v>74490.91</v>
      </c>
      <c r="K14" s="152">
        <f>SUM('[19]1990-2050 Low estimate AR5'!L10,'[19]1990-2050 Low estimate AR5'!L17,'[19]1990-2050 Low estimate AR5'!L24,'[19]1990-2050 Low estimate AR5'!L31,'[19]1990-2050 Low estimate AR5'!L45)</f>
        <v>76293.75</v>
      </c>
      <c r="L14" s="152">
        <f>SUM('[19]1990-2050 Low estimate AR5'!M10,'[19]1990-2050 Low estimate AR5'!M17,'[19]1990-2050 Low estimate AR5'!M24,'[19]1990-2050 Low estimate AR5'!M31,'[19]1990-2050 Low estimate AR5'!M45)</f>
        <v>78232.349999999991</v>
      </c>
      <c r="M14" s="152">
        <f>SUM('[19]1990-2050 Low estimate AR5'!N10,'[19]1990-2050 Low estimate AR5'!N17,'[19]1990-2050 Low estimate AR5'!N24,'[19]1990-2050 Low estimate AR5'!N31,'[19]1990-2050 Low estimate AR5'!N45)</f>
        <v>81114.95</v>
      </c>
      <c r="N14" s="152">
        <f>SUM('[19]1990-2050 Low estimate AR5'!O10,'[19]1990-2050 Low estimate AR5'!O17,'[19]1990-2050 Low estimate AR5'!O24,'[19]1990-2050 Low estimate AR5'!O31,'[19]1990-2050 Low estimate AR5'!O45)</f>
        <v>80985.650000000009</v>
      </c>
      <c r="O14" s="152">
        <f>SUM('[19]1990-2050 Low estimate AR5'!P10,'[19]1990-2050 Low estimate AR5'!P17,'[19]1990-2050 Low estimate AR5'!P24,'[19]1990-2050 Low estimate AR5'!P31,'[19]1990-2050 Low estimate AR5'!P45)</f>
        <v>83063.16</v>
      </c>
      <c r="P14" s="152">
        <f>SUM('[19]1990-2050 Low estimate AR5'!Q10,'[19]1990-2050 Low estimate AR5'!Q17,'[19]1990-2050 Low estimate AR5'!Q24,'[19]1990-2050 Low estimate AR5'!Q31,'[19]1990-2050 Low estimate AR5'!Q45)</f>
        <v>82924.810000000012</v>
      </c>
      <c r="Q14" s="152">
        <f>SUM('[19]1990-2050 Low estimate AR5'!R10,'[19]1990-2050 Low estimate AR5'!R17,'[19]1990-2050 Low estimate AR5'!R24,'[19]1990-2050 Low estimate AR5'!R31,'[19]1990-2050 Low estimate AR5'!R45)</f>
        <v>85023.140000000014</v>
      </c>
      <c r="R14" s="152">
        <f>SUM('[19]1990-2050 Low estimate AR5'!S10,'[19]1990-2050 Low estimate AR5'!S17,'[19]1990-2050 Low estimate AR5'!S24,'[19]1990-2050 Low estimate AR5'!S31,'[19]1990-2050 Low estimate AR5'!S45)</f>
        <v>85179.5</v>
      </c>
      <c r="S14" s="152">
        <f>SUM('[19]1990-2050 Low estimate AR5'!T10,'[19]1990-2050 Low estimate AR5'!T17,'[19]1990-2050 Low estimate AR5'!T24,'[19]1990-2050 Low estimate AR5'!T31,'[19]1990-2050 Low estimate AR5'!T45)</f>
        <v>83012.009999999995</v>
      </c>
      <c r="T14" s="152">
        <f>SUM('[19]1990-2050 Low estimate AR5'!U10,'[19]1990-2050 Low estimate AR5'!U17,'[19]1990-2050 Low estimate AR5'!U24,'[19]1990-2050 Low estimate AR5'!U31,'[19]1990-2050 Low estimate AR5'!U45)</f>
        <v>82551.940000000017</v>
      </c>
      <c r="U14" s="152">
        <f>SUM('[19]1990-2050 Low estimate AR5'!V10,'[19]1990-2050 Low estimate AR5'!V17,'[19]1990-2050 Low estimate AR5'!V24,'[19]1990-2050 Low estimate AR5'!V31,'[19]1990-2050 Low estimate AR5'!V45)</f>
        <v>79879.7</v>
      </c>
      <c r="V14" s="152">
        <f>SUM('[19]1990-2050 Low estimate AR5'!W10,'[19]1990-2050 Low estimate AR5'!W17,'[19]1990-2050 Low estimate AR5'!W24,'[19]1990-2050 Low estimate AR5'!W31,'[19]1990-2050 Low estimate AR5'!W45)</f>
        <v>80586.36</v>
      </c>
      <c r="W14" s="152">
        <f>SUM('[19]1990-2050 Low estimate AR5'!X10,'[19]1990-2050 Low estimate AR5'!X17,'[19]1990-2050 Low estimate AR5'!X24,'[19]1990-2050 Low estimate AR5'!X31,'[19]1990-2050 Low estimate AR5'!X45)</f>
        <v>80356.850000000006</v>
      </c>
      <c r="X14" s="152">
        <f>SUM('[19]1990-2050 Low estimate AR5'!Y10,'[19]1990-2050 Low estimate AR5'!Y17,'[19]1990-2050 Low estimate AR5'!Y24,'[19]1990-2050 Low estimate AR5'!Y31,'[19]1990-2050 Low estimate AR5'!Y45)</f>
        <v>82350.799999999988</v>
      </c>
      <c r="Y14" s="152">
        <f>SUM('[19]1990-2050 Low estimate AR5'!Z10,'[19]1990-2050 Low estimate AR5'!Z17,'[19]1990-2050 Low estimate AR5'!Z24,'[19]1990-2050 Low estimate AR5'!Z31,'[19]1990-2050 Low estimate AR5'!Z45)</f>
        <v>81685.17</v>
      </c>
      <c r="Z14" s="152">
        <f>SUM('[19]1990-2050 Low estimate AR5'!AA10,'[19]1990-2050 Low estimate AR5'!AA17,'[19]1990-2050 Low estimate AR5'!AA24,'[19]1990-2050 Low estimate AR5'!AA31,'[19]1990-2050 Low estimate AR5'!AA45)</f>
        <v>82470.44</v>
      </c>
      <c r="AA14" s="152">
        <f>SUM('[19]1990-2050 Low estimate AR5'!AB10,'[19]1990-2050 Low estimate AR5'!AB17,'[19]1990-2050 Low estimate AR5'!AB24,'[19]1990-2050 Low estimate AR5'!AB31,'[19]1990-2050 Low estimate AR5'!AB45)</f>
        <v>82231.47</v>
      </c>
      <c r="AB14" s="152">
        <f>SUM('[19]1990-2050 Low estimate AR5'!AC10,'[19]1990-2050 Low estimate AR5'!AC17,'[19]1990-2050 Low estimate AR5'!AC24,'[19]1990-2050 Low estimate AR5'!AC31,'[19]1990-2050 Low estimate AR5'!AC45)</f>
        <v>80046.34</v>
      </c>
      <c r="AC14" s="152">
        <f>SUM('[19]1990-2050 Low estimate AR5'!AD10,'[19]1990-2050 Low estimate AR5'!AD17,'[19]1990-2050 Low estimate AR5'!AD24,'[19]1990-2050 Low estimate AR5'!AD31,'[19]1990-2050 Low estimate AR5'!AD45)</f>
        <v>81608.639999999999</v>
      </c>
      <c r="AD14" s="152">
        <f>SUM('[19]1990-2050 Low estimate AR5'!AE10,'[19]1990-2050 Low estimate AR5'!AE17,'[19]1990-2050 Low estimate AR5'!AE24,'[19]1990-2050 Low estimate AR5'!AE31,'[19]1990-2050 Low estimate AR5'!AE45)</f>
        <v>81862.11</v>
      </c>
      <c r="AE14" s="152">
        <f>SUM('[19]1990-2050 Low estimate AR5'!AF10,'[19]1990-2050 Low estimate AR5'!AF17,'[19]1990-2050 Low estimate AR5'!AF24,'[19]1990-2050 Low estimate AR5'!AF31,'[19]1990-2050 Low estimate AR5'!AF45)</f>
        <v>82926.91</v>
      </c>
      <c r="AF14" s="152">
        <f>SUM('[19]1990-2050 Low estimate AR5'!AG10,'[19]1990-2050 Low estimate AR5'!AG17,'[19]1990-2050 Low estimate AR5'!AG24,'[19]1990-2050 Low estimate AR5'!AG31,'[19]1990-2050 Low estimate AR5'!AG45)</f>
        <v>80169.154123400003</v>
      </c>
      <c r="AG14" s="153">
        <f>SUM('[19]1990-2050 Low estimate AR5'!AH10,'[19]1990-2050 Low estimate AR5'!AH17,'[19]1990-2050 Low estimate AR5'!AH24,'[19]1990-2050 Low estimate AR5'!AH31,'[19]1990-2050 Low estimate AR5'!AH45)</f>
        <v>79851.318563099994</v>
      </c>
      <c r="AH14" s="152">
        <f>SUM('[19]1990-2050 Low estimate AR5'!AI10,'[19]1990-2050 Low estimate AR5'!AI17,'[19]1990-2050 Low estimate AR5'!AI24,'[19]1990-2050 Low estimate AR5'!AI31,'[19]1990-2050 Low estimate AR5'!AI45)</f>
        <v>76134.871180287664</v>
      </c>
      <c r="AI14" s="152">
        <f>SUM('[19]1990-2050 Low estimate AR5'!AJ10,'[19]1990-2050 Low estimate AR5'!AJ17,'[19]1990-2050 Low estimate AR5'!AJ24,'[19]1990-2050 Low estimate AR5'!AJ31,'[19]1990-2050 Low estimate AR5'!AJ45)</f>
        <v>76387.045630654757</v>
      </c>
      <c r="AJ14" s="152">
        <f>SUM('[19]1990-2050 Low estimate AR5'!AK10,'[19]1990-2050 Low estimate AR5'!AK17,'[19]1990-2050 Low estimate AR5'!AK24,'[19]1990-2050 Low estimate AR5'!AK31,'[19]1990-2050 Low estimate AR5'!AK45)</f>
        <v>74589.027464505591</v>
      </c>
      <c r="AK14" s="152">
        <f>SUM('[19]1990-2050 Low estimate AR5'!AL10,'[19]1990-2050 Low estimate AR5'!AL17,'[19]1990-2050 Low estimate AR5'!AL24,'[19]1990-2050 Low estimate AR5'!AL31,'[19]1990-2050 Low estimate AR5'!AL45)</f>
        <v>70534.158998614745</v>
      </c>
      <c r="AL14" s="152">
        <f>SUM('[19]1990-2050 Low estimate AR5'!AM10,'[19]1990-2050 Low estimate AR5'!AM17,'[19]1990-2050 Low estimate AR5'!AM24,'[19]1990-2050 Low estimate AR5'!AM31,'[19]1990-2050 Low estimate AR5'!AM45)</f>
        <v>69196.110937409656</v>
      </c>
      <c r="AM14" s="152">
        <f>SUM('[19]1990-2050 Low estimate AR5'!AN10,'[19]1990-2050 Low estimate AR5'!AN17,'[19]1990-2050 Low estimate AR5'!AN24,'[19]1990-2050 Low estimate AR5'!AN31,'[19]1990-2050 Low estimate AR5'!AN45)</f>
        <v>67837.032020931874</v>
      </c>
      <c r="AN14" s="152">
        <f>SUM('[19]1990-2050 Low estimate AR5'!AO10,'[19]1990-2050 Low estimate AR5'!AO17,'[19]1990-2050 Low estimate AR5'!AO24,'[19]1990-2050 Low estimate AR5'!AO31,'[19]1990-2050 Low estimate AR5'!AO45)</f>
        <v>66853.997854915593</v>
      </c>
      <c r="AO14" s="152">
        <f>SUM('[19]1990-2050 Low estimate AR5'!AP10,'[19]1990-2050 Low estimate AR5'!AP17,'[19]1990-2050 Low estimate AR5'!AP24,'[19]1990-2050 Low estimate AR5'!AP31,'[19]1990-2050 Low estimate AR5'!AP45)</f>
        <v>65592.044752635542</v>
      </c>
      <c r="AP14" s="152">
        <f>SUM('[19]1990-2050 Low estimate AR5'!AQ10,'[19]1990-2050 Low estimate AR5'!AQ17,'[19]1990-2050 Low estimate AR5'!AQ24,'[19]1990-2050 Low estimate AR5'!AQ31,'[19]1990-2050 Low estimate AR5'!AQ45)</f>
        <v>64517.509217420957</v>
      </c>
      <c r="AQ14" s="152">
        <f>SUM('[19]1990-2050 Low estimate AR5'!AR10,'[19]1990-2050 Low estimate AR5'!AR17,'[19]1990-2050 Low estimate AR5'!AR24,'[19]1990-2050 Low estimate AR5'!AR31,'[19]1990-2050 Low estimate AR5'!AR45)</f>
        <v>63596.728940121429</v>
      </c>
      <c r="AR14" s="152">
        <f>SUM('[19]1990-2050 Low estimate AR5'!AS10,'[19]1990-2050 Low estimate AR5'!AS17,'[19]1990-2050 Low estimate AR5'!AS24,'[19]1990-2050 Low estimate AR5'!AS31,'[19]1990-2050 Low estimate AR5'!AS45)</f>
        <v>62577.954045240898</v>
      </c>
      <c r="AS14" s="152">
        <f>SUM('[19]1990-2050 Low estimate AR5'!AT10,'[19]1990-2050 Low estimate AR5'!AT17,'[19]1990-2050 Low estimate AR5'!AT24,'[19]1990-2050 Low estimate AR5'!AT31,'[19]1990-2050 Low estimate AR5'!AT45)</f>
        <v>61916.938489708176</v>
      </c>
      <c r="AT14" s="152">
        <f>SUM('[19]1990-2050 Low estimate AR5'!AU10,'[19]1990-2050 Low estimate AR5'!AU17,'[19]1990-2050 Low estimate AR5'!AU24,'[19]1990-2050 Low estimate AR5'!AU31,'[19]1990-2050 Low estimate AR5'!AU45)</f>
        <v>61045.914809957656</v>
      </c>
      <c r="AU14" s="152">
        <f>SUM('[19]1990-2050 Low estimate AR5'!AV10,'[19]1990-2050 Low estimate AR5'!AV17,'[19]1990-2050 Low estimate AR5'!AV24,'[19]1990-2050 Low estimate AR5'!AV31,'[19]1990-2050 Low estimate AR5'!AV45)</f>
        <v>60333.395591972941</v>
      </c>
      <c r="AV14" s="152">
        <f>SUM('[19]1990-2050 Low estimate AR5'!AW10,'[19]1990-2050 Low estimate AR5'!AW17,'[19]1990-2050 Low estimate AR5'!AW24,'[19]1990-2050 Low estimate AR5'!AW31,'[19]1990-2050 Low estimate AR5'!AW45)</f>
        <v>59835.759514021964</v>
      </c>
      <c r="AW14" s="152">
        <f>SUM('[19]1990-2050 Low estimate AR5'!AX10,'[19]1990-2050 Low estimate AR5'!AX17,'[19]1990-2050 Low estimate AR5'!AX24,'[19]1990-2050 Low estimate AR5'!AX31,'[19]1990-2050 Low estimate AR5'!AX45)</f>
        <v>59173.943039882586</v>
      </c>
      <c r="AX14" s="152">
        <f>SUM('[19]1990-2050 Low estimate AR5'!AY10,'[19]1990-2050 Low estimate AR5'!AY17,'[19]1990-2050 Low estimate AR5'!AY24,'[19]1990-2050 Low estimate AR5'!AY31,'[19]1990-2050 Low estimate AR5'!AY45)</f>
        <v>57630.556956356697</v>
      </c>
      <c r="AY14" s="152">
        <f>SUM('[19]1990-2050 Low estimate AR5'!AZ10,'[19]1990-2050 Low estimate AR5'!AZ17,'[19]1990-2050 Low estimate AR5'!AZ24,'[19]1990-2050 Low estimate AR5'!AZ31,'[19]1990-2050 Low estimate AR5'!AZ45)</f>
        <v>56852.658578016904</v>
      </c>
      <c r="AZ14" s="152">
        <f>SUM('[19]1990-2050 Low estimate AR5'!BA10,'[19]1990-2050 Low estimate AR5'!BA17,'[19]1990-2050 Low estimate AR5'!BA24,'[19]1990-2050 Low estimate AR5'!BA31,'[19]1990-2050 Low estimate AR5'!BA45)</f>
        <v>56135.543199020845</v>
      </c>
      <c r="BA14" s="152">
        <f>SUM('[19]1990-2050 Low estimate AR5'!BB10,'[19]1990-2050 Low estimate AR5'!BB17,'[19]1990-2050 Low estimate AR5'!BB24,'[19]1990-2050 Low estimate AR5'!BB31,'[19]1990-2050 Low estimate AR5'!BB45)</f>
        <v>54802.973001390121</v>
      </c>
      <c r="BB14" s="152">
        <f>SUM('[19]1990-2050 Low estimate AR5'!BC10,'[19]1990-2050 Low estimate AR5'!BC17,'[19]1990-2050 Low estimate AR5'!BC24,'[19]1990-2050 Low estimate AR5'!BC31,'[19]1990-2050 Low estimate AR5'!BC45)</f>
        <v>54126.612659529812</v>
      </c>
      <c r="BC14" s="152">
        <f>SUM('[19]1990-2050 Low estimate AR5'!BD10,'[19]1990-2050 Low estimate AR5'!BD17,'[19]1990-2050 Low estimate AR5'!BD24,'[19]1990-2050 Low estimate AR5'!BD31,'[19]1990-2050 Low estimate AR5'!BD45)</f>
        <v>53532.177485203443</v>
      </c>
      <c r="BD14" s="152">
        <f>SUM('[19]1990-2050 Low estimate AR5'!BE10,'[19]1990-2050 Low estimate AR5'!BE17,'[19]1990-2050 Low estimate AR5'!BE24,'[19]1990-2050 Low estimate AR5'!BE31,'[19]1990-2050 Low estimate AR5'!BE45)</f>
        <v>53001.349225969214</v>
      </c>
      <c r="BE14" s="152">
        <f>SUM('[19]1990-2050 Low estimate AR5'!BF10,'[19]1990-2050 Low estimate AR5'!BF17,'[19]1990-2050 Low estimate AR5'!BF24,'[19]1990-2050 Low estimate AR5'!BF31,'[19]1990-2050 Low estimate AR5'!BF45)</f>
        <v>52523.216257919928</v>
      </c>
      <c r="BF14" s="152">
        <f>SUM('[19]1990-2050 Low estimate AR5'!BG10,'[19]1990-2050 Low estimate AR5'!BG17,'[19]1990-2050 Low estimate AR5'!BG24,'[19]1990-2050 Low estimate AR5'!BG31,'[19]1990-2050 Low estimate AR5'!BG45)</f>
        <v>52106.602285801317</v>
      </c>
      <c r="BG14" s="152">
        <f>SUM('[19]1990-2050 Low estimate AR5'!BH10,'[19]1990-2050 Low estimate AR5'!BH17,'[19]1990-2050 Low estimate AR5'!BH24,'[19]1990-2050 Low estimate AR5'!BH31,'[19]1990-2050 Low estimate AR5'!BH45)</f>
        <v>51591.728323776741</v>
      </c>
      <c r="BH14" s="152">
        <f>SUM('[19]1990-2050 Low estimate AR5'!BI10,'[19]1990-2050 Low estimate AR5'!BI17,'[19]1990-2050 Low estimate AR5'!BI24,'[19]1990-2050 Low estimate AR5'!BI31,'[19]1990-2050 Low estimate AR5'!BI45)</f>
        <v>50971.142546163734</v>
      </c>
      <c r="BI14" s="152">
        <f>SUM('[19]1990-2050 Low estimate AR5'!BJ10,'[19]1990-2050 Low estimate AR5'!BJ17,'[19]1990-2050 Low estimate AR5'!BJ24,'[19]1990-2050 Low estimate AR5'!BJ31,'[19]1990-2050 Low estimate AR5'!BJ45)</f>
        <v>50401.883359686937</v>
      </c>
      <c r="BJ14" s="152">
        <f>SUM('[19]1990-2050 Low estimate AR5'!BK10,'[19]1990-2050 Low estimate AR5'!BK17,'[19]1990-2050 Low estimate AR5'!BK24,'[19]1990-2050 Low estimate AR5'!BK31,'[19]1990-2050 Low estimate AR5'!BK45)</f>
        <v>49867.277761040576</v>
      </c>
    </row>
    <row r="15" spans="1:65">
      <c r="A15" s="151" t="s">
        <v>1059</v>
      </c>
      <c r="B15" s="152">
        <f>SUM('1990-2050 Central estimate AR5'!C10,'1990-2050 Central estimate AR5'!C17,'1990-2050 Central estimate AR5'!C24,'1990-2050 Central estimate AR5'!C31,'1990-2050 Central estimate AR5'!C38,'1990-2050 Central estimate AR5'!C45)</f>
        <v>68749.109999999986</v>
      </c>
      <c r="C15" s="152">
        <f>SUM('1990-2050 Central estimate AR5'!D10,'1990-2050 Central estimate AR5'!D17,'1990-2050 Central estimate AR5'!D24,'1990-2050 Central estimate AR5'!D31,'1990-2050 Central estimate AR5'!D38,'1990-2050 Central estimate AR5'!D45)</f>
        <v>69711.829999999987</v>
      </c>
      <c r="D15" s="152">
        <f>SUM('1990-2050 Central estimate AR5'!E10,'1990-2050 Central estimate AR5'!E17,'1990-2050 Central estimate AR5'!E24,'1990-2050 Central estimate AR5'!E31,'1990-2050 Central estimate AR5'!E38,'1990-2050 Central estimate AR5'!E45)</f>
        <v>71121.709999999992</v>
      </c>
      <c r="E15" s="152">
        <f>SUM('1990-2050 Central estimate AR5'!F10,'1990-2050 Central estimate AR5'!F17,'1990-2050 Central estimate AR5'!F24,'1990-2050 Central estimate AR5'!F31,'1990-2050 Central estimate AR5'!F38,'1990-2050 Central estimate AR5'!F45)</f>
        <v>71070.94</v>
      </c>
      <c r="F15" s="152">
        <f>SUM('1990-2050 Central estimate AR5'!G10,'1990-2050 Central estimate AR5'!G17,'1990-2050 Central estimate AR5'!G24,'1990-2050 Central estimate AR5'!G31,'1990-2050 Central estimate AR5'!G38,'1990-2050 Central estimate AR5'!G45)</f>
        <v>72452.98000000001</v>
      </c>
      <c r="G15" s="152">
        <f>SUM('1990-2050 Central estimate AR5'!H10,'1990-2050 Central estimate AR5'!H17,'1990-2050 Central estimate AR5'!H24,'1990-2050 Central estimate AR5'!H31,'1990-2050 Central estimate AR5'!H38,'1990-2050 Central estimate AR5'!H45)</f>
        <v>72574.66</v>
      </c>
      <c r="H15" s="152">
        <f>SUM('1990-2050 Central estimate AR5'!I10,'1990-2050 Central estimate AR5'!I17,'1990-2050 Central estimate AR5'!I24,'1990-2050 Central estimate AR5'!I31,'1990-2050 Central estimate AR5'!I38,'1990-2050 Central estimate AR5'!I45)</f>
        <v>73931.149999999994</v>
      </c>
      <c r="I15" s="152">
        <f>SUM('1990-2050 Central estimate AR5'!J10,'1990-2050 Central estimate AR5'!J17,'1990-2050 Central estimate AR5'!J24,'1990-2050 Central estimate AR5'!J31,'1990-2050 Central estimate AR5'!J38,'1990-2050 Central estimate AR5'!J45)</f>
        <v>75431.91</v>
      </c>
      <c r="J15" s="152">
        <f>SUM('1990-2050 Central estimate AR5'!K10,'1990-2050 Central estimate AR5'!K17,'1990-2050 Central estimate AR5'!K24,'1990-2050 Central estimate AR5'!K31,'1990-2050 Central estimate AR5'!K38,'1990-2050 Central estimate AR5'!K45)</f>
        <v>71120.53</v>
      </c>
      <c r="K15" s="152">
        <f>SUM('1990-2050 Central estimate AR5'!L10,'1990-2050 Central estimate AR5'!L17,'1990-2050 Central estimate AR5'!L24,'1990-2050 Central estimate AR5'!L31,'1990-2050 Central estimate AR5'!L38,'1990-2050 Central estimate AR5'!L45)</f>
        <v>70394.09</v>
      </c>
      <c r="L15" s="152">
        <f>SUM('1990-2050 Central estimate AR5'!M10,'1990-2050 Central estimate AR5'!M17,'1990-2050 Central estimate AR5'!M24,'1990-2050 Central estimate AR5'!M31,'1990-2050 Central estimate AR5'!M38,'1990-2050 Central estimate AR5'!M45)</f>
        <v>72186.359999999986</v>
      </c>
      <c r="M15" s="152">
        <f>SUM('1990-2050 Central estimate AR5'!N10,'1990-2050 Central estimate AR5'!N17,'1990-2050 Central estimate AR5'!N24,'1990-2050 Central estimate AR5'!N31,'1990-2050 Central estimate AR5'!N38,'1990-2050 Central estimate AR5'!N45)</f>
        <v>72554.259999999995</v>
      </c>
      <c r="N15" s="152">
        <f>SUM('1990-2050 Central estimate AR5'!O10,'1990-2050 Central estimate AR5'!O17,'1990-2050 Central estimate AR5'!O24,'1990-2050 Central estimate AR5'!O31,'1990-2050 Central estimate AR5'!O38,'1990-2050 Central estimate AR5'!O45)</f>
        <v>70495.610000000015</v>
      </c>
      <c r="O15" s="152">
        <f>SUM('1990-2050 Central estimate AR5'!P10,'1990-2050 Central estimate AR5'!P17,'1990-2050 Central estimate AR5'!P24,'1990-2050 Central estimate AR5'!P31,'1990-2050 Central estimate AR5'!P38,'1990-2050 Central estimate AR5'!P45)</f>
        <v>72831.950000000012</v>
      </c>
      <c r="P15" s="152">
        <f>SUM('1990-2050 Central estimate AR5'!Q10,'1990-2050 Central estimate AR5'!Q17,'1990-2050 Central estimate AR5'!Q24,'1990-2050 Central estimate AR5'!Q31,'1990-2050 Central estimate AR5'!Q38,'1990-2050 Central estimate AR5'!Q45)</f>
        <v>74966.63</v>
      </c>
      <c r="Q15" s="152">
        <f>SUM('1990-2050 Central estimate AR5'!R10,'1990-2050 Central estimate AR5'!R17,'1990-2050 Central estimate AR5'!R24,'1990-2050 Central estimate AR5'!R31,'1990-2050 Central estimate AR5'!R38,'1990-2050 Central estimate AR5'!R45)</f>
        <v>80981.460000000021</v>
      </c>
      <c r="R15" s="152">
        <f>SUM('1990-2050 Central estimate AR5'!S10,'1990-2050 Central estimate AR5'!S17,'1990-2050 Central estimate AR5'!S24,'1990-2050 Central estimate AR5'!S31,'1990-2050 Central estimate AR5'!S38,'1990-2050 Central estimate AR5'!S45)</f>
        <v>83773.59</v>
      </c>
      <c r="S15" s="152">
        <f>SUM('1990-2050 Central estimate AR5'!T10,'1990-2050 Central estimate AR5'!T17,'1990-2050 Central estimate AR5'!T24,'1990-2050 Central estimate AR5'!T31,'1990-2050 Central estimate AR5'!T38,'1990-2050 Central estimate AR5'!T45)</f>
        <v>85998.47</v>
      </c>
      <c r="T15" s="152">
        <f>SUM('1990-2050 Central estimate AR5'!U10,'1990-2050 Central estimate AR5'!U17,'1990-2050 Central estimate AR5'!U24,'1990-2050 Central estimate AR5'!U31,'1990-2050 Central estimate AR5'!U38,'1990-2050 Central estimate AR5'!U45)</f>
        <v>68739.040000000008</v>
      </c>
      <c r="U15" s="152">
        <f>SUM('1990-2050 Central estimate AR5'!V10,'1990-2050 Central estimate AR5'!V17,'1990-2050 Central estimate AR5'!V24,'1990-2050 Central estimate AR5'!V31,'1990-2050 Central estimate AR5'!V38,'1990-2050 Central estimate AR5'!V45)</f>
        <v>68097.509999999995</v>
      </c>
      <c r="V15" s="152">
        <f>SUM('1990-2050 Central estimate AR5'!W10,'1990-2050 Central estimate AR5'!W17,'1990-2050 Central estimate AR5'!W24,'1990-2050 Central estimate AR5'!W31,'1990-2050 Central estimate AR5'!W38,'1990-2050 Central estimate AR5'!W45)</f>
        <v>68916.19</v>
      </c>
      <c r="W15" s="152">
        <f>SUM('1990-2050 Central estimate AR5'!X10,'1990-2050 Central estimate AR5'!X17,'1990-2050 Central estimate AR5'!X24,'1990-2050 Central estimate AR5'!X31,'1990-2050 Central estimate AR5'!X38,'1990-2050 Central estimate AR5'!X45)</f>
        <v>67577.81</v>
      </c>
      <c r="X15" s="152">
        <f>SUM('1990-2050 Central estimate AR5'!Y10,'1990-2050 Central estimate AR5'!Y17,'1990-2050 Central estimate AR5'!Y24,'1990-2050 Central estimate AR5'!Y31,'1990-2050 Central estimate AR5'!Y38,'1990-2050 Central estimate AR5'!Y45)</f>
        <v>71313.839999999982</v>
      </c>
      <c r="Y15" s="152">
        <f>SUM('1990-2050 Central estimate AR5'!Z10,'1990-2050 Central estimate AR5'!Z17,'1990-2050 Central estimate AR5'!Z24,'1990-2050 Central estimate AR5'!Z31,'1990-2050 Central estimate AR5'!Z38,'1990-2050 Central estimate AR5'!Z45)</f>
        <v>72960.429999999993</v>
      </c>
      <c r="Z15" s="152">
        <f>SUM('1990-2050 Central estimate AR5'!AA10,'1990-2050 Central estimate AR5'!AA17,'1990-2050 Central estimate AR5'!AA24,'1990-2050 Central estimate AR5'!AA31,'1990-2050 Central estimate AR5'!AA38,'1990-2050 Central estimate AR5'!AA45)</f>
        <v>71237.69</v>
      </c>
      <c r="AA15" s="152">
        <f>SUM('1990-2050 Central estimate AR5'!AB10,'1990-2050 Central estimate AR5'!AB17,'1990-2050 Central estimate AR5'!AB24,'1990-2050 Central estimate AR5'!AB31,'1990-2050 Central estimate AR5'!AB38,'1990-2050 Central estimate AR5'!AB45)</f>
        <v>70346.61</v>
      </c>
      <c r="AB15" s="152">
        <f>SUM('1990-2050 Central estimate AR5'!AC10,'1990-2050 Central estimate AR5'!AC17,'1990-2050 Central estimate AR5'!AC24,'1990-2050 Central estimate AR5'!AC31,'1990-2050 Central estimate AR5'!AC38,'1990-2050 Central estimate AR5'!AC45)</f>
        <v>68736.69</v>
      </c>
      <c r="AC15" s="152">
        <f>SUM('1990-2050 Central estimate AR5'!AD10,'1990-2050 Central estimate AR5'!AD17,'1990-2050 Central estimate AR5'!AD24,'1990-2050 Central estimate AR5'!AD31,'1990-2050 Central estimate AR5'!AD38,'1990-2050 Central estimate AR5'!AD45)</f>
        <v>71449.929999999993</v>
      </c>
      <c r="AD15" s="152">
        <f>SUM('1990-2050 Central estimate AR5'!AE10,'1990-2050 Central estimate AR5'!AE17,'1990-2050 Central estimate AR5'!AE24,'1990-2050 Central estimate AR5'!AE31,'1990-2050 Central estimate AR5'!AE38,'1990-2050 Central estimate AR5'!AE45)</f>
        <v>71738.02</v>
      </c>
      <c r="AE15" s="152">
        <f>SUM('1990-2050 Central estimate AR5'!AF10,'1990-2050 Central estimate AR5'!AF17,'1990-2050 Central estimate AR5'!AF24,'1990-2050 Central estimate AR5'!AF31,'1990-2050 Central estimate AR5'!AF38,'1990-2050 Central estimate AR5'!AF45)</f>
        <v>73724.27</v>
      </c>
      <c r="AF15" s="152">
        <f>SUM('1990-2050 Central estimate AR5'!AG10,'1990-2050 Central estimate AR5'!AG17,'1990-2050 Central estimate AR5'!AG24,'1990-2050 Central estimate AR5'!AG31,'1990-2050 Central estimate AR5'!AG38,'1990-2050 Central estimate AR5'!AG45)</f>
        <v>72463.734123400005</v>
      </c>
      <c r="AG15" s="153">
        <f>SUM('1990-2050 Central estimate AR5'!AH10,'1990-2050 Central estimate AR5'!AH17,'1990-2050 Central estimate AR5'!AH24,'1990-2050 Central estimate AR5'!AH31,'1990-2050 Central estimate AR5'!AH38,'1990-2050 Central estimate AR5'!AH45)</f>
        <v>72820.18856309999</v>
      </c>
      <c r="AH15" s="152">
        <f>SUM('1990-2050 Central estimate AR5'!AI10,'1990-2050 Central estimate AR5'!AI17,'1990-2050 Central estimate AR5'!AI24,'1990-2050 Central estimate AR5'!AI31,'1990-2050 Central estimate AR5'!AI38,'1990-2050 Central estimate AR5'!AI45)</f>
        <v>70305.753734979167</v>
      </c>
      <c r="AI15" s="152">
        <f>SUM('1990-2050 Central estimate AR5'!AJ10,'1990-2050 Central estimate AR5'!AJ17,'1990-2050 Central estimate AR5'!AJ24,'1990-2050 Central estimate AR5'!AJ31,'1990-2050 Central estimate AR5'!AJ38,'1990-2050 Central estimate AR5'!AJ45)</f>
        <v>71549.285937157139</v>
      </c>
      <c r="AJ15" s="152">
        <f>SUM('1990-2050 Central estimate AR5'!AK10,'1990-2050 Central estimate AR5'!AK17,'1990-2050 Central estimate AR5'!AK24,'1990-2050 Central estimate AR5'!AK31,'1990-2050 Central estimate AR5'!AK38,'1990-2050 Central estimate AR5'!AK45)</f>
        <v>70230.315474994422</v>
      </c>
      <c r="AK15" s="152">
        <f>SUM('1990-2050 Central estimate AR5'!AL10,'1990-2050 Central estimate AR5'!AL17,'1990-2050 Central estimate AR5'!AL24,'1990-2050 Central estimate AR5'!AL31,'1990-2050 Central estimate AR5'!AL38,'1990-2050 Central estimate AR5'!AL45)</f>
        <v>65305.746726460755</v>
      </c>
      <c r="AL15" s="152">
        <f>SUM('1990-2050 Central estimate AR5'!AM10,'1990-2050 Central estimate AR5'!AM17,'1990-2050 Central estimate AR5'!AM24,'1990-2050 Central estimate AR5'!AM31,'1990-2050 Central estimate AR5'!AM38,'1990-2050 Central estimate AR5'!AM45)</f>
        <v>62566.331761475776</v>
      </c>
      <c r="AM15" s="152">
        <f>SUM('1990-2050 Central estimate AR5'!AN10,'1990-2050 Central estimate AR5'!AN17,'1990-2050 Central estimate AR5'!AN24,'1990-2050 Central estimate AR5'!AN31,'1990-2050 Central estimate AR5'!AN38,'1990-2050 Central estimate AR5'!AN45)</f>
        <v>59302.136574380136</v>
      </c>
      <c r="AN15" s="152">
        <f>SUM('1990-2050 Central estimate AR5'!AO10,'1990-2050 Central estimate AR5'!AO17,'1990-2050 Central estimate AR5'!AO24,'1990-2050 Central estimate AR5'!AO31,'1990-2050 Central estimate AR5'!AO38,'1990-2050 Central estimate AR5'!AO45)</f>
        <v>56075.792413890144</v>
      </c>
      <c r="AO15" s="152">
        <f>SUM('1990-2050 Central estimate AR5'!AP10,'1990-2050 Central estimate AR5'!AP17,'1990-2050 Central estimate AR5'!AP24,'1990-2050 Central estimate AR5'!AP31,'1990-2050 Central estimate AR5'!AP38,'1990-2050 Central estimate AR5'!AP45)</f>
        <v>52934.649230111012</v>
      </c>
      <c r="AP15" s="152">
        <f>SUM('1990-2050 Central estimate AR5'!AQ10,'1990-2050 Central estimate AR5'!AQ17,'1990-2050 Central estimate AR5'!AQ24,'1990-2050 Central estimate AR5'!AQ31,'1990-2050 Central estimate AR5'!AQ38,'1990-2050 Central estimate AR5'!AQ45)</f>
        <v>50449.438602699483</v>
      </c>
      <c r="AQ15" s="152">
        <f>SUM('1990-2050 Central estimate AR5'!AR10,'1990-2050 Central estimate AR5'!AR17,'1990-2050 Central estimate AR5'!AR24,'1990-2050 Central estimate AR5'!AR31,'1990-2050 Central estimate AR5'!AR38,'1990-2050 Central estimate AR5'!AR45)</f>
        <v>48996.190419538652</v>
      </c>
      <c r="AR15" s="152">
        <f>SUM('1990-2050 Central estimate AR5'!AS10,'1990-2050 Central estimate AR5'!AS17,'1990-2050 Central estimate AR5'!AS24,'1990-2050 Central estimate AR5'!AS31,'1990-2050 Central estimate AR5'!AS38,'1990-2050 Central estimate AR5'!AS45)</f>
        <v>47927.571345567187</v>
      </c>
      <c r="AS15" s="152">
        <f>SUM('1990-2050 Central estimate AR5'!AT10,'1990-2050 Central estimate AR5'!AT17,'1990-2050 Central estimate AR5'!AT24,'1990-2050 Central estimate AR5'!AT31,'1990-2050 Central estimate AR5'!AT38,'1990-2050 Central estimate AR5'!AT45)</f>
        <v>46711.365404871554</v>
      </c>
      <c r="AT15" s="152">
        <f>SUM('1990-2050 Central estimate AR5'!AU10,'1990-2050 Central estimate AR5'!AU17,'1990-2050 Central estimate AR5'!AU24,'1990-2050 Central estimate AR5'!AU31,'1990-2050 Central estimate AR5'!AU38,'1990-2050 Central estimate AR5'!AU45)</f>
        <v>45526.819108355354</v>
      </c>
      <c r="AU15" s="152">
        <f>SUM('1990-2050 Central estimate AR5'!AV10,'1990-2050 Central estimate AR5'!AV17,'1990-2050 Central estimate AR5'!AV24,'1990-2050 Central estimate AR5'!AV31,'1990-2050 Central estimate AR5'!AV38,'1990-2050 Central estimate AR5'!AV45)</f>
        <v>44212.11719672777</v>
      </c>
      <c r="AV15" s="152">
        <f>SUM('1990-2050 Central estimate AR5'!AW10,'1990-2050 Central estimate AR5'!AW17,'1990-2050 Central estimate AR5'!AW24,'1990-2050 Central estimate AR5'!AW31,'1990-2050 Central estimate AR5'!AW38,'1990-2050 Central estimate AR5'!AW45)</f>
        <v>42685.206309360445</v>
      </c>
      <c r="AW15" s="152">
        <f>SUM('1990-2050 Central estimate AR5'!AX10,'1990-2050 Central estimate AR5'!AX17,'1990-2050 Central estimate AR5'!AX24,'1990-2050 Central estimate AR5'!AX31,'1990-2050 Central estimate AR5'!AX38,'1990-2050 Central estimate AR5'!AX45)</f>
        <v>39959.5909238186</v>
      </c>
      <c r="AX15" s="152">
        <f>SUM('1990-2050 Central estimate AR5'!AY10,'1990-2050 Central estimate AR5'!AY17,'1990-2050 Central estimate AR5'!AY24,'1990-2050 Central estimate AR5'!AY31,'1990-2050 Central estimate AR5'!AY38,'1990-2050 Central estimate AR5'!AY45)</f>
        <v>37420.5747409998</v>
      </c>
      <c r="AY15" s="152">
        <f>SUM('1990-2050 Central estimate AR5'!AZ10,'1990-2050 Central estimate AR5'!AZ17,'1990-2050 Central estimate AR5'!AZ24,'1990-2050 Central estimate AR5'!AZ31,'1990-2050 Central estimate AR5'!AZ38,'1990-2050 Central estimate AR5'!AZ45)</f>
        <v>35547.946872318396</v>
      </c>
      <c r="AZ15" s="152">
        <f>SUM('1990-2050 Central estimate AR5'!BA10,'1990-2050 Central estimate AR5'!BA17,'1990-2050 Central estimate AR5'!BA24,'1990-2050 Central estimate AR5'!BA31,'1990-2050 Central estimate AR5'!BA38,'1990-2050 Central estimate AR5'!BA45)</f>
        <v>33637.617329719054</v>
      </c>
      <c r="BA15" s="152">
        <f>SUM('1990-2050 Central estimate AR5'!BB10,'1990-2050 Central estimate AR5'!BB17,'1990-2050 Central estimate AR5'!BB24,'1990-2050 Central estimate AR5'!BB31,'1990-2050 Central estimate AR5'!BB38,'1990-2050 Central estimate AR5'!BB45)</f>
        <v>31213.033003040353</v>
      </c>
      <c r="BB15" s="152">
        <f>SUM('1990-2050 Central estimate AR5'!BC10,'1990-2050 Central estimate AR5'!BC17,'1990-2050 Central estimate AR5'!BC24,'1990-2050 Central estimate AR5'!BC31,'1990-2050 Central estimate AR5'!BC38,'1990-2050 Central estimate AR5'!BC45)</f>
        <v>29760.775200578446</v>
      </c>
      <c r="BC15" s="152">
        <f>SUM('1990-2050 Central estimate AR5'!BD10,'1990-2050 Central estimate AR5'!BD17,'1990-2050 Central estimate AR5'!BD24,'1990-2050 Central estimate AR5'!BD31,'1990-2050 Central estimate AR5'!BD38,'1990-2050 Central estimate AR5'!BD45)</f>
        <v>28911.377683095638</v>
      </c>
      <c r="BD15" s="152">
        <f>SUM('1990-2050 Central estimate AR5'!BE10,'1990-2050 Central estimate AR5'!BE17,'1990-2050 Central estimate AR5'!BE24,'1990-2050 Central estimate AR5'!BE31,'1990-2050 Central estimate AR5'!BE38,'1990-2050 Central estimate AR5'!BE45)</f>
        <v>28421.711910126629</v>
      </c>
      <c r="BE15" s="152">
        <f>SUM('1990-2050 Central estimate AR5'!BF10,'1990-2050 Central estimate AR5'!BF17,'1990-2050 Central estimate AR5'!BF24,'1990-2050 Central estimate AR5'!BF31,'1990-2050 Central estimate AR5'!BF38,'1990-2050 Central estimate AR5'!BF45)</f>
        <v>28721.054676163963</v>
      </c>
      <c r="BF15" s="152">
        <f>SUM('1990-2050 Central estimate AR5'!BG10,'1990-2050 Central estimate AR5'!BG17,'1990-2050 Central estimate AR5'!BG24,'1990-2050 Central estimate AR5'!BG31,'1990-2050 Central estimate AR5'!BG38,'1990-2050 Central estimate AR5'!BG45)</f>
        <v>29271.455442102466</v>
      </c>
      <c r="BG15" s="152">
        <f>SUM('1990-2050 Central estimate AR5'!BH10,'1990-2050 Central estimate AR5'!BH17,'1990-2050 Central estimate AR5'!BH24,'1990-2050 Central estimate AR5'!BH31,'1990-2050 Central estimate AR5'!BH38,'1990-2050 Central estimate AR5'!BH45)</f>
        <v>29671.515241119094</v>
      </c>
      <c r="BH15" s="152">
        <f>SUM('1990-2050 Central estimate AR5'!BI10,'1990-2050 Central estimate AR5'!BI17,'1990-2050 Central estimate AR5'!BI24,'1990-2050 Central estimate AR5'!BI31,'1990-2050 Central estimate AR5'!BI38,'1990-2050 Central estimate AR5'!BI45)</f>
        <v>29123.904010038783</v>
      </c>
      <c r="BI15" s="152">
        <f>SUM('1990-2050 Central estimate AR5'!BJ10,'1990-2050 Central estimate AR5'!BJ17,'1990-2050 Central estimate AR5'!BJ24,'1990-2050 Central estimate AR5'!BJ31,'1990-2050 Central estimate AR5'!BJ38,'1990-2050 Central estimate AR5'!BJ45)</f>
        <v>28582.828282513616</v>
      </c>
      <c r="BJ15" s="152">
        <f>SUM('1990-2050 Central estimate AR5'!BK10,'1990-2050 Central estimate AR5'!BK17,'1990-2050 Central estimate AR5'!BK24,'1990-2050 Central estimate AR5'!BK31,'1990-2050 Central estimate AR5'!BK38,'1990-2050 Central estimate AR5'!BK45)</f>
        <v>27964.962557812873</v>
      </c>
      <c r="BM15" s="60"/>
    </row>
    <row r="16" spans="1:65">
      <c r="A16" s="151" t="s">
        <v>1060</v>
      </c>
      <c r="B16" s="152">
        <f>SUM('[19]1990-2050 High estimate AR5'!C10,'[19]1990-2050 High estimate AR5'!C17,'[19]1990-2050 High estimate AR5'!C24,'[19]1990-2050 High estimate AR5'!C31,'[19]1990-2050 High estimate AR5'!C38,'[19]1990-2050 High estimate AR5'!C45)</f>
        <v>68749.109999999986</v>
      </c>
      <c r="C16" s="152">
        <f>SUM('[19]1990-2050 High estimate AR5'!D10,'[19]1990-2050 High estimate AR5'!D17,'[19]1990-2050 High estimate AR5'!D24,'[19]1990-2050 High estimate AR5'!D31,'[19]1990-2050 High estimate AR5'!D38,'[19]1990-2050 High estimate AR5'!D45)</f>
        <v>69711.829999999987</v>
      </c>
      <c r="D16" s="152">
        <f>SUM('[19]1990-2050 High estimate AR5'!E10,'[19]1990-2050 High estimate AR5'!E17,'[19]1990-2050 High estimate AR5'!E24,'[19]1990-2050 High estimate AR5'!E31,'[19]1990-2050 High estimate AR5'!E38,'[19]1990-2050 High estimate AR5'!E45)</f>
        <v>71121.709999999992</v>
      </c>
      <c r="E16" s="152">
        <f>SUM('[19]1990-2050 High estimate AR5'!F10,'[19]1990-2050 High estimate AR5'!F17,'[19]1990-2050 High estimate AR5'!F24,'[19]1990-2050 High estimate AR5'!F31,'[19]1990-2050 High estimate AR5'!F38,'[19]1990-2050 High estimate AR5'!F45)</f>
        <v>71070.94</v>
      </c>
      <c r="F16" s="152">
        <f>SUM('[19]1990-2050 High estimate AR5'!G10,'[19]1990-2050 High estimate AR5'!G17,'[19]1990-2050 High estimate AR5'!G24,'[19]1990-2050 High estimate AR5'!G31,'[19]1990-2050 High estimate AR5'!G38,'[19]1990-2050 High estimate AR5'!G45)</f>
        <v>72452.98000000001</v>
      </c>
      <c r="G16" s="152">
        <f>SUM('[19]1990-2050 High estimate AR5'!H10,'[19]1990-2050 High estimate AR5'!H17,'[19]1990-2050 High estimate AR5'!H24,'[19]1990-2050 High estimate AR5'!H31,'[19]1990-2050 High estimate AR5'!H38,'[19]1990-2050 High estimate AR5'!H45)</f>
        <v>72574.66</v>
      </c>
      <c r="H16" s="152">
        <f>SUM('[19]1990-2050 High estimate AR5'!I10,'[19]1990-2050 High estimate AR5'!I17,'[19]1990-2050 High estimate AR5'!I24,'[19]1990-2050 High estimate AR5'!I31,'[19]1990-2050 High estimate AR5'!I38,'[19]1990-2050 High estimate AR5'!I45)</f>
        <v>73931.149999999994</v>
      </c>
      <c r="I16" s="152">
        <f>SUM('[19]1990-2050 High estimate AR5'!J10,'[19]1990-2050 High estimate AR5'!J17,'[19]1990-2050 High estimate AR5'!J24,'[19]1990-2050 High estimate AR5'!J31,'[19]1990-2050 High estimate AR5'!J38,'[19]1990-2050 High estimate AR5'!J45)</f>
        <v>75431.91</v>
      </c>
      <c r="J16" s="152">
        <f>SUM('[19]1990-2050 High estimate AR5'!K10,'[19]1990-2050 High estimate AR5'!K17,'[19]1990-2050 High estimate AR5'!K24,'[19]1990-2050 High estimate AR5'!K31,'[19]1990-2050 High estimate AR5'!K38,'[19]1990-2050 High estimate AR5'!K45)</f>
        <v>71120.53</v>
      </c>
      <c r="K16" s="152">
        <f>SUM('[19]1990-2050 High estimate AR5'!L10,'[19]1990-2050 High estimate AR5'!L17,'[19]1990-2050 High estimate AR5'!L24,'[19]1990-2050 High estimate AR5'!L31,'[19]1990-2050 High estimate AR5'!L38,'[19]1990-2050 High estimate AR5'!L45)</f>
        <v>70394.09</v>
      </c>
      <c r="L16" s="152">
        <f>SUM('[19]1990-2050 High estimate AR5'!M10,'[19]1990-2050 High estimate AR5'!M17,'[19]1990-2050 High estimate AR5'!M24,'[19]1990-2050 High estimate AR5'!M31,'[19]1990-2050 High estimate AR5'!M38,'[19]1990-2050 High estimate AR5'!M45)</f>
        <v>72186.359999999986</v>
      </c>
      <c r="M16" s="152">
        <f>SUM('[19]1990-2050 High estimate AR5'!N10,'[19]1990-2050 High estimate AR5'!N17,'[19]1990-2050 High estimate AR5'!N24,'[19]1990-2050 High estimate AR5'!N31,'[19]1990-2050 High estimate AR5'!N38,'[19]1990-2050 High estimate AR5'!N45)</f>
        <v>72554.259999999995</v>
      </c>
      <c r="N16" s="152">
        <f>SUM('[19]1990-2050 High estimate AR5'!O10,'[19]1990-2050 High estimate AR5'!O17,'[19]1990-2050 High estimate AR5'!O24,'[19]1990-2050 High estimate AR5'!O31,'[19]1990-2050 High estimate AR5'!O38,'[19]1990-2050 High estimate AR5'!O45)</f>
        <v>70495.610000000015</v>
      </c>
      <c r="O16" s="152">
        <f>SUM('[19]1990-2050 High estimate AR5'!P10,'[19]1990-2050 High estimate AR5'!P17,'[19]1990-2050 High estimate AR5'!P24,'[19]1990-2050 High estimate AR5'!P31,'[19]1990-2050 High estimate AR5'!P38,'[19]1990-2050 High estimate AR5'!P45)</f>
        <v>72831.950000000012</v>
      </c>
      <c r="P16" s="152">
        <f>SUM('[19]1990-2050 High estimate AR5'!Q10,'[19]1990-2050 High estimate AR5'!Q17,'[19]1990-2050 High estimate AR5'!Q24,'[19]1990-2050 High estimate AR5'!Q31,'[19]1990-2050 High estimate AR5'!Q38,'[19]1990-2050 High estimate AR5'!Q45)</f>
        <v>74966.63</v>
      </c>
      <c r="Q16" s="152">
        <f>SUM('[19]1990-2050 High estimate AR5'!R10,'[19]1990-2050 High estimate AR5'!R17,'[19]1990-2050 High estimate AR5'!R24,'[19]1990-2050 High estimate AR5'!R31,'[19]1990-2050 High estimate AR5'!R38,'[19]1990-2050 High estimate AR5'!R45)</f>
        <v>80981.460000000021</v>
      </c>
      <c r="R16" s="152">
        <f>SUM('[19]1990-2050 High estimate AR5'!S10,'[19]1990-2050 High estimate AR5'!S17,'[19]1990-2050 High estimate AR5'!S24,'[19]1990-2050 High estimate AR5'!S31,'[19]1990-2050 High estimate AR5'!S38,'[19]1990-2050 High estimate AR5'!S45)</f>
        <v>83773.59</v>
      </c>
      <c r="S16" s="152">
        <f>SUM('[19]1990-2050 High estimate AR5'!T10,'[19]1990-2050 High estimate AR5'!T17,'[19]1990-2050 High estimate AR5'!T24,'[19]1990-2050 High estimate AR5'!T31,'[19]1990-2050 High estimate AR5'!T38,'[19]1990-2050 High estimate AR5'!T45)</f>
        <v>85998.47</v>
      </c>
      <c r="T16" s="152">
        <f>SUM('[19]1990-2050 High estimate AR5'!U10,'[19]1990-2050 High estimate AR5'!U17,'[19]1990-2050 High estimate AR5'!U24,'[19]1990-2050 High estimate AR5'!U31,'[19]1990-2050 High estimate AR5'!U38,'[19]1990-2050 High estimate AR5'!U45)</f>
        <v>68739.040000000008</v>
      </c>
      <c r="U16" s="152">
        <f>SUM('[19]1990-2050 High estimate AR5'!V10,'[19]1990-2050 High estimate AR5'!V17,'[19]1990-2050 High estimate AR5'!V24,'[19]1990-2050 High estimate AR5'!V31,'[19]1990-2050 High estimate AR5'!V38,'[19]1990-2050 High estimate AR5'!V45)</f>
        <v>68097.509999999995</v>
      </c>
      <c r="V16" s="152">
        <f>SUM('[19]1990-2050 High estimate AR5'!W10,'[19]1990-2050 High estimate AR5'!W17,'[19]1990-2050 High estimate AR5'!W24,'[19]1990-2050 High estimate AR5'!W31,'[19]1990-2050 High estimate AR5'!W38,'[19]1990-2050 High estimate AR5'!W45)</f>
        <v>68916.19</v>
      </c>
      <c r="W16" s="152">
        <f>SUM('[19]1990-2050 High estimate AR5'!X10,'[19]1990-2050 High estimate AR5'!X17,'[19]1990-2050 High estimate AR5'!X24,'[19]1990-2050 High estimate AR5'!X31,'[19]1990-2050 High estimate AR5'!X38,'[19]1990-2050 High estimate AR5'!X45)</f>
        <v>67577.81</v>
      </c>
      <c r="X16" s="152">
        <f>SUM('[19]1990-2050 High estimate AR5'!Y10,'[19]1990-2050 High estimate AR5'!Y17,'[19]1990-2050 High estimate AR5'!Y24,'[19]1990-2050 High estimate AR5'!Y31,'[19]1990-2050 High estimate AR5'!Y38,'[19]1990-2050 High estimate AR5'!Y45)</f>
        <v>71313.839999999982</v>
      </c>
      <c r="Y16" s="152">
        <f>SUM('[19]1990-2050 High estimate AR5'!Z10,'[19]1990-2050 High estimate AR5'!Z17,'[19]1990-2050 High estimate AR5'!Z24,'[19]1990-2050 High estimate AR5'!Z31,'[19]1990-2050 High estimate AR5'!Z38,'[19]1990-2050 High estimate AR5'!Z45)</f>
        <v>72960.429999999993</v>
      </c>
      <c r="Z16" s="152">
        <f>SUM('[19]1990-2050 High estimate AR5'!AA10,'[19]1990-2050 High estimate AR5'!AA17,'[19]1990-2050 High estimate AR5'!AA24,'[19]1990-2050 High estimate AR5'!AA31,'[19]1990-2050 High estimate AR5'!AA38,'[19]1990-2050 High estimate AR5'!AA45)</f>
        <v>71237.69</v>
      </c>
      <c r="AA16" s="152">
        <f>SUM('[19]1990-2050 High estimate AR5'!AB10,'[19]1990-2050 High estimate AR5'!AB17,'[19]1990-2050 High estimate AR5'!AB24,'[19]1990-2050 High estimate AR5'!AB31,'[19]1990-2050 High estimate AR5'!AB38,'[19]1990-2050 High estimate AR5'!AB45)</f>
        <v>70346.61</v>
      </c>
      <c r="AB16" s="152">
        <f>SUM('[19]1990-2050 High estimate AR5'!AC10,'[19]1990-2050 High estimate AR5'!AC17,'[19]1990-2050 High estimate AR5'!AC24,'[19]1990-2050 High estimate AR5'!AC31,'[19]1990-2050 High estimate AR5'!AC38,'[19]1990-2050 High estimate AR5'!AC45)</f>
        <v>68736.69</v>
      </c>
      <c r="AC16" s="152">
        <f>SUM('[19]1990-2050 High estimate AR5'!AD10,'[19]1990-2050 High estimate AR5'!AD17,'[19]1990-2050 High estimate AR5'!AD24,'[19]1990-2050 High estimate AR5'!AD31,'[19]1990-2050 High estimate AR5'!AD38,'[19]1990-2050 High estimate AR5'!AD45)</f>
        <v>71449.929999999993</v>
      </c>
      <c r="AD16" s="152">
        <f>SUM('[19]1990-2050 High estimate AR5'!AE10,'[19]1990-2050 High estimate AR5'!AE17,'[19]1990-2050 High estimate AR5'!AE24,'[19]1990-2050 High estimate AR5'!AE31,'[19]1990-2050 High estimate AR5'!AE38,'[19]1990-2050 High estimate AR5'!AE45)</f>
        <v>71738.02</v>
      </c>
      <c r="AE16" s="152">
        <f>SUM('[19]1990-2050 High estimate AR5'!AF10,'[19]1990-2050 High estimate AR5'!AF17,'[19]1990-2050 High estimate AR5'!AF24,'[19]1990-2050 High estimate AR5'!AF31,'[19]1990-2050 High estimate AR5'!AF38,'[19]1990-2050 High estimate AR5'!AF45)</f>
        <v>73724.27</v>
      </c>
      <c r="AF16" s="152">
        <f>SUM('[19]1990-2050 High estimate AR5'!AG10,'[19]1990-2050 High estimate AR5'!AG17,'[19]1990-2050 High estimate AR5'!AG24,'[19]1990-2050 High estimate AR5'!AG31,'[19]1990-2050 High estimate AR5'!AG38,'[19]1990-2050 High estimate AR5'!AG45)</f>
        <v>72463.734123400005</v>
      </c>
      <c r="AG16" s="153">
        <f>SUM('[19]1990-2050 High estimate AR5'!AH10,'[19]1990-2050 High estimate AR5'!AH17,'[19]1990-2050 High estimate AR5'!AH24,'[19]1990-2050 High estimate AR5'!AH31,'[19]1990-2050 High estimate AR5'!AH38,'[19]1990-2050 High estimate AR5'!AH45)</f>
        <v>72820.18856309999</v>
      </c>
      <c r="AH16" s="152">
        <f>SUM('[19]1990-2050 High estimate AR5'!AI10,'[19]1990-2050 High estimate AR5'!AI17,'[19]1990-2050 High estimate AR5'!AI24,'[19]1990-2050 High estimate AR5'!AI31,'[19]1990-2050 High estimate AR5'!AI38,'[19]1990-2050 High estimate AR5'!AI45)</f>
        <v>71527.039639440904</v>
      </c>
      <c r="AI16" s="152">
        <f>SUM('[19]1990-2050 High estimate AR5'!AJ10,'[19]1990-2050 High estimate AR5'!AJ17,'[19]1990-2050 High estimate AR5'!AJ24,'[19]1990-2050 High estimate AR5'!AJ31,'[19]1990-2050 High estimate AR5'!AJ38,'[19]1990-2050 High estimate AR5'!AJ45)</f>
        <v>73130.545403534212</v>
      </c>
      <c r="AJ16" s="152">
        <f>SUM('[19]1990-2050 High estimate AR5'!AK10,'[19]1990-2050 High estimate AR5'!AK17,'[19]1990-2050 High estimate AR5'!AK24,'[19]1990-2050 High estimate AR5'!AK31,'[19]1990-2050 High estimate AR5'!AK38,'[19]1990-2050 High estimate AR5'!AK45)</f>
        <v>72061.718521777424</v>
      </c>
      <c r="AK16" s="152">
        <f>SUM('[19]1990-2050 High estimate AR5'!AL10,'[19]1990-2050 High estimate AR5'!AL17,'[19]1990-2050 High estimate AR5'!AL24,'[19]1990-2050 High estimate AR5'!AL31,'[19]1990-2050 High estimate AR5'!AL38,'[19]1990-2050 High estimate AR5'!AL45)</f>
        <v>67231.994517488813</v>
      </c>
      <c r="AL16" s="152">
        <f>SUM('[19]1990-2050 High estimate AR5'!AM10,'[19]1990-2050 High estimate AR5'!AM17,'[19]1990-2050 High estimate AR5'!AM24,'[19]1990-2050 High estimate AR5'!AM31,'[19]1990-2050 High estimate AR5'!AM38,'[19]1990-2050 High estimate AR5'!AM45)</f>
        <v>64589.149456456507</v>
      </c>
      <c r="AM16" s="152">
        <f>SUM('[19]1990-2050 High estimate AR5'!AN10,'[19]1990-2050 High estimate AR5'!AN17,'[19]1990-2050 High estimate AR5'!AN24,'[19]1990-2050 High estimate AR5'!AN31,'[19]1990-2050 High estimate AR5'!AN38,'[19]1990-2050 High estimate AR5'!AN45)</f>
        <v>61514.970626684852</v>
      </c>
      <c r="AN16" s="152">
        <f>SUM('[19]1990-2050 High estimate AR5'!AO10,'[19]1990-2050 High estimate AR5'!AO17,'[19]1990-2050 High estimate AR5'!AO24,'[19]1990-2050 High estimate AR5'!AO31,'[19]1990-2050 High estimate AR5'!AO38,'[19]1990-2050 High estimate AR5'!AO45)</f>
        <v>58591.898028041025</v>
      </c>
      <c r="AO16" s="152">
        <f>SUM('[19]1990-2050 High estimate AR5'!AP10,'[19]1990-2050 High estimate AR5'!AP17,'[19]1990-2050 High estimate AR5'!AP24,'[19]1990-2050 High estimate AR5'!AP31,'[19]1990-2050 High estimate AR5'!AP38,'[19]1990-2050 High estimate AR5'!AP45)</f>
        <v>56225.782918087367</v>
      </c>
      <c r="AP16" s="152">
        <f>SUM('[19]1990-2050 High estimate AR5'!AQ10,'[19]1990-2050 High estimate AR5'!AQ17,'[19]1990-2050 High estimate AR5'!AQ24,'[19]1990-2050 High estimate AR5'!AQ31,'[19]1990-2050 High estimate AR5'!AQ38,'[19]1990-2050 High estimate AR5'!AQ45)</f>
        <v>54698.341728305371</v>
      </c>
      <c r="AQ16" s="152">
        <f>SUM('[19]1990-2050 High estimate AR5'!AR10,'[19]1990-2050 High estimate AR5'!AR17,'[19]1990-2050 High estimate AR5'!AR24,'[19]1990-2050 High estimate AR5'!AR31,'[19]1990-2050 High estimate AR5'!AR38,'[19]1990-2050 High estimate AR5'!AR45)</f>
        <v>53982.253551782655</v>
      </c>
      <c r="AR16" s="152">
        <f>SUM('[19]1990-2050 High estimate AR5'!AS10,'[19]1990-2050 High estimate AR5'!AS17,'[19]1990-2050 High estimate AR5'!AS24,'[19]1990-2050 High estimate AR5'!AS31,'[19]1990-2050 High estimate AR5'!AS38,'[19]1990-2050 High estimate AR5'!AS45)</f>
        <v>53542.79391140621</v>
      </c>
      <c r="AS16" s="152">
        <f>SUM('[19]1990-2050 High estimate AR5'!AT10,'[19]1990-2050 High estimate AR5'!AT17,'[19]1990-2050 High estimate AR5'!AT24,'[19]1990-2050 High estimate AR5'!AT31,'[19]1990-2050 High estimate AR5'!AT38,'[19]1990-2050 High estimate AR5'!AT45)</f>
        <v>52763.045839379913</v>
      </c>
      <c r="AT16" s="152">
        <f>SUM('[19]1990-2050 High estimate AR5'!AU10,'[19]1990-2050 High estimate AR5'!AU17,'[19]1990-2050 High estimate AR5'!AU24,'[19]1990-2050 High estimate AR5'!AU31,'[19]1990-2050 High estimate AR5'!AU38,'[19]1990-2050 High estimate AR5'!AU45)</f>
        <v>52044.920228509596</v>
      </c>
      <c r="AU16" s="152">
        <f>SUM('[19]1990-2050 High estimate AR5'!AV10,'[19]1990-2050 High estimate AR5'!AV17,'[19]1990-2050 High estimate AR5'!AV24,'[19]1990-2050 High estimate AR5'!AV31,'[19]1990-2050 High estimate AR5'!AV38,'[19]1990-2050 High estimate AR5'!AV45)</f>
        <v>51185.760667969313</v>
      </c>
      <c r="AV16" s="152">
        <f>SUM('[19]1990-2050 High estimate AR5'!AW10,'[19]1990-2050 High estimate AR5'!AW17,'[19]1990-2050 High estimate AR5'!AW24,'[19]1990-2050 High estimate AR5'!AW31,'[19]1990-2050 High estimate AR5'!AW38,'[19]1990-2050 High estimate AR5'!AW45)</f>
        <v>50152.006178479918</v>
      </c>
      <c r="AW16" s="152">
        <f>SUM('[19]1990-2050 High estimate AR5'!AX10,'[19]1990-2050 High estimate AR5'!AX17,'[19]1990-2050 High estimate AR5'!AX24,'[19]1990-2050 High estimate AR5'!AX31,'[19]1990-2050 High estimate AR5'!AX38,'[19]1990-2050 High estimate AR5'!AX45)</f>
        <v>47511.236083144424</v>
      </c>
      <c r="AX16" s="152">
        <f>SUM('[19]1990-2050 High estimate AR5'!AY10,'[19]1990-2050 High estimate AR5'!AY17,'[19]1990-2050 High estimate AR5'!AY24,'[19]1990-2050 High estimate AR5'!AY31,'[19]1990-2050 High estimate AR5'!AY38,'[19]1990-2050 High estimate AR5'!AY45)</f>
        <v>45698.254024719252</v>
      </c>
      <c r="AY16" s="152">
        <f>SUM('[19]1990-2050 High estimate AR5'!AZ10,'[19]1990-2050 High estimate AR5'!AZ17,'[19]1990-2050 High estimate AR5'!AZ24,'[19]1990-2050 High estimate AR5'!AZ31,'[19]1990-2050 High estimate AR5'!AZ38,'[19]1990-2050 High estimate AR5'!AZ45)</f>
        <v>44288.676879983876</v>
      </c>
      <c r="AZ16" s="152">
        <f>SUM('[19]1990-2050 High estimate AR5'!BA10,'[19]1990-2050 High estimate AR5'!BA17,'[19]1990-2050 High estimate AR5'!BA24,'[19]1990-2050 High estimate AR5'!BA31,'[19]1990-2050 High estimate AR5'!BA38,'[19]1990-2050 High estimate AR5'!BA45)</f>
        <v>42993.105063259456</v>
      </c>
      <c r="BA16" s="152">
        <f>SUM('[19]1990-2050 High estimate AR5'!BB10,'[19]1990-2050 High estimate AR5'!BB17,'[19]1990-2050 High estimate AR5'!BB24,'[19]1990-2050 High estimate AR5'!BB31,'[19]1990-2050 High estimate AR5'!BB38,'[19]1990-2050 High estimate AR5'!BB45)</f>
        <v>41044.772855149968</v>
      </c>
      <c r="BB16" s="152">
        <f>SUM('[19]1990-2050 High estimate AR5'!BC10,'[19]1990-2050 High estimate AR5'!BC17,'[19]1990-2050 High estimate AR5'!BC24,'[19]1990-2050 High estimate AR5'!BC31,'[19]1990-2050 High estimate AR5'!BC38,'[19]1990-2050 High estimate AR5'!BC45)</f>
        <v>40005.374801814782</v>
      </c>
      <c r="BC16" s="152">
        <f>SUM('[19]1990-2050 High estimate AR5'!BD10,'[19]1990-2050 High estimate AR5'!BD17,'[19]1990-2050 High estimate AR5'!BD24,'[19]1990-2050 High estimate AR5'!BD31,'[19]1990-2050 High estimate AR5'!BD38,'[19]1990-2050 High estimate AR5'!BD45)</f>
        <v>39570.616592368962</v>
      </c>
      <c r="BD16" s="152">
        <f>SUM('[19]1990-2050 High estimate AR5'!BE10,'[19]1990-2050 High estimate AR5'!BE17,'[19]1990-2050 High estimate AR5'!BE24,'[19]1990-2050 High estimate AR5'!BE31,'[19]1990-2050 High estimate AR5'!BE38,'[19]1990-2050 High estimate AR5'!BE45)</f>
        <v>39526.917857981491</v>
      </c>
      <c r="BE16" s="152">
        <f>SUM('[19]1990-2050 High estimate AR5'!BF10,'[19]1990-2050 High estimate AR5'!BF17,'[19]1990-2050 High estimate AR5'!BF24,'[19]1990-2050 High estimate AR5'!BF31,'[19]1990-2050 High estimate AR5'!BF38,'[19]1990-2050 High estimate AR5'!BF45)</f>
        <v>40381.948120174136</v>
      </c>
      <c r="BF16" s="152">
        <f>SUM('[19]1990-2050 High estimate AR5'!BG10,'[19]1990-2050 High estimate AR5'!BG17,'[19]1990-2050 High estimate AR5'!BG24,'[19]1990-2050 High estimate AR5'!BG31,'[19]1990-2050 High estimate AR5'!BG38,'[19]1990-2050 High estimate AR5'!BG45)</f>
        <v>40995.956406238569</v>
      </c>
      <c r="BG16" s="152">
        <f>SUM('[19]1990-2050 High estimate AR5'!BH10,'[19]1990-2050 High estimate AR5'!BH17,'[19]1990-2050 High estimate AR5'!BH24,'[19]1990-2050 High estimate AR5'!BH31,'[19]1990-2050 High estimate AR5'!BH38,'[19]1990-2050 High estimate AR5'!BH45)</f>
        <v>41502.81519950286</v>
      </c>
      <c r="BH16" s="152">
        <f>SUM('[19]1990-2050 High estimate AR5'!BI10,'[19]1990-2050 High estimate AR5'!BI17,'[19]1990-2050 High estimate AR5'!BI24,'[19]1990-2050 High estimate AR5'!BI31,'[19]1990-2050 High estimate AR5'!BI38,'[19]1990-2050 High estimate AR5'!BI45)</f>
        <v>40987.528672747336</v>
      </c>
      <c r="BI16" s="152">
        <f>SUM('[19]1990-2050 High estimate AR5'!BJ10,'[19]1990-2050 High estimate AR5'!BJ17,'[19]1990-2050 High estimate AR5'!BJ24,'[19]1990-2050 High estimate AR5'!BJ31,'[19]1990-2050 High estimate AR5'!BJ38,'[19]1990-2050 High estimate AR5'!BJ45)</f>
        <v>40578.234467360446</v>
      </c>
      <c r="BJ16" s="152">
        <f>SUM('[19]1990-2050 High estimate AR5'!BK10,'[19]1990-2050 High estimate AR5'!BK17,'[19]1990-2050 High estimate AR5'!BK24,'[19]1990-2050 High estimate AR5'!BK31,'[19]1990-2050 High estimate AR5'!BK38,'[19]1990-2050 High estimate AR5'!BK45)</f>
        <v>39875.288553956867</v>
      </c>
    </row>
    <row r="17" spans="1:62">
      <c r="A17" s="151" t="s">
        <v>1061</v>
      </c>
      <c r="B17" s="152">
        <f>SUM('[19]1990-2050 Low estimate AR5'!C10,'[19]1990-2050 Low estimate AR5'!C17,'[19]1990-2050 Low estimate AR5'!C24,'[19]1990-2050 Low estimate AR5'!C31,'[19]1990-2050 Low estimate AR5'!C38,'[19]1990-2050 Low estimate AR5'!C45)</f>
        <v>68749.109999999986</v>
      </c>
      <c r="C17" s="152">
        <f>SUM('[19]1990-2050 Low estimate AR5'!D10,'[19]1990-2050 Low estimate AR5'!D17,'[19]1990-2050 Low estimate AR5'!D24,'[19]1990-2050 Low estimate AR5'!D31,'[19]1990-2050 Low estimate AR5'!D38,'[19]1990-2050 Low estimate AR5'!D45)</f>
        <v>69711.829999999987</v>
      </c>
      <c r="D17" s="152">
        <f>SUM('[19]1990-2050 Low estimate AR5'!E10,'[19]1990-2050 Low estimate AR5'!E17,'[19]1990-2050 Low estimate AR5'!E24,'[19]1990-2050 Low estimate AR5'!E31,'[19]1990-2050 Low estimate AR5'!E38,'[19]1990-2050 Low estimate AR5'!E45)</f>
        <v>71121.709999999992</v>
      </c>
      <c r="E17" s="152">
        <f>SUM('[19]1990-2050 Low estimate AR5'!F10,'[19]1990-2050 Low estimate AR5'!F17,'[19]1990-2050 Low estimate AR5'!F24,'[19]1990-2050 Low estimate AR5'!F31,'[19]1990-2050 Low estimate AR5'!F38,'[19]1990-2050 Low estimate AR5'!F45)</f>
        <v>71070.94</v>
      </c>
      <c r="F17" s="152">
        <f>SUM('[19]1990-2050 Low estimate AR5'!G10,'[19]1990-2050 Low estimate AR5'!G17,'[19]1990-2050 Low estimate AR5'!G24,'[19]1990-2050 Low estimate AR5'!G31,'[19]1990-2050 Low estimate AR5'!G38,'[19]1990-2050 Low estimate AR5'!G45)</f>
        <v>72452.98000000001</v>
      </c>
      <c r="G17" s="152">
        <f>SUM('[19]1990-2050 Low estimate AR5'!H10,'[19]1990-2050 Low estimate AR5'!H17,'[19]1990-2050 Low estimate AR5'!H24,'[19]1990-2050 Low estimate AR5'!H31,'[19]1990-2050 Low estimate AR5'!H38,'[19]1990-2050 Low estimate AR5'!H45)</f>
        <v>72574.66</v>
      </c>
      <c r="H17" s="152">
        <f>SUM('[19]1990-2050 Low estimate AR5'!I10,'[19]1990-2050 Low estimate AR5'!I17,'[19]1990-2050 Low estimate AR5'!I24,'[19]1990-2050 Low estimate AR5'!I31,'[19]1990-2050 Low estimate AR5'!I38,'[19]1990-2050 Low estimate AR5'!I45)</f>
        <v>73931.149999999994</v>
      </c>
      <c r="I17" s="152">
        <f>SUM('[19]1990-2050 Low estimate AR5'!J10,'[19]1990-2050 Low estimate AR5'!J17,'[19]1990-2050 Low estimate AR5'!J24,'[19]1990-2050 Low estimate AR5'!J31,'[19]1990-2050 Low estimate AR5'!J38,'[19]1990-2050 Low estimate AR5'!J45)</f>
        <v>75431.91</v>
      </c>
      <c r="J17" s="152">
        <f>SUM('[19]1990-2050 Low estimate AR5'!K10,'[19]1990-2050 Low estimate AR5'!K17,'[19]1990-2050 Low estimate AR5'!K24,'[19]1990-2050 Low estimate AR5'!K31,'[19]1990-2050 Low estimate AR5'!K38,'[19]1990-2050 Low estimate AR5'!K45)</f>
        <v>71120.53</v>
      </c>
      <c r="K17" s="152">
        <f>SUM('[19]1990-2050 Low estimate AR5'!L10,'[19]1990-2050 Low estimate AR5'!L17,'[19]1990-2050 Low estimate AR5'!L24,'[19]1990-2050 Low estimate AR5'!L31,'[19]1990-2050 Low estimate AR5'!L38,'[19]1990-2050 Low estimate AR5'!L45)</f>
        <v>70394.09</v>
      </c>
      <c r="L17" s="152">
        <f>SUM('[19]1990-2050 Low estimate AR5'!M10,'[19]1990-2050 Low estimate AR5'!M17,'[19]1990-2050 Low estimate AR5'!M24,'[19]1990-2050 Low estimate AR5'!M31,'[19]1990-2050 Low estimate AR5'!M38,'[19]1990-2050 Low estimate AR5'!M45)</f>
        <v>72186.359999999986</v>
      </c>
      <c r="M17" s="152">
        <f>SUM('[19]1990-2050 Low estimate AR5'!N10,'[19]1990-2050 Low estimate AR5'!N17,'[19]1990-2050 Low estimate AR5'!N24,'[19]1990-2050 Low estimate AR5'!N31,'[19]1990-2050 Low estimate AR5'!N38,'[19]1990-2050 Low estimate AR5'!N45)</f>
        <v>72554.259999999995</v>
      </c>
      <c r="N17" s="152">
        <f>SUM('[19]1990-2050 Low estimate AR5'!O10,'[19]1990-2050 Low estimate AR5'!O17,'[19]1990-2050 Low estimate AR5'!O24,'[19]1990-2050 Low estimate AR5'!O31,'[19]1990-2050 Low estimate AR5'!O38,'[19]1990-2050 Low estimate AR5'!O45)</f>
        <v>70495.610000000015</v>
      </c>
      <c r="O17" s="152">
        <f>SUM('[19]1990-2050 Low estimate AR5'!P10,'[19]1990-2050 Low estimate AR5'!P17,'[19]1990-2050 Low estimate AR5'!P24,'[19]1990-2050 Low estimate AR5'!P31,'[19]1990-2050 Low estimate AR5'!P38,'[19]1990-2050 Low estimate AR5'!P45)</f>
        <v>72831.950000000012</v>
      </c>
      <c r="P17" s="152">
        <f>SUM('[19]1990-2050 Low estimate AR5'!Q10,'[19]1990-2050 Low estimate AR5'!Q17,'[19]1990-2050 Low estimate AR5'!Q24,'[19]1990-2050 Low estimate AR5'!Q31,'[19]1990-2050 Low estimate AR5'!Q38,'[19]1990-2050 Low estimate AR5'!Q45)</f>
        <v>74966.63</v>
      </c>
      <c r="Q17" s="152">
        <f>SUM('[19]1990-2050 Low estimate AR5'!R10,'[19]1990-2050 Low estimate AR5'!R17,'[19]1990-2050 Low estimate AR5'!R24,'[19]1990-2050 Low estimate AR5'!R31,'[19]1990-2050 Low estimate AR5'!R38,'[19]1990-2050 Low estimate AR5'!R45)</f>
        <v>80981.460000000021</v>
      </c>
      <c r="R17" s="152">
        <f>SUM('[19]1990-2050 Low estimate AR5'!S10,'[19]1990-2050 Low estimate AR5'!S17,'[19]1990-2050 Low estimate AR5'!S24,'[19]1990-2050 Low estimate AR5'!S31,'[19]1990-2050 Low estimate AR5'!S38,'[19]1990-2050 Low estimate AR5'!S45)</f>
        <v>83773.59</v>
      </c>
      <c r="S17" s="152">
        <f>SUM('[19]1990-2050 Low estimate AR5'!T10,'[19]1990-2050 Low estimate AR5'!T17,'[19]1990-2050 Low estimate AR5'!T24,'[19]1990-2050 Low estimate AR5'!T31,'[19]1990-2050 Low estimate AR5'!T38,'[19]1990-2050 Low estimate AR5'!T45)</f>
        <v>85998.47</v>
      </c>
      <c r="T17" s="152">
        <f>SUM('[19]1990-2050 Low estimate AR5'!U10,'[19]1990-2050 Low estimate AR5'!U17,'[19]1990-2050 Low estimate AR5'!U24,'[19]1990-2050 Low estimate AR5'!U31,'[19]1990-2050 Low estimate AR5'!U38,'[19]1990-2050 Low estimate AR5'!U45)</f>
        <v>68739.040000000008</v>
      </c>
      <c r="U17" s="152">
        <f>SUM('[19]1990-2050 Low estimate AR5'!V10,'[19]1990-2050 Low estimate AR5'!V17,'[19]1990-2050 Low estimate AR5'!V24,'[19]1990-2050 Low estimate AR5'!V31,'[19]1990-2050 Low estimate AR5'!V38,'[19]1990-2050 Low estimate AR5'!V45)</f>
        <v>68097.509999999995</v>
      </c>
      <c r="V17" s="152">
        <f>SUM('[19]1990-2050 Low estimate AR5'!W10,'[19]1990-2050 Low estimate AR5'!W17,'[19]1990-2050 Low estimate AR5'!W24,'[19]1990-2050 Low estimate AR5'!W31,'[19]1990-2050 Low estimate AR5'!W38,'[19]1990-2050 Low estimate AR5'!W45)</f>
        <v>68916.19</v>
      </c>
      <c r="W17" s="152">
        <f>SUM('[19]1990-2050 Low estimate AR5'!X10,'[19]1990-2050 Low estimate AR5'!X17,'[19]1990-2050 Low estimate AR5'!X24,'[19]1990-2050 Low estimate AR5'!X31,'[19]1990-2050 Low estimate AR5'!X38,'[19]1990-2050 Low estimate AR5'!X45)</f>
        <v>67577.81</v>
      </c>
      <c r="X17" s="152">
        <f>SUM('[19]1990-2050 Low estimate AR5'!Y10,'[19]1990-2050 Low estimate AR5'!Y17,'[19]1990-2050 Low estimate AR5'!Y24,'[19]1990-2050 Low estimate AR5'!Y31,'[19]1990-2050 Low estimate AR5'!Y38,'[19]1990-2050 Low estimate AR5'!Y45)</f>
        <v>71313.839999999982</v>
      </c>
      <c r="Y17" s="152">
        <f>SUM('[19]1990-2050 Low estimate AR5'!Z10,'[19]1990-2050 Low estimate AR5'!Z17,'[19]1990-2050 Low estimate AR5'!Z24,'[19]1990-2050 Low estimate AR5'!Z31,'[19]1990-2050 Low estimate AR5'!Z38,'[19]1990-2050 Low estimate AR5'!Z45)</f>
        <v>72960.429999999993</v>
      </c>
      <c r="Z17" s="152">
        <f>SUM('[19]1990-2050 Low estimate AR5'!AA10,'[19]1990-2050 Low estimate AR5'!AA17,'[19]1990-2050 Low estimate AR5'!AA24,'[19]1990-2050 Low estimate AR5'!AA31,'[19]1990-2050 Low estimate AR5'!AA38,'[19]1990-2050 Low estimate AR5'!AA45)</f>
        <v>71237.69</v>
      </c>
      <c r="AA17" s="152">
        <f>SUM('[19]1990-2050 Low estimate AR5'!AB10,'[19]1990-2050 Low estimate AR5'!AB17,'[19]1990-2050 Low estimate AR5'!AB24,'[19]1990-2050 Low estimate AR5'!AB31,'[19]1990-2050 Low estimate AR5'!AB38,'[19]1990-2050 Low estimate AR5'!AB45)</f>
        <v>70346.61</v>
      </c>
      <c r="AB17" s="152">
        <f>SUM('[19]1990-2050 Low estimate AR5'!AC10,'[19]1990-2050 Low estimate AR5'!AC17,'[19]1990-2050 Low estimate AR5'!AC24,'[19]1990-2050 Low estimate AR5'!AC31,'[19]1990-2050 Low estimate AR5'!AC38,'[19]1990-2050 Low estimate AR5'!AC45)</f>
        <v>68736.69</v>
      </c>
      <c r="AC17" s="152">
        <f>SUM('[19]1990-2050 Low estimate AR5'!AD10,'[19]1990-2050 Low estimate AR5'!AD17,'[19]1990-2050 Low estimate AR5'!AD24,'[19]1990-2050 Low estimate AR5'!AD31,'[19]1990-2050 Low estimate AR5'!AD38,'[19]1990-2050 Low estimate AR5'!AD45)</f>
        <v>71449.929999999993</v>
      </c>
      <c r="AD17" s="152">
        <f>SUM('[19]1990-2050 Low estimate AR5'!AE10,'[19]1990-2050 Low estimate AR5'!AE17,'[19]1990-2050 Low estimate AR5'!AE24,'[19]1990-2050 Low estimate AR5'!AE31,'[19]1990-2050 Low estimate AR5'!AE38,'[19]1990-2050 Low estimate AR5'!AE45)</f>
        <v>71738.02</v>
      </c>
      <c r="AE17" s="152">
        <f>SUM('[19]1990-2050 Low estimate AR5'!AF10,'[19]1990-2050 Low estimate AR5'!AF17,'[19]1990-2050 Low estimate AR5'!AF24,'[19]1990-2050 Low estimate AR5'!AF31,'[19]1990-2050 Low estimate AR5'!AF38,'[19]1990-2050 Low estimate AR5'!AF45)</f>
        <v>73724.27</v>
      </c>
      <c r="AF17" s="152">
        <f>SUM('[19]1990-2050 Low estimate AR5'!AG10,'[19]1990-2050 Low estimate AR5'!AG17,'[19]1990-2050 Low estimate AR5'!AG24,'[19]1990-2050 Low estimate AR5'!AG31,'[19]1990-2050 Low estimate AR5'!AG38,'[19]1990-2050 Low estimate AR5'!AG45)</f>
        <v>72463.734123400005</v>
      </c>
      <c r="AG17" s="153">
        <f>SUM('[19]1990-2050 Low estimate AR5'!AH10,'[19]1990-2050 Low estimate AR5'!AH17,'[19]1990-2050 Low estimate AR5'!AH24,'[19]1990-2050 Low estimate AR5'!AH31,'[19]1990-2050 Low estimate AR5'!AH38,'[19]1990-2050 Low estimate AR5'!AH45)</f>
        <v>72820.18856309999</v>
      </c>
      <c r="AH17" s="152">
        <f>SUM('[19]1990-2050 Low estimate AR5'!AI10,'[19]1990-2050 Low estimate AR5'!AI17,'[19]1990-2050 Low estimate AR5'!AI24,'[19]1990-2050 Low estimate AR5'!AI31,'[19]1990-2050 Low estimate AR5'!AI38,'[19]1990-2050 Low estimate AR5'!AI45)</f>
        <v>69254.701180287666</v>
      </c>
      <c r="AI17" s="152">
        <f>SUM('[19]1990-2050 Low estimate AR5'!AJ10,'[19]1990-2050 Low estimate AR5'!AJ17,'[19]1990-2050 Low estimate AR5'!AJ24,'[19]1990-2050 Low estimate AR5'!AJ31,'[19]1990-2050 Low estimate AR5'!AJ38,'[19]1990-2050 Low estimate AR5'!AJ45)</f>
        <v>70308.425630654761</v>
      </c>
      <c r="AJ17" s="152">
        <f>SUM('[19]1990-2050 Low estimate AR5'!AK10,'[19]1990-2050 Low estimate AR5'!AK17,'[19]1990-2050 Low estimate AR5'!AK24,'[19]1990-2050 Low estimate AR5'!AK31,'[19]1990-2050 Low estimate AR5'!AK38,'[19]1990-2050 Low estimate AR5'!AK45)</f>
        <v>68551.41746450559</v>
      </c>
      <c r="AK17" s="152">
        <f>SUM('[19]1990-2050 Low estimate AR5'!AL10,'[19]1990-2050 Low estimate AR5'!AL17,'[19]1990-2050 Low estimate AR5'!AL24,'[19]1990-2050 Low estimate AR5'!AL31,'[19]1990-2050 Low estimate AR5'!AL38,'[19]1990-2050 Low estimate AR5'!AL45)</f>
        <v>63554.698998614738</v>
      </c>
      <c r="AL17" s="152">
        <f>SUM('[19]1990-2050 Low estimate AR5'!AM10,'[19]1990-2050 Low estimate AR5'!AM17,'[19]1990-2050 Low estimate AR5'!AM24,'[19]1990-2050 Low estimate AR5'!AM31,'[19]1990-2050 Low estimate AR5'!AM38,'[19]1990-2050 Low estimate AR5'!AM45)</f>
        <v>60680.58093740965</v>
      </c>
      <c r="AM17" s="152">
        <f>SUM('[19]1990-2050 Low estimate AR5'!AN10,'[19]1990-2050 Low estimate AR5'!AN17,'[19]1990-2050 Low estimate AR5'!AN24,'[19]1990-2050 Low estimate AR5'!AN31,'[19]1990-2050 Low estimate AR5'!AN38,'[19]1990-2050 Low estimate AR5'!AN45)</f>
        <v>57129.732020931886</v>
      </c>
      <c r="AN17" s="152">
        <f>SUM('[19]1990-2050 Low estimate AR5'!AO10,'[19]1990-2050 Low estimate AR5'!AO17,'[19]1990-2050 Low estimate AR5'!AO24,'[19]1990-2050 Low estimate AR5'!AO31,'[19]1990-2050 Low estimate AR5'!AO38,'[19]1990-2050 Low estimate AR5'!AO45)</f>
        <v>53567.667854915591</v>
      </c>
      <c r="AO17" s="152">
        <f>SUM('[19]1990-2050 Low estimate AR5'!AP10,'[19]1990-2050 Low estimate AR5'!AP17,'[19]1990-2050 Low estimate AR5'!AP24,'[19]1990-2050 Low estimate AR5'!AP31,'[19]1990-2050 Low estimate AR5'!AP38,'[19]1990-2050 Low estimate AR5'!AP45)</f>
        <v>49302.554752635551</v>
      </c>
      <c r="AP17" s="152">
        <f>SUM('[19]1990-2050 Low estimate AR5'!AQ10,'[19]1990-2050 Low estimate AR5'!AQ17,'[19]1990-2050 Low estimate AR5'!AQ24,'[19]1990-2050 Low estimate AR5'!AQ31,'[19]1990-2050 Low estimate AR5'!AQ38,'[19]1990-2050 Low estimate AR5'!AQ45)</f>
        <v>45855.029217420954</v>
      </c>
      <c r="AQ17" s="152">
        <f>SUM('[19]1990-2050 Low estimate AR5'!AR10,'[19]1990-2050 Low estimate AR5'!AR17,'[19]1990-2050 Low estimate AR5'!AR24,'[19]1990-2050 Low estimate AR5'!AR31,'[19]1990-2050 Low estimate AR5'!AR38,'[19]1990-2050 Low estimate AR5'!AR45)</f>
        <v>43950.418940121424</v>
      </c>
      <c r="AR17" s="152">
        <f>SUM('[19]1990-2050 Low estimate AR5'!AS10,'[19]1990-2050 Low estimate AR5'!AS17,'[19]1990-2050 Low estimate AR5'!AS24,'[19]1990-2050 Low estimate AR5'!AS31,'[19]1990-2050 Low estimate AR5'!AS38,'[19]1990-2050 Low estimate AR5'!AS45)</f>
        <v>42204.254045240894</v>
      </c>
      <c r="AS17" s="152">
        <f>SUM('[19]1990-2050 Low estimate AR5'!AT10,'[19]1990-2050 Low estimate AR5'!AT17,'[19]1990-2050 Low estimate AR5'!AT24,'[19]1990-2050 Low estimate AR5'!AT31,'[19]1990-2050 Low estimate AR5'!AT38,'[19]1990-2050 Low estimate AR5'!AT45)</f>
        <v>40622.648489708175</v>
      </c>
      <c r="AT17" s="152">
        <f>SUM('[19]1990-2050 Low estimate AR5'!AU10,'[19]1990-2050 Low estimate AR5'!AU17,'[19]1990-2050 Low estimate AR5'!AU24,'[19]1990-2050 Low estimate AR5'!AU31,'[19]1990-2050 Low estimate AR5'!AU38,'[19]1990-2050 Low estimate AR5'!AU45)</f>
        <v>39019.604809957658</v>
      </c>
      <c r="AU17" s="152">
        <f>SUM('[19]1990-2050 Low estimate AR5'!AV10,'[19]1990-2050 Low estimate AR5'!AV17,'[19]1990-2050 Low estimate AR5'!AV24,'[19]1990-2050 Low estimate AR5'!AV31,'[19]1990-2050 Low estimate AR5'!AV38,'[19]1990-2050 Low estimate AR5'!AV45)</f>
        <v>37266.695591972937</v>
      </c>
      <c r="AV17" s="152">
        <f>SUM('[19]1990-2050 Low estimate AR5'!AW10,'[19]1990-2050 Low estimate AR5'!AW17,'[19]1990-2050 Low estimate AR5'!AW24,'[19]1990-2050 Low estimate AR5'!AW31,'[19]1990-2050 Low estimate AR5'!AW38,'[19]1990-2050 Low estimate AR5'!AW45)</f>
        <v>35229.109514021962</v>
      </c>
      <c r="AW17" s="152">
        <f>SUM('[19]1990-2050 Low estimate AR5'!AX10,'[19]1990-2050 Low estimate AR5'!AX17,'[19]1990-2050 Low estimate AR5'!AX24,'[19]1990-2050 Low estimate AR5'!AX31,'[19]1990-2050 Low estimate AR5'!AX38,'[19]1990-2050 Low estimate AR5'!AX45)</f>
        <v>32460.183039882591</v>
      </c>
      <c r="AX17" s="152">
        <f>SUM('[19]1990-2050 Low estimate AR5'!AY10,'[19]1990-2050 Low estimate AR5'!AY17,'[19]1990-2050 Low estimate AR5'!AY24,'[19]1990-2050 Low estimate AR5'!AY31,'[19]1990-2050 Low estimate AR5'!AY38,'[19]1990-2050 Low estimate AR5'!AY45)</f>
        <v>29318.256956356694</v>
      </c>
      <c r="AY17" s="152">
        <f>SUM('[19]1990-2050 Low estimate AR5'!AZ10,'[19]1990-2050 Low estimate AR5'!AZ17,'[19]1990-2050 Low estimate AR5'!AZ24,'[19]1990-2050 Low estimate AR5'!AZ31,'[19]1990-2050 Low estimate AR5'!AZ38,'[19]1990-2050 Low estimate AR5'!AZ45)</f>
        <v>26846.788578016909</v>
      </c>
      <c r="AZ17" s="152">
        <f>SUM('[19]1990-2050 Low estimate AR5'!BA10,'[19]1990-2050 Low estimate AR5'!BA17,'[19]1990-2050 Low estimate AR5'!BA24,'[19]1990-2050 Low estimate AR5'!BA31,'[19]1990-2050 Low estimate AR5'!BA38,'[19]1990-2050 Low estimate AR5'!BA45)</f>
        <v>24510.803199020844</v>
      </c>
      <c r="BA17" s="152">
        <f>SUM('[19]1990-2050 Low estimate AR5'!BB10,'[19]1990-2050 Low estimate AR5'!BB17,'[19]1990-2050 Low estimate AR5'!BB24,'[19]1990-2050 Low estimate AR5'!BB31,'[19]1990-2050 Low estimate AR5'!BB38,'[19]1990-2050 Low estimate AR5'!BB45)</f>
        <v>21585.863001390124</v>
      </c>
      <c r="BB17" s="152">
        <f>SUM('[19]1990-2050 Low estimate AR5'!BC10,'[19]1990-2050 Low estimate AR5'!BC17,'[19]1990-2050 Low estimate AR5'!BC24,'[19]1990-2050 Low estimate AR5'!BC31,'[19]1990-2050 Low estimate AR5'!BC38,'[19]1990-2050 Low estimate AR5'!BC45)</f>
        <v>19685.652659529813</v>
      </c>
      <c r="BC17" s="152">
        <f>SUM('[19]1990-2050 Low estimate AR5'!BD10,'[19]1990-2050 Low estimate AR5'!BD17,'[19]1990-2050 Low estimate AR5'!BD24,'[19]1990-2050 Low estimate AR5'!BD31,'[19]1990-2050 Low estimate AR5'!BD38,'[19]1990-2050 Low estimate AR5'!BD45)</f>
        <v>18361.397485203444</v>
      </c>
      <c r="BD17" s="152">
        <f>SUM('[19]1990-2050 Low estimate AR5'!BE10,'[19]1990-2050 Low estimate AR5'!BE17,'[19]1990-2050 Low estimate AR5'!BE24,'[19]1990-2050 Low estimate AR5'!BE31,'[19]1990-2050 Low estimate AR5'!BE38,'[19]1990-2050 Low estimate AR5'!BE45)</f>
        <v>17489.839225969212</v>
      </c>
      <c r="BE17" s="152">
        <f>SUM('[19]1990-2050 Low estimate AR5'!BF10,'[19]1990-2050 Low estimate AR5'!BF17,'[19]1990-2050 Low estimate AR5'!BF24,'[19]1990-2050 Low estimate AR5'!BF31,'[19]1990-2050 Low estimate AR5'!BF38,'[19]1990-2050 Low estimate AR5'!BF45)</f>
        <v>17342.566257919927</v>
      </c>
      <c r="BF17" s="152">
        <f>SUM('[19]1990-2050 Low estimate AR5'!BG10,'[19]1990-2050 Low estimate AR5'!BG17,'[19]1990-2050 Low estimate AR5'!BG24,'[19]1990-2050 Low estimate AR5'!BG31,'[19]1990-2050 Low estimate AR5'!BG38,'[19]1990-2050 Low estimate AR5'!BG45)</f>
        <v>18145.132285801312</v>
      </c>
      <c r="BG17" s="152">
        <f>SUM('[19]1990-2050 Low estimate AR5'!BH10,'[19]1990-2050 Low estimate AR5'!BH17,'[19]1990-2050 Low estimate AR5'!BH24,'[19]1990-2050 Low estimate AR5'!BH31,'[19]1990-2050 Low estimate AR5'!BH38,'[19]1990-2050 Low estimate AR5'!BH45)</f>
        <v>18425.528323776743</v>
      </c>
      <c r="BH17" s="152">
        <f>SUM('[19]1990-2050 Low estimate AR5'!BI10,'[19]1990-2050 Low estimate AR5'!BI17,'[19]1990-2050 Low estimate AR5'!BI24,'[19]1990-2050 Low estimate AR5'!BI31,'[19]1990-2050 Low estimate AR5'!BI38,'[19]1990-2050 Low estimate AR5'!BI45)</f>
        <v>17377.402546163736</v>
      </c>
      <c r="BI17" s="152">
        <f>SUM('[19]1990-2050 Low estimate AR5'!BJ10,'[19]1990-2050 Low estimate AR5'!BJ17,'[19]1990-2050 Low estimate AR5'!BJ24,'[19]1990-2050 Low estimate AR5'!BJ31,'[19]1990-2050 Low estimate AR5'!BJ38,'[19]1990-2050 Low estimate AR5'!BJ45)</f>
        <v>16366.893359686943</v>
      </c>
      <c r="BJ17" s="152">
        <f>SUM('[19]1990-2050 Low estimate AR5'!BK10,'[19]1990-2050 Low estimate AR5'!BK17,'[19]1990-2050 Low estimate AR5'!BK24,'[19]1990-2050 Low estimate AR5'!BK31,'[19]1990-2050 Low estimate AR5'!BK38,'[19]1990-2050 Low estimate AR5'!BK45)</f>
        <v>15311.927761040579</v>
      </c>
    </row>
    <row r="20" spans="1:62">
      <c r="BJ20" s="154"/>
    </row>
    <row r="21" spans="1:62">
      <c r="L21" s="60"/>
      <c r="BJ21" s="154"/>
    </row>
    <row r="22" spans="1:62">
      <c r="B22" s="60"/>
      <c r="C22" s="60"/>
      <c r="D22" s="60"/>
      <c r="E22" s="60"/>
      <c r="F22" s="60"/>
      <c r="G22" s="60"/>
      <c r="H22" s="60"/>
      <c r="I22" s="60"/>
      <c r="J22" s="60"/>
      <c r="K22" s="60"/>
      <c r="L22" s="60"/>
      <c r="M22" s="60"/>
      <c r="N22" s="60"/>
      <c r="O22" s="60"/>
      <c r="P22" s="60"/>
      <c r="Q22" s="60"/>
      <c r="R22" s="60"/>
      <c r="S22" s="60"/>
      <c r="T22" s="60"/>
      <c r="U22" s="60"/>
      <c r="V22" s="60"/>
      <c r="W22" s="60"/>
      <c r="X22" s="60"/>
      <c r="Y22" s="60"/>
      <c r="Z22" s="60"/>
      <c r="AA22" s="60"/>
      <c r="AB22" s="60"/>
      <c r="AC22" s="60"/>
      <c r="AD22" s="60"/>
      <c r="AE22" s="60"/>
      <c r="AF22" s="60"/>
      <c r="AG22" s="60"/>
    </row>
    <row r="23" spans="1:62">
      <c r="L23" s="60"/>
    </row>
  </sheetData>
  <hyperlinks>
    <hyperlink ref="C5" r:id="rId1" xr:uid="{92554264-B8A0-4376-8C88-99918E016F63}"/>
  </hyperlinks>
  <pageMargins left="0.7" right="0.7" top="0.75" bottom="0.75" header="0.3" footer="0.3"/>
  <pageSetup paperSize="9"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C6890B-1C4A-4885-9A83-F921D67AA7E5}">
  <sheetPr codeName="Sheet23">
    <tabColor theme="5" tint="0.79998168889431442"/>
  </sheetPr>
  <dimension ref="A1:IH15"/>
  <sheetViews>
    <sheetView topLeftCell="U1" zoomScale="85" zoomScaleNormal="85" workbookViewId="0">
      <selection activeCell="AB3" sqref="AB3"/>
    </sheetView>
  </sheetViews>
  <sheetFormatPr defaultRowHeight="15"/>
  <cols>
    <col min="4" max="64" width="10.5703125" bestFit="1" customWidth="1"/>
  </cols>
  <sheetData>
    <row r="1" spans="1:242">
      <c r="A1" t="s">
        <v>1062</v>
      </c>
      <c r="D1">
        <v>1990</v>
      </c>
      <c r="E1">
        <f>D1+1</f>
        <v>1991</v>
      </c>
      <c r="F1">
        <f t="shared" ref="F1:AI1" si="0">E1+1</f>
        <v>1992</v>
      </c>
      <c r="G1">
        <f t="shared" si="0"/>
        <v>1993</v>
      </c>
      <c r="H1">
        <f t="shared" si="0"/>
        <v>1994</v>
      </c>
      <c r="I1">
        <f t="shared" si="0"/>
        <v>1995</v>
      </c>
      <c r="J1">
        <f t="shared" si="0"/>
        <v>1996</v>
      </c>
      <c r="K1">
        <f t="shared" si="0"/>
        <v>1997</v>
      </c>
      <c r="L1">
        <f t="shared" si="0"/>
        <v>1998</v>
      </c>
      <c r="M1">
        <f t="shared" si="0"/>
        <v>1999</v>
      </c>
      <c r="N1">
        <f t="shared" si="0"/>
        <v>2000</v>
      </c>
      <c r="O1">
        <f t="shared" si="0"/>
        <v>2001</v>
      </c>
      <c r="P1">
        <f t="shared" si="0"/>
        <v>2002</v>
      </c>
      <c r="Q1">
        <f t="shared" si="0"/>
        <v>2003</v>
      </c>
      <c r="R1">
        <f t="shared" si="0"/>
        <v>2004</v>
      </c>
      <c r="S1">
        <f t="shared" si="0"/>
        <v>2005</v>
      </c>
      <c r="T1">
        <f t="shared" si="0"/>
        <v>2006</v>
      </c>
      <c r="U1">
        <f t="shared" si="0"/>
        <v>2007</v>
      </c>
      <c r="V1">
        <f t="shared" si="0"/>
        <v>2008</v>
      </c>
      <c r="W1">
        <f t="shared" si="0"/>
        <v>2009</v>
      </c>
      <c r="X1">
        <f t="shared" si="0"/>
        <v>2010</v>
      </c>
      <c r="Y1">
        <f t="shared" si="0"/>
        <v>2011</v>
      </c>
      <c r="Z1">
        <f t="shared" si="0"/>
        <v>2012</v>
      </c>
      <c r="AA1">
        <f t="shared" si="0"/>
        <v>2013</v>
      </c>
      <c r="AB1">
        <f t="shared" si="0"/>
        <v>2014</v>
      </c>
      <c r="AC1">
        <f t="shared" si="0"/>
        <v>2015</v>
      </c>
      <c r="AD1">
        <f t="shared" si="0"/>
        <v>2016</v>
      </c>
      <c r="AE1">
        <f t="shared" si="0"/>
        <v>2017</v>
      </c>
      <c r="AF1">
        <f t="shared" si="0"/>
        <v>2018</v>
      </c>
      <c r="AG1">
        <f t="shared" si="0"/>
        <v>2019</v>
      </c>
      <c r="AH1">
        <f t="shared" si="0"/>
        <v>2020</v>
      </c>
      <c r="AI1" s="158">
        <f t="shared" si="0"/>
        <v>2021</v>
      </c>
      <c r="AJ1">
        <f t="shared" ref="AJ1" si="1">AI1+1</f>
        <v>2022</v>
      </c>
      <c r="AK1">
        <f t="shared" ref="AK1" si="2">AJ1+1</f>
        <v>2023</v>
      </c>
      <c r="AL1">
        <f t="shared" ref="AL1" si="3">AK1+1</f>
        <v>2024</v>
      </c>
      <c r="AM1">
        <f t="shared" ref="AM1" si="4">AL1+1</f>
        <v>2025</v>
      </c>
      <c r="AN1">
        <f t="shared" ref="AN1" si="5">AM1+1</f>
        <v>2026</v>
      </c>
      <c r="AO1">
        <f t="shared" ref="AO1" si="6">AN1+1</f>
        <v>2027</v>
      </c>
      <c r="AP1">
        <f t="shared" ref="AP1" si="7">AO1+1</f>
        <v>2028</v>
      </c>
      <c r="AQ1">
        <f t="shared" ref="AQ1" si="8">AP1+1</f>
        <v>2029</v>
      </c>
      <c r="AR1">
        <f t="shared" ref="AR1" si="9">AQ1+1</f>
        <v>2030</v>
      </c>
      <c r="AS1">
        <f t="shared" ref="AS1" si="10">AR1+1</f>
        <v>2031</v>
      </c>
      <c r="AT1">
        <f t="shared" ref="AT1" si="11">AS1+1</f>
        <v>2032</v>
      </c>
      <c r="AU1">
        <f t="shared" ref="AU1" si="12">AT1+1</f>
        <v>2033</v>
      </c>
      <c r="AV1">
        <f t="shared" ref="AV1" si="13">AU1+1</f>
        <v>2034</v>
      </c>
      <c r="AW1">
        <f t="shared" ref="AW1" si="14">AV1+1</f>
        <v>2035</v>
      </c>
      <c r="AX1">
        <f t="shared" ref="AX1" si="15">AW1+1</f>
        <v>2036</v>
      </c>
      <c r="AY1">
        <f t="shared" ref="AY1" si="16">AX1+1</f>
        <v>2037</v>
      </c>
      <c r="AZ1">
        <f t="shared" ref="AZ1" si="17">AY1+1</f>
        <v>2038</v>
      </c>
      <c r="BA1">
        <f t="shared" ref="BA1" si="18">AZ1+1</f>
        <v>2039</v>
      </c>
      <c r="BB1">
        <f t="shared" ref="BB1" si="19">BA1+1</f>
        <v>2040</v>
      </c>
      <c r="BC1">
        <f t="shared" ref="BC1" si="20">BB1+1</f>
        <v>2041</v>
      </c>
      <c r="BD1">
        <f t="shared" ref="BD1" si="21">BC1+1</f>
        <v>2042</v>
      </c>
      <c r="BE1">
        <f t="shared" ref="BE1" si="22">BD1+1</f>
        <v>2043</v>
      </c>
      <c r="BF1">
        <f t="shared" ref="BF1" si="23">BE1+1</f>
        <v>2044</v>
      </c>
      <c r="BG1">
        <f t="shared" ref="BG1" si="24">BF1+1</f>
        <v>2045</v>
      </c>
      <c r="BH1">
        <f t="shared" ref="BH1" si="25">BG1+1</f>
        <v>2046</v>
      </c>
      <c r="BI1">
        <f t="shared" ref="BI1" si="26">BH1+1</f>
        <v>2047</v>
      </c>
      <c r="BJ1">
        <f t="shared" ref="BJ1" si="27">BI1+1</f>
        <v>2048</v>
      </c>
      <c r="BK1">
        <f t="shared" ref="BK1" si="28">BJ1+1</f>
        <v>2049</v>
      </c>
      <c r="BL1">
        <f t="shared" ref="BL1" si="29">BK1+1</f>
        <v>2050</v>
      </c>
    </row>
    <row r="2" spans="1:242">
      <c r="AI2" s="158"/>
    </row>
    <row r="3" spans="1:242">
      <c r="C3" t="s">
        <v>1063</v>
      </c>
      <c r="D3" s="186">
        <f>SUM('1990-2050 Central estimate AR5'!C26,'1990-2050 Central estimate AR5'!C33)</f>
        <v>35142.69</v>
      </c>
      <c r="E3" s="186">
        <f>SUM('1990-2050 Central estimate AR5'!D26,'1990-2050 Central estimate AR5'!D33)</f>
        <v>35411.769999999997</v>
      </c>
      <c r="F3" s="186">
        <f>SUM('1990-2050 Central estimate AR5'!E26,'1990-2050 Central estimate AR5'!E33)</f>
        <v>34987.410000000003</v>
      </c>
      <c r="G3" s="186">
        <f>SUM('1990-2050 Central estimate AR5'!F26,'1990-2050 Central estimate AR5'!F33)</f>
        <v>35243.050000000003</v>
      </c>
      <c r="H3" s="186">
        <f>SUM('1990-2050 Central estimate AR5'!G26,'1990-2050 Central estimate AR5'!G33)</f>
        <v>36076.85</v>
      </c>
      <c r="I3" s="186">
        <f>SUM('1990-2050 Central estimate AR5'!H26,'1990-2050 Central estimate AR5'!H33)</f>
        <v>36476.67</v>
      </c>
      <c r="J3" s="186">
        <f>SUM('1990-2050 Central estimate AR5'!I26,'1990-2050 Central estimate AR5'!I33)</f>
        <v>36895.65</v>
      </c>
      <c r="K3" s="186">
        <f>SUM('1990-2050 Central estimate AR5'!J26,'1990-2050 Central estimate AR5'!J33)</f>
        <v>37776.04</v>
      </c>
      <c r="L3" s="186">
        <f>SUM('1990-2050 Central estimate AR5'!K26,'1990-2050 Central estimate AR5'!K33)</f>
        <v>37083.56</v>
      </c>
      <c r="M3" s="186">
        <f>SUM('1990-2050 Central estimate AR5'!L26,'1990-2050 Central estimate AR5'!L33)</f>
        <v>37226.22</v>
      </c>
      <c r="N3" s="186">
        <f>SUM('1990-2050 Central estimate AR5'!M26,'1990-2050 Central estimate AR5'!M33)</f>
        <v>38131.4</v>
      </c>
      <c r="O3" s="186">
        <f>SUM('1990-2050 Central estimate AR5'!N26,'1990-2050 Central estimate AR5'!N33)</f>
        <v>38513.979999999996</v>
      </c>
      <c r="P3" s="186">
        <f>SUM('1990-2050 Central estimate AR5'!O26,'1990-2050 Central estimate AR5'!O33)</f>
        <v>38198.25</v>
      </c>
      <c r="Q3" s="186">
        <f>SUM('1990-2050 Central estimate AR5'!P26,'1990-2050 Central estimate AR5'!P33)</f>
        <v>38521.17</v>
      </c>
      <c r="R3" s="186">
        <f>SUM('1990-2050 Central estimate AR5'!Q26,'1990-2050 Central estimate AR5'!Q33)</f>
        <v>38547.71</v>
      </c>
      <c r="S3" s="186">
        <f>SUM('1990-2050 Central estimate AR5'!R26,'1990-2050 Central estimate AR5'!R33)</f>
        <v>38842.200000000004</v>
      </c>
      <c r="T3" s="186">
        <f>SUM('1990-2050 Central estimate AR5'!S26,'1990-2050 Central estimate AR5'!S33)</f>
        <v>38739.58</v>
      </c>
      <c r="U3" s="186">
        <f>SUM('1990-2050 Central estimate AR5'!T26,'1990-2050 Central estimate AR5'!T33)</f>
        <v>37833.61</v>
      </c>
      <c r="V3" s="186">
        <f>SUM('1990-2050 Central estimate AR5'!U26,'1990-2050 Central estimate AR5'!U33)</f>
        <v>36414.57</v>
      </c>
      <c r="W3" s="186">
        <f>SUM('1990-2050 Central estimate AR5'!V26,'1990-2050 Central estimate AR5'!V33)</f>
        <v>36389.65</v>
      </c>
      <c r="X3" s="186">
        <f>SUM('1990-2050 Central estimate AR5'!W26,'1990-2050 Central estimate AR5'!W33)</f>
        <v>36426.01</v>
      </c>
      <c r="Y3" s="186">
        <f>SUM('1990-2050 Central estimate AR5'!X26,'1990-2050 Central estimate AR5'!X33)</f>
        <v>36680.369999999995</v>
      </c>
      <c r="Z3" s="186">
        <f>SUM('1990-2050 Central estimate AR5'!Y26,'1990-2050 Central estimate AR5'!Y33)</f>
        <v>37212.14</v>
      </c>
      <c r="AA3" s="186">
        <f>SUM('1990-2050 Central estimate AR5'!Z26,'1990-2050 Central estimate AR5'!Z33)</f>
        <v>37405.360000000001</v>
      </c>
      <c r="AB3" s="186">
        <f>SUM('1990-2050 Central estimate AR5'!AA26,'1990-2050 Central estimate AR5'!AA33)</f>
        <v>37659.160000000003</v>
      </c>
      <c r="AC3" s="186">
        <f>SUM('1990-2050 Central estimate AR5'!AB26,'1990-2050 Central estimate AR5'!AB33)</f>
        <v>37098.130000000005</v>
      </c>
      <c r="AD3" s="186">
        <f>SUM('1990-2050 Central estimate AR5'!AC26,'1990-2050 Central estimate AR5'!AC33)</f>
        <v>36620.770000000004</v>
      </c>
      <c r="AE3" s="186">
        <f>SUM('1990-2050 Central estimate AR5'!AD26,'1990-2050 Central estimate AR5'!AD33)</f>
        <v>36710.870000000003</v>
      </c>
      <c r="AF3" s="186">
        <f>SUM('1990-2050 Central estimate AR5'!AE26,'1990-2050 Central estimate AR5'!AE33)</f>
        <v>36822.44</v>
      </c>
      <c r="AG3" s="186">
        <f>SUM('1990-2050 Central estimate AR5'!AF26,'1990-2050 Central estimate AR5'!AF33)</f>
        <v>36836.78</v>
      </c>
      <c r="AH3" s="186">
        <f>SUM('1990-2050 Central estimate AR5'!AG26,'1990-2050 Central estimate AR5'!AG33)</f>
        <v>36694.843622</v>
      </c>
      <c r="AI3" s="202">
        <f>SUM('1990-2050 Central estimate AR5'!AH26,'1990-2050 Central estimate AR5'!AH33)</f>
        <v>36293.530471999999</v>
      </c>
      <c r="AJ3" s="186">
        <f>SUM('1990-2050 Central estimate AR5'!AI26,'1990-2050 Central estimate AR5'!AI33)</f>
        <v>35844.490449128534</v>
      </c>
      <c r="AK3" s="186">
        <f>SUM('1990-2050 Central estimate AR5'!AJ26,'1990-2050 Central estimate AR5'!AJ33)</f>
        <v>35331.699055802943</v>
      </c>
      <c r="AL3" s="186">
        <f>SUM('1990-2050 Central estimate AR5'!AK26,'1990-2050 Central estimate AR5'!AK33)</f>
        <v>34758.349995016993</v>
      </c>
      <c r="AM3" s="186">
        <f>SUM('1990-2050 Central estimate AR5'!AL26,'1990-2050 Central estimate AR5'!AL33)</f>
        <v>34292.602925726998</v>
      </c>
      <c r="AN3" s="186">
        <f>SUM('1990-2050 Central estimate AR5'!AM26,'1990-2050 Central estimate AR5'!AM33)</f>
        <v>33934.746258579202</v>
      </c>
      <c r="AO3" s="186">
        <f>SUM('1990-2050 Central estimate AR5'!AN26,'1990-2050 Central estimate AR5'!AN33)</f>
        <v>33647.018112586229</v>
      </c>
      <c r="AP3" s="186">
        <f>SUM('1990-2050 Central estimate AR5'!AO26,'1990-2050 Central estimate AR5'!AO33)</f>
        <v>33377.428380795121</v>
      </c>
      <c r="AQ3" s="186">
        <f>SUM('1990-2050 Central estimate AR5'!AP26,'1990-2050 Central estimate AR5'!AP33)</f>
        <v>33164.665691231021</v>
      </c>
      <c r="AR3" s="186">
        <f>SUM('1990-2050 Central estimate AR5'!AQ26,'1990-2050 Central estimate AR5'!AQ33)</f>
        <v>32966.31268313757</v>
      </c>
      <c r="AS3" s="186">
        <f>SUM('1990-2050 Central estimate AR5'!AR26,'1990-2050 Central estimate AR5'!AR33)</f>
        <v>32760.927501077964</v>
      </c>
      <c r="AT3" s="186">
        <f>SUM('1990-2050 Central estimate AR5'!AS26,'1990-2050 Central estimate AR5'!AS33)</f>
        <v>32571.47048053973</v>
      </c>
      <c r="AU3" s="186">
        <f>SUM('1990-2050 Central estimate AR5'!AT26,'1990-2050 Central estimate AR5'!AT33)</f>
        <v>32404.231626637604</v>
      </c>
      <c r="AV3" s="186">
        <f>SUM('1990-2050 Central estimate AR5'!AU26,'1990-2050 Central estimate AR5'!AU33)</f>
        <v>32318.789926744001</v>
      </c>
      <c r="AW3" s="186">
        <f>SUM('1990-2050 Central estimate AR5'!AV26,'1990-2050 Central estimate AR5'!AV33)</f>
        <v>32280.623703883532</v>
      </c>
      <c r="AX3" s="186">
        <f>SUM('1990-2050 Central estimate AR5'!AW26,'1990-2050 Central estimate AR5'!AW33)</f>
        <v>32232.789816791254</v>
      </c>
      <c r="AY3" s="186">
        <f>SUM('1990-2050 Central estimate AR5'!AX26,'1990-2050 Central estimate AR5'!AX33)</f>
        <v>32199.159885839752</v>
      </c>
      <c r="AZ3" s="186">
        <f>SUM('1990-2050 Central estimate AR5'!AY26,'1990-2050 Central estimate AR5'!AY33)</f>
        <v>32170.502663037609</v>
      </c>
      <c r="BA3" s="186">
        <f>SUM('1990-2050 Central estimate AR5'!AZ26,'1990-2050 Central estimate AR5'!AZ33)</f>
        <v>32139.637920122266</v>
      </c>
      <c r="BB3" s="186">
        <f>SUM('1990-2050 Central estimate AR5'!BA26,'1990-2050 Central estimate AR5'!BA33)</f>
        <v>32109.28440663356</v>
      </c>
      <c r="BC3" s="186">
        <f>SUM('1990-2050 Central estimate AR5'!BB26,'1990-2050 Central estimate AR5'!BB33)</f>
        <v>32080.088504848056</v>
      </c>
      <c r="BD3" s="186">
        <f>SUM('1990-2050 Central estimate AR5'!BC26,'1990-2050 Central estimate AR5'!BC33)</f>
        <v>32054.982666861069</v>
      </c>
      <c r="BE3" s="186">
        <f>SUM('1990-2050 Central estimate AR5'!BD26,'1990-2050 Central estimate AR5'!BD33)</f>
        <v>32028.552664748098</v>
      </c>
      <c r="BF3" s="186">
        <f>SUM('1990-2050 Central estimate AR5'!BE26,'1990-2050 Central estimate AR5'!BE33)</f>
        <v>32002.950270762616</v>
      </c>
      <c r="BG3" s="186">
        <f>SUM('1990-2050 Central estimate AR5'!BF26,'1990-2050 Central estimate AR5'!BF33)</f>
        <v>31977.380659671366</v>
      </c>
      <c r="BH3" s="186">
        <f>SUM('1990-2050 Central estimate AR5'!BG26,'1990-2050 Central estimate AR5'!BG33)</f>
        <v>31952.583406865546</v>
      </c>
      <c r="BI3" s="186">
        <f>SUM('1990-2050 Central estimate AR5'!BH26,'1990-2050 Central estimate AR5'!BH33)</f>
        <v>31927.977457168465</v>
      </c>
      <c r="BJ3" s="186">
        <f>SUM('1990-2050 Central estimate AR5'!BI26,'1990-2050 Central estimate AR5'!BI33)</f>
        <v>31903.136134103053</v>
      </c>
      <c r="BK3" s="186">
        <f>SUM('1990-2050 Central estimate AR5'!BJ26,'1990-2050 Central estimate AR5'!BJ33)</f>
        <v>31879.878817088724</v>
      </c>
      <c r="BL3" s="186">
        <f>SUM('1990-2050 Central estimate AR5'!BK26,'1990-2050 Central estimate AR5'!BK33)</f>
        <v>31852.285753460877</v>
      </c>
      <c r="BM3" s="123"/>
      <c r="BN3" s="123"/>
      <c r="BO3" s="123"/>
      <c r="BP3" s="123"/>
      <c r="BQ3" s="123"/>
      <c r="BR3" s="123"/>
      <c r="BS3" s="123"/>
      <c r="BT3" s="123"/>
      <c r="BU3" s="123"/>
      <c r="BV3" s="123"/>
      <c r="BW3" s="123"/>
      <c r="BX3" s="123"/>
      <c r="BY3" s="123"/>
      <c r="BZ3" s="123"/>
      <c r="CA3" s="123"/>
      <c r="CB3" s="123"/>
      <c r="CC3" s="123"/>
      <c r="CD3" s="123"/>
      <c r="CE3" s="123"/>
      <c r="CF3" s="123"/>
      <c r="CG3" s="123"/>
      <c r="CH3" s="123"/>
      <c r="CI3" s="123"/>
      <c r="CJ3" s="123"/>
      <c r="CK3" s="123"/>
      <c r="CL3" s="123"/>
      <c r="CM3" s="123"/>
      <c r="CN3" s="123"/>
      <c r="CO3" s="123"/>
      <c r="CP3" s="123"/>
      <c r="CQ3" s="123"/>
      <c r="CR3" s="123"/>
      <c r="CS3" s="123"/>
      <c r="CT3" s="123"/>
      <c r="CU3" s="123"/>
      <c r="CV3" s="123"/>
      <c r="CW3" s="123"/>
      <c r="CX3" s="123"/>
      <c r="CY3" s="123"/>
      <c r="CZ3" s="123"/>
      <c r="DA3" s="123"/>
      <c r="DB3" s="123"/>
      <c r="DC3" s="123"/>
      <c r="DD3" s="123"/>
      <c r="DE3" s="123"/>
      <c r="DF3" s="123"/>
      <c r="DG3" s="123"/>
      <c r="DH3" s="123"/>
      <c r="DI3" s="123"/>
      <c r="DJ3" s="123"/>
      <c r="DK3" s="123"/>
      <c r="DL3" s="123"/>
      <c r="DM3" s="123"/>
      <c r="DN3" s="123"/>
      <c r="DO3" s="123"/>
      <c r="DP3" s="123"/>
      <c r="DQ3" s="123"/>
      <c r="DR3" s="123"/>
      <c r="DS3" s="123"/>
      <c r="DT3" s="123"/>
      <c r="DU3" s="123"/>
      <c r="DV3" s="123"/>
      <c r="DW3" s="123"/>
      <c r="DX3" s="123"/>
      <c r="DY3" s="123"/>
      <c r="DZ3" s="123"/>
      <c r="EA3" s="123"/>
      <c r="EB3" s="123"/>
      <c r="EC3" s="123"/>
      <c r="ED3" s="123"/>
      <c r="EE3" s="123"/>
      <c r="EF3" s="123"/>
      <c r="EG3" s="123"/>
      <c r="EH3" s="123"/>
      <c r="EI3" s="123"/>
      <c r="EJ3" s="123"/>
      <c r="EK3" s="123"/>
      <c r="EL3" s="123"/>
      <c r="EM3" s="123"/>
      <c r="EN3" s="123"/>
      <c r="EO3" s="123"/>
      <c r="EP3" s="123"/>
      <c r="EQ3" s="123"/>
      <c r="ER3" s="123"/>
      <c r="ES3" s="123"/>
      <c r="ET3" s="123"/>
      <c r="EU3" s="123"/>
      <c r="EV3" s="123"/>
      <c r="EW3" s="123"/>
      <c r="EX3" s="123"/>
      <c r="EY3" s="123"/>
      <c r="EZ3" s="123"/>
      <c r="FA3" s="123"/>
      <c r="FB3" s="123"/>
      <c r="FC3" s="123"/>
      <c r="FD3" s="123"/>
      <c r="FE3" s="123"/>
      <c r="FF3" s="123"/>
      <c r="FG3" s="123"/>
      <c r="FH3" s="123"/>
      <c r="FI3" s="123"/>
      <c r="FJ3" s="123"/>
      <c r="FK3" s="123"/>
      <c r="FL3" s="123"/>
      <c r="FM3" s="123"/>
      <c r="FN3" s="123"/>
      <c r="FO3" s="123"/>
      <c r="FP3" s="123"/>
      <c r="FQ3" s="123"/>
      <c r="FR3" s="123"/>
      <c r="FS3" s="123"/>
      <c r="FT3" s="123"/>
      <c r="FU3" s="123"/>
      <c r="FV3" s="123"/>
      <c r="FW3" s="123"/>
      <c r="FX3" s="123"/>
      <c r="FY3" s="123"/>
      <c r="FZ3" s="123"/>
      <c r="GA3" s="123"/>
      <c r="GB3" s="123"/>
      <c r="GC3" s="123"/>
      <c r="GD3" s="123"/>
      <c r="GE3" s="123"/>
      <c r="GF3" s="123"/>
      <c r="GG3" s="123"/>
      <c r="GH3" s="123"/>
      <c r="GI3" s="123"/>
      <c r="GJ3" s="123"/>
      <c r="GK3" s="123"/>
      <c r="GL3" s="123"/>
      <c r="GM3" s="123"/>
      <c r="GN3" s="123"/>
      <c r="GO3" s="123"/>
      <c r="GP3" s="123"/>
      <c r="GQ3" s="123"/>
      <c r="GR3" s="123"/>
      <c r="GS3" s="123"/>
      <c r="GT3" s="123"/>
      <c r="GU3" s="123"/>
      <c r="GV3" s="123"/>
      <c r="GW3" s="123"/>
      <c r="GX3" s="123"/>
      <c r="GY3" s="123"/>
      <c r="GZ3" s="123"/>
      <c r="HA3" s="123"/>
      <c r="HB3" s="123"/>
      <c r="HC3" s="123"/>
      <c r="HD3" s="123"/>
      <c r="HE3" s="123"/>
      <c r="HF3" s="123"/>
      <c r="HG3" s="123"/>
      <c r="HH3" s="123"/>
      <c r="HI3" s="123"/>
      <c r="HJ3" s="123"/>
      <c r="HK3" s="123"/>
      <c r="HL3" s="123"/>
      <c r="HM3" s="123"/>
      <c r="HN3" s="123"/>
      <c r="HO3" s="123"/>
      <c r="HP3" s="123"/>
      <c r="HQ3" s="123"/>
      <c r="HR3" s="123"/>
      <c r="HS3" s="123"/>
      <c r="HT3" s="123"/>
      <c r="HU3" s="123"/>
      <c r="HV3" s="123"/>
      <c r="HW3" s="123"/>
      <c r="HX3" s="123"/>
      <c r="HY3" s="123"/>
      <c r="HZ3" s="123"/>
      <c r="IA3" s="123"/>
      <c r="IB3" s="123"/>
      <c r="IC3" s="123"/>
      <c r="ID3" s="123"/>
      <c r="IE3" s="123"/>
      <c r="IF3" s="123"/>
      <c r="IG3" s="123"/>
      <c r="IH3" s="123"/>
    </row>
    <row r="4" spans="1:242">
      <c r="D4" s="186"/>
      <c r="E4" s="186"/>
      <c r="F4" s="186"/>
      <c r="G4" s="186"/>
      <c r="H4" s="186"/>
      <c r="I4" s="186"/>
      <c r="J4" s="186"/>
      <c r="K4" s="186"/>
      <c r="L4" s="186"/>
      <c r="M4" s="186"/>
      <c r="N4" s="186"/>
      <c r="O4" s="186"/>
      <c r="P4" s="186"/>
      <c r="Q4" s="186"/>
      <c r="R4" s="186"/>
      <c r="S4" s="186"/>
      <c r="T4" s="186"/>
      <c r="U4" s="186"/>
      <c r="V4" s="186"/>
      <c r="W4" s="186"/>
      <c r="X4" s="186"/>
      <c r="Y4" s="186"/>
      <c r="Z4" s="186"/>
      <c r="AA4" s="186"/>
      <c r="AB4" s="186"/>
      <c r="AC4" s="186"/>
      <c r="AD4" s="186"/>
      <c r="AE4" s="186"/>
      <c r="AF4" s="186"/>
      <c r="AG4" s="186"/>
      <c r="AH4" s="186"/>
      <c r="AI4" s="202"/>
      <c r="AJ4" s="186"/>
      <c r="AK4" s="186"/>
      <c r="AL4" s="186"/>
      <c r="AM4" s="186"/>
      <c r="AN4" s="186"/>
      <c r="AO4" s="186"/>
      <c r="AP4" s="186"/>
      <c r="AQ4" s="186"/>
      <c r="AR4" s="186"/>
      <c r="AS4" s="186"/>
      <c r="AT4" s="186"/>
      <c r="AU4" s="186"/>
      <c r="AV4" s="186"/>
      <c r="AW4" s="186"/>
      <c r="AX4" s="186"/>
      <c r="AY4" s="186"/>
      <c r="AZ4" s="186"/>
      <c r="BA4" s="186"/>
      <c r="BB4" s="186"/>
      <c r="BC4" s="186"/>
      <c r="BD4" s="186"/>
      <c r="BE4" s="186"/>
      <c r="BF4" s="186"/>
      <c r="BG4" s="186"/>
      <c r="BH4" s="186"/>
      <c r="BI4" s="186"/>
      <c r="BJ4" s="186"/>
      <c r="BK4" s="186"/>
      <c r="BL4" s="186"/>
    </row>
    <row r="5" spans="1:242">
      <c r="C5" t="s">
        <v>128</v>
      </c>
      <c r="D5" s="186">
        <f t="shared" ref="D5:AI5" si="30">D3/GWP_CH4_AR5</f>
        <v>1255.0960714285716</v>
      </c>
      <c r="E5" s="186">
        <f t="shared" si="30"/>
        <v>1264.7060714285712</v>
      </c>
      <c r="F5" s="186">
        <f t="shared" si="30"/>
        <v>1249.5503571428574</v>
      </c>
      <c r="G5" s="186">
        <f t="shared" si="30"/>
        <v>1258.6803571428572</v>
      </c>
      <c r="H5" s="186">
        <f t="shared" si="30"/>
        <v>1288.4589285714285</v>
      </c>
      <c r="I5" s="186">
        <f t="shared" si="30"/>
        <v>1302.7382142857143</v>
      </c>
      <c r="J5" s="186">
        <f t="shared" si="30"/>
        <v>1317.7017857142857</v>
      </c>
      <c r="K5" s="186">
        <f t="shared" si="30"/>
        <v>1349.1442857142858</v>
      </c>
      <c r="L5" s="186">
        <f t="shared" si="30"/>
        <v>1324.4128571428571</v>
      </c>
      <c r="M5" s="186">
        <f t="shared" si="30"/>
        <v>1329.5078571428571</v>
      </c>
      <c r="N5" s="186">
        <f t="shared" si="30"/>
        <v>1361.8357142857144</v>
      </c>
      <c r="O5" s="186">
        <f t="shared" si="30"/>
        <v>1375.4992857142856</v>
      </c>
      <c r="P5" s="186">
        <f t="shared" si="30"/>
        <v>1364.2232142857142</v>
      </c>
      <c r="Q5" s="186">
        <f t="shared" si="30"/>
        <v>1375.7560714285714</v>
      </c>
      <c r="R5" s="186">
        <f t="shared" si="30"/>
        <v>1376.7039285714286</v>
      </c>
      <c r="S5" s="186">
        <f t="shared" si="30"/>
        <v>1387.2214285714288</v>
      </c>
      <c r="T5" s="186">
        <f t="shared" si="30"/>
        <v>1383.5564285714286</v>
      </c>
      <c r="U5" s="186">
        <f t="shared" si="30"/>
        <v>1351.2003571428572</v>
      </c>
      <c r="V5" s="186">
        <f t="shared" si="30"/>
        <v>1300.5203571428572</v>
      </c>
      <c r="W5" s="186">
        <f t="shared" si="30"/>
        <v>1299.6303571428573</v>
      </c>
      <c r="X5" s="186">
        <f t="shared" si="30"/>
        <v>1300.9289285714287</v>
      </c>
      <c r="Y5" s="186">
        <f t="shared" si="30"/>
        <v>1310.0132142857142</v>
      </c>
      <c r="Z5" s="186">
        <f t="shared" si="30"/>
        <v>1329.0049999999999</v>
      </c>
      <c r="AA5" s="186">
        <f t="shared" si="30"/>
        <v>1335.9057142857143</v>
      </c>
      <c r="AB5" s="186">
        <f t="shared" si="30"/>
        <v>1344.97</v>
      </c>
      <c r="AC5" s="186">
        <f t="shared" si="30"/>
        <v>1324.9332142857145</v>
      </c>
      <c r="AD5" s="186">
        <f t="shared" si="30"/>
        <v>1307.884642857143</v>
      </c>
      <c r="AE5" s="186">
        <f t="shared" si="30"/>
        <v>1311.1025000000002</v>
      </c>
      <c r="AF5" s="186">
        <f t="shared" si="30"/>
        <v>1315.0871428571429</v>
      </c>
      <c r="AG5" s="186">
        <f t="shared" si="30"/>
        <v>1315.5992857142858</v>
      </c>
      <c r="AH5" s="186">
        <f t="shared" si="30"/>
        <v>1310.5301293571429</v>
      </c>
      <c r="AI5" s="202">
        <f t="shared" si="30"/>
        <v>1296.1975168571428</v>
      </c>
      <c r="AJ5" s="186">
        <f t="shared" ref="AJ5:BL5" si="31">AJ3/GWP_CH4_AR5</f>
        <v>1280.1603731831619</v>
      </c>
      <c r="AK5" s="186">
        <f t="shared" si="31"/>
        <v>1261.8463948501051</v>
      </c>
      <c r="AL5" s="186">
        <f t="shared" si="31"/>
        <v>1241.3696426791782</v>
      </c>
      <c r="AM5" s="186">
        <f t="shared" si="31"/>
        <v>1224.7358187759642</v>
      </c>
      <c r="AN5" s="186">
        <f t="shared" si="31"/>
        <v>1211.9552235206859</v>
      </c>
      <c r="AO5" s="186">
        <f t="shared" si="31"/>
        <v>1201.6792183066511</v>
      </c>
      <c r="AP5" s="186">
        <f t="shared" si="31"/>
        <v>1192.0510135998259</v>
      </c>
      <c r="AQ5" s="186">
        <f t="shared" si="31"/>
        <v>1184.4523461153935</v>
      </c>
      <c r="AR5" s="186">
        <f t="shared" si="31"/>
        <v>1177.3683101120562</v>
      </c>
      <c r="AS5" s="186">
        <f t="shared" si="31"/>
        <v>1170.0331250384986</v>
      </c>
      <c r="AT5" s="186">
        <f t="shared" si="31"/>
        <v>1163.266802876419</v>
      </c>
      <c r="AU5" s="186">
        <f t="shared" si="31"/>
        <v>1157.2939866656286</v>
      </c>
      <c r="AV5" s="186">
        <f t="shared" si="31"/>
        <v>1154.2424973837144</v>
      </c>
      <c r="AW5" s="186">
        <f t="shared" si="31"/>
        <v>1152.8794179958404</v>
      </c>
      <c r="AX5" s="186">
        <f t="shared" si="31"/>
        <v>1151.1710648854018</v>
      </c>
      <c r="AY5" s="186">
        <f t="shared" si="31"/>
        <v>1149.9699959228483</v>
      </c>
      <c r="AZ5" s="186">
        <f t="shared" si="31"/>
        <v>1148.9465236799147</v>
      </c>
      <c r="BA5" s="186">
        <f t="shared" si="31"/>
        <v>1147.844211432938</v>
      </c>
      <c r="BB5" s="186">
        <f t="shared" si="31"/>
        <v>1146.7601573797699</v>
      </c>
      <c r="BC5" s="186">
        <f t="shared" si="31"/>
        <v>1145.7174466017163</v>
      </c>
      <c r="BD5" s="186">
        <f t="shared" si="31"/>
        <v>1144.8208095307525</v>
      </c>
      <c r="BE5" s="186">
        <f t="shared" si="31"/>
        <v>1143.8768808838606</v>
      </c>
      <c r="BF5" s="186">
        <f t="shared" si="31"/>
        <v>1142.9625096700934</v>
      </c>
      <c r="BG5" s="186">
        <f t="shared" si="31"/>
        <v>1142.0493092739773</v>
      </c>
      <c r="BH5" s="186">
        <f t="shared" si="31"/>
        <v>1141.1636931023409</v>
      </c>
      <c r="BI5" s="186">
        <f t="shared" si="31"/>
        <v>1140.2849091845881</v>
      </c>
      <c r="BJ5" s="186">
        <f t="shared" si="31"/>
        <v>1139.3977190751091</v>
      </c>
      <c r="BK5" s="186">
        <f t="shared" si="31"/>
        <v>1138.5671006103116</v>
      </c>
      <c r="BL5" s="186">
        <f t="shared" si="31"/>
        <v>1137.5816340521742</v>
      </c>
    </row>
    <row r="6" spans="1:242">
      <c r="D6" s="186"/>
      <c r="E6" s="186"/>
      <c r="F6" s="186"/>
      <c r="G6" s="186"/>
      <c r="H6" s="186"/>
      <c r="I6" s="186"/>
      <c r="J6" s="186"/>
      <c r="K6" s="186"/>
      <c r="L6" s="186"/>
      <c r="M6" s="186"/>
      <c r="N6" s="186"/>
      <c r="O6" s="186"/>
      <c r="P6" s="186"/>
      <c r="Q6" s="186"/>
      <c r="R6" s="186"/>
      <c r="S6" s="186"/>
      <c r="T6" s="186"/>
      <c r="U6" s="186"/>
      <c r="V6" s="186"/>
      <c r="W6" s="186"/>
      <c r="X6" s="186"/>
      <c r="Y6" s="186"/>
      <c r="Z6" s="186"/>
      <c r="AA6" s="186"/>
      <c r="AB6" s="186"/>
      <c r="AC6" s="186"/>
      <c r="AD6" s="186"/>
      <c r="AE6" s="186"/>
      <c r="AF6" s="186"/>
      <c r="AG6" s="186"/>
      <c r="AH6" s="186"/>
      <c r="AI6" s="202"/>
      <c r="AJ6" s="186"/>
      <c r="AK6" s="186"/>
      <c r="AL6" s="186"/>
      <c r="AM6" s="186"/>
      <c r="AN6" s="186"/>
      <c r="AO6" s="186"/>
      <c r="AP6" s="186"/>
      <c r="AQ6" s="186"/>
      <c r="AR6" s="186"/>
      <c r="AS6" s="186"/>
      <c r="AT6" s="186"/>
      <c r="AU6" s="186"/>
      <c r="AV6" s="186"/>
      <c r="AW6" s="186"/>
      <c r="AX6" s="186"/>
      <c r="AY6" s="186"/>
      <c r="AZ6" s="186"/>
      <c r="BA6" s="186"/>
      <c r="BB6" s="186"/>
      <c r="BC6" s="186"/>
      <c r="BD6" s="186"/>
      <c r="BE6" s="186"/>
      <c r="BF6" s="186"/>
      <c r="BG6" s="186"/>
      <c r="BH6" s="186"/>
      <c r="BI6" s="186"/>
      <c r="BJ6" s="186"/>
      <c r="BK6" s="186"/>
      <c r="BL6" s="186"/>
    </row>
    <row r="7" spans="1:242">
      <c r="C7" t="s">
        <v>1064</v>
      </c>
      <c r="D7" s="186">
        <f t="shared" ref="D7:AI7" ca="1" si="32">D5*GWP_Methane</f>
        <v>35142.69</v>
      </c>
      <c r="E7" s="186">
        <f t="shared" ca="1" si="32"/>
        <v>35411.769999999997</v>
      </c>
      <c r="F7" s="186">
        <f t="shared" ca="1" si="32"/>
        <v>34987.410000000003</v>
      </c>
      <c r="G7" s="186">
        <f t="shared" ca="1" si="32"/>
        <v>35243.050000000003</v>
      </c>
      <c r="H7" s="186">
        <f t="shared" ca="1" si="32"/>
        <v>36076.85</v>
      </c>
      <c r="I7" s="186">
        <f t="shared" ca="1" si="32"/>
        <v>36476.67</v>
      </c>
      <c r="J7" s="186">
        <f t="shared" ca="1" si="32"/>
        <v>36895.65</v>
      </c>
      <c r="K7" s="186">
        <f t="shared" ca="1" si="32"/>
        <v>37776.04</v>
      </c>
      <c r="L7" s="186">
        <f t="shared" ca="1" si="32"/>
        <v>37083.56</v>
      </c>
      <c r="M7" s="186">
        <f t="shared" ca="1" si="32"/>
        <v>37226.22</v>
      </c>
      <c r="N7" s="186">
        <f t="shared" ca="1" si="32"/>
        <v>38131.4</v>
      </c>
      <c r="O7" s="186">
        <f t="shared" ca="1" si="32"/>
        <v>38513.979999999996</v>
      </c>
      <c r="P7" s="186">
        <f t="shared" ca="1" si="32"/>
        <v>38198.25</v>
      </c>
      <c r="Q7" s="186">
        <f t="shared" ca="1" si="32"/>
        <v>38521.17</v>
      </c>
      <c r="R7" s="186">
        <f t="shared" ca="1" si="32"/>
        <v>38547.71</v>
      </c>
      <c r="S7" s="186">
        <f t="shared" ca="1" si="32"/>
        <v>38842.200000000004</v>
      </c>
      <c r="T7" s="186">
        <f t="shared" ca="1" si="32"/>
        <v>38739.58</v>
      </c>
      <c r="U7" s="186">
        <f t="shared" ca="1" si="32"/>
        <v>37833.61</v>
      </c>
      <c r="V7" s="186">
        <f t="shared" ca="1" si="32"/>
        <v>36414.57</v>
      </c>
      <c r="W7" s="186">
        <f t="shared" ca="1" si="32"/>
        <v>36389.65</v>
      </c>
      <c r="X7" s="186">
        <f t="shared" ca="1" si="32"/>
        <v>36426.01</v>
      </c>
      <c r="Y7" s="186">
        <f t="shared" ca="1" si="32"/>
        <v>36680.369999999995</v>
      </c>
      <c r="Z7" s="186">
        <f t="shared" ca="1" si="32"/>
        <v>37212.14</v>
      </c>
      <c r="AA7" s="186">
        <f t="shared" ca="1" si="32"/>
        <v>37405.360000000001</v>
      </c>
      <c r="AB7" s="186">
        <f t="shared" ca="1" si="32"/>
        <v>37659.160000000003</v>
      </c>
      <c r="AC7" s="186">
        <f t="shared" ca="1" si="32"/>
        <v>37098.130000000005</v>
      </c>
      <c r="AD7" s="186">
        <f t="shared" ca="1" si="32"/>
        <v>36620.770000000004</v>
      </c>
      <c r="AE7" s="186">
        <f t="shared" ca="1" si="32"/>
        <v>36710.870000000003</v>
      </c>
      <c r="AF7" s="186">
        <f t="shared" ca="1" si="32"/>
        <v>36822.44</v>
      </c>
      <c r="AG7" s="186">
        <f t="shared" ca="1" si="32"/>
        <v>36836.78</v>
      </c>
      <c r="AH7" s="186">
        <f t="shared" ca="1" si="32"/>
        <v>36694.843622</v>
      </c>
      <c r="AI7" s="202">
        <f t="shared" ca="1" si="32"/>
        <v>36293.530471999999</v>
      </c>
      <c r="AJ7" s="186">
        <f t="shared" ref="AJ7:BL7" ca="1" si="33">AJ5*GWP_Methane</f>
        <v>35844.490449128534</v>
      </c>
      <c r="AK7" s="186">
        <f t="shared" ca="1" si="33"/>
        <v>35331.699055802943</v>
      </c>
      <c r="AL7" s="186">
        <f t="shared" ca="1" si="33"/>
        <v>34758.349995016993</v>
      </c>
      <c r="AM7" s="186">
        <f t="shared" ca="1" si="33"/>
        <v>34292.602925726998</v>
      </c>
      <c r="AN7" s="186">
        <f t="shared" ca="1" si="33"/>
        <v>33934.746258579202</v>
      </c>
      <c r="AO7" s="186">
        <f t="shared" ca="1" si="33"/>
        <v>33647.018112586229</v>
      </c>
      <c r="AP7" s="186">
        <f t="shared" ca="1" si="33"/>
        <v>33377.428380795121</v>
      </c>
      <c r="AQ7" s="186">
        <f t="shared" ca="1" si="33"/>
        <v>33164.665691231021</v>
      </c>
      <c r="AR7" s="186">
        <f t="shared" ca="1" si="33"/>
        <v>32966.31268313757</v>
      </c>
      <c r="AS7" s="186">
        <f t="shared" ca="1" si="33"/>
        <v>32760.92750107796</v>
      </c>
      <c r="AT7" s="186">
        <f t="shared" ca="1" si="33"/>
        <v>32571.47048053973</v>
      </c>
      <c r="AU7" s="186">
        <f t="shared" ca="1" si="33"/>
        <v>32404.2316266376</v>
      </c>
      <c r="AV7" s="186">
        <f t="shared" ca="1" si="33"/>
        <v>32318.789926744004</v>
      </c>
      <c r="AW7" s="186">
        <f t="shared" ca="1" si="33"/>
        <v>32280.623703883532</v>
      </c>
      <c r="AX7" s="186">
        <f t="shared" ca="1" si="33"/>
        <v>32232.78981679125</v>
      </c>
      <c r="AY7" s="186">
        <f t="shared" ca="1" si="33"/>
        <v>32199.159885839752</v>
      </c>
      <c r="AZ7" s="186">
        <f t="shared" ca="1" si="33"/>
        <v>32170.502663037609</v>
      </c>
      <c r="BA7" s="186">
        <f t="shared" ca="1" si="33"/>
        <v>32139.637920122263</v>
      </c>
      <c r="BB7" s="186">
        <f t="shared" ca="1" si="33"/>
        <v>32109.284406633557</v>
      </c>
      <c r="BC7" s="186">
        <f t="shared" ca="1" si="33"/>
        <v>32080.088504848056</v>
      </c>
      <c r="BD7" s="186">
        <f t="shared" ca="1" si="33"/>
        <v>32054.982666861069</v>
      </c>
      <c r="BE7" s="186">
        <f t="shared" ca="1" si="33"/>
        <v>32028.552664748098</v>
      </c>
      <c r="BF7" s="186">
        <f t="shared" ca="1" si="33"/>
        <v>32002.950270762616</v>
      </c>
      <c r="BG7" s="186">
        <f t="shared" ca="1" si="33"/>
        <v>31977.380659671366</v>
      </c>
      <c r="BH7" s="186">
        <f t="shared" ca="1" si="33"/>
        <v>31952.583406865546</v>
      </c>
      <c r="BI7" s="186">
        <f t="shared" ca="1" si="33"/>
        <v>31927.977457168465</v>
      </c>
      <c r="BJ7" s="186">
        <f t="shared" ca="1" si="33"/>
        <v>31903.136134103053</v>
      </c>
      <c r="BK7" s="186">
        <f t="shared" ca="1" si="33"/>
        <v>31879.878817088727</v>
      </c>
      <c r="BL7" s="186">
        <f t="shared" ca="1" si="33"/>
        <v>31852.285753460877</v>
      </c>
    </row>
    <row r="8" spans="1:242">
      <c r="AI8" s="158"/>
    </row>
    <row r="9" spans="1:242">
      <c r="AI9" s="158" t="s">
        <v>1065</v>
      </c>
      <c r="AJ9" t="s">
        <v>1066</v>
      </c>
    </row>
    <row r="11" spans="1:242">
      <c r="AE11" s="187"/>
    </row>
    <row r="15" spans="1:242">
      <c r="AE15" s="203"/>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BDA12-50B5-44C8-BB02-4950BCFC2F9D}">
  <sheetPr codeName="Sheet20">
    <tabColor theme="5" tint="0.79998168889431442"/>
  </sheetPr>
  <dimension ref="A1:BL81"/>
  <sheetViews>
    <sheetView zoomScale="85" zoomScaleNormal="85" workbookViewId="0">
      <pane xSplit="3" ySplit="1" topLeftCell="AA2" activePane="bottomRight" state="frozen"/>
      <selection pane="bottomRight" activeCell="B31" sqref="B31"/>
      <selection pane="bottomLeft" activeCell="AM20" sqref="AM20"/>
      <selection pane="topRight" activeCell="AM20" sqref="AM20"/>
    </sheetView>
  </sheetViews>
  <sheetFormatPr defaultColWidth="9.140625" defaultRowHeight="15"/>
  <cols>
    <col min="1" max="1" width="9.140625" customWidth="1"/>
    <col min="2" max="2" width="27.28515625" style="109" customWidth="1"/>
    <col min="3" max="3" width="22.7109375" customWidth="1"/>
    <col min="4" max="34" width="9.140625" customWidth="1"/>
    <col min="35" max="35" width="9.5703125" customWidth="1"/>
    <col min="36" max="36" width="9.140625" customWidth="1"/>
    <col min="37" max="38" width="9.42578125" bestFit="1" customWidth="1"/>
    <col min="39" max="39" width="11.85546875" customWidth="1"/>
    <col min="40" max="41" width="12.5703125" customWidth="1"/>
    <col min="42" max="64" width="10.140625" bestFit="1" customWidth="1"/>
  </cols>
  <sheetData>
    <row r="1" spans="1:64">
      <c r="A1" t="s">
        <v>1067</v>
      </c>
      <c r="D1">
        <v>1990</v>
      </c>
      <c r="E1">
        <v>1991</v>
      </c>
      <c r="F1">
        <v>1992</v>
      </c>
      <c r="G1">
        <v>1993</v>
      </c>
      <c r="H1">
        <v>1994</v>
      </c>
      <c r="I1">
        <v>1995</v>
      </c>
      <c r="J1">
        <v>1996</v>
      </c>
      <c r="K1">
        <v>1997</v>
      </c>
      <c r="L1">
        <v>1998</v>
      </c>
      <c r="M1">
        <v>1999</v>
      </c>
      <c r="N1">
        <v>2000</v>
      </c>
      <c r="O1">
        <v>2001</v>
      </c>
      <c r="P1">
        <v>2002</v>
      </c>
      <c r="Q1">
        <v>2003</v>
      </c>
      <c r="R1">
        <v>2004</v>
      </c>
      <c r="S1">
        <v>2005</v>
      </c>
      <c r="T1">
        <v>2006</v>
      </c>
      <c r="U1">
        <v>2007</v>
      </c>
      <c r="V1">
        <v>2008</v>
      </c>
      <c r="W1">
        <v>2009</v>
      </c>
      <c r="X1">
        <v>2010</v>
      </c>
      <c r="Y1">
        <v>2011</v>
      </c>
      <c r="Z1">
        <v>2012</v>
      </c>
      <c r="AA1">
        <v>2013</v>
      </c>
      <c r="AB1">
        <v>2014</v>
      </c>
      <c r="AC1">
        <v>2015</v>
      </c>
      <c r="AD1">
        <v>2016</v>
      </c>
      <c r="AE1">
        <v>2017</v>
      </c>
      <c r="AF1">
        <v>2018</v>
      </c>
      <c r="AG1">
        <v>2019</v>
      </c>
      <c r="AH1">
        <v>2020</v>
      </c>
      <c r="AI1">
        <v>2021</v>
      </c>
      <c r="AJ1">
        <v>2022</v>
      </c>
      <c r="AK1">
        <v>2023</v>
      </c>
      <c r="AL1">
        <v>2024</v>
      </c>
      <c r="AM1">
        <v>2025</v>
      </c>
      <c r="AN1">
        <v>2026</v>
      </c>
      <c r="AO1">
        <v>2027</v>
      </c>
      <c r="AP1">
        <v>2028</v>
      </c>
      <c r="AQ1">
        <v>2029</v>
      </c>
      <c r="AR1">
        <v>2030</v>
      </c>
      <c r="AS1">
        <v>2031</v>
      </c>
      <c r="AT1">
        <v>2032</v>
      </c>
      <c r="AU1">
        <v>2033</v>
      </c>
      <c r="AV1">
        <v>2034</v>
      </c>
      <c r="AW1">
        <v>2035</v>
      </c>
      <c r="AX1">
        <v>2036</v>
      </c>
      <c r="AY1">
        <v>2037</v>
      </c>
      <c r="AZ1">
        <v>2038</v>
      </c>
      <c r="BA1">
        <v>2039</v>
      </c>
      <c r="BB1">
        <v>2040</v>
      </c>
      <c r="BC1">
        <v>2041</v>
      </c>
      <c r="BD1">
        <v>2042</v>
      </c>
      <c r="BE1">
        <v>2043</v>
      </c>
      <c r="BF1">
        <v>2044</v>
      </c>
      <c r="BG1">
        <v>2045</v>
      </c>
      <c r="BH1">
        <v>2046</v>
      </c>
      <c r="BI1">
        <v>2047</v>
      </c>
      <c r="BJ1">
        <v>2048</v>
      </c>
      <c r="BK1">
        <v>2049</v>
      </c>
      <c r="BL1">
        <v>2050</v>
      </c>
    </row>
    <row r="2" spans="1:64">
      <c r="AH2" s="131"/>
      <c r="AI2" s="131"/>
      <c r="AJ2" s="131"/>
      <c r="AK2" s="131"/>
      <c r="AL2" s="131"/>
      <c r="AM2" s="131"/>
    </row>
    <row r="3" spans="1:64" s="133" customFormat="1">
      <c r="A3" s="132" t="s">
        <v>1068</v>
      </c>
    </row>
    <row r="4" spans="1:64">
      <c r="A4" s="47"/>
      <c r="B4"/>
      <c r="AH4" s="131"/>
      <c r="AI4" s="131"/>
      <c r="AJ4" s="131"/>
      <c r="AK4" s="131"/>
      <c r="AL4" s="131"/>
      <c r="AM4" s="131"/>
    </row>
    <row r="5" spans="1:64">
      <c r="A5" s="47"/>
      <c r="B5" s="47" t="s">
        <v>1069</v>
      </c>
    </row>
    <row r="6" spans="1:64">
      <c r="B6"/>
      <c r="C6" t="s">
        <v>1070</v>
      </c>
      <c r="D6" s="131">
        <v>8123.4738048603285</v>
      </c>
      <c r="E6" s="131">
        <v>8103.151366916326</v>
      </c>
      <c r="F6" s="131">
        <v>8465.3738838749887</v>
      </c>
      <c r="G6" s="131">
        <v>8917.1083368543023</v>
      </c>
      <c r="H6" s="131">
        <v>9577.0808586024577</v>
      </c>
      <c r="I6" s="131">
        <v>10239.751270685269</v>
      </c>
      <c r="J6" s="131">
        <v>10370.213477161265</v>
      </c>
      <c r="K6" s="131">
        <v>10595.889532393232</v>
      </c>
      <c r="L6" s="131">
        <v>10800.287827520146</v>
      </c>
      <c r="M6" s="131">
        <v>11085.248585156945</v>
      </c>
      <c r="N6" s="131">
        <v>11635.189554943681</v>
      </c>
      <c r="O6" s="131">
        <v>11692.734720415607</v>
      </c>
      <c r="P6" s="131">
        <v>12148.077566047319</v>
      </c>
      <c r="Q6" s="131">
        <v>12682.556619811654</v>
      </c>
      <c r="R6" s="131">
        <v>12975.975090054404</v>
      </c>
      <c r="S6" s="131">
        <v>13046.884396819123</v>
      </c>
      <c r="T6" s="131">
        <v>13165.766263018873</v>
      </c>
      <c r="U6" s="131">
        <v>13268.57941131241</v>
      </c>
      <c r="V6" s="131">
        <v>13278.302641661277</v>
      </c>
      <c r="W6" s="131">
        <v>13085.690879123733</v>
      </c>
      <c r="X6" s="131">
        <v>13334.27651128357</v>
      </c>
      <c r="Y6" s="131">
        <v>13317.62839669132</v>
      </c>
      <c r="Z6" s="131">
        <v>12992.883365668904</v>
      </c>
      <c r="AA6" s="131">
        <v>13068.056313476918</v>
      </c>
      <c r="AB6" s="131">
        <v>13326.758858692861</v>
      </c>
      <c r="AC6" s="131">
        <v>13792.474756443526</v>
      </c>
      <c r="AD6" s="131">
        <v>13894.199123622979</v>
      </c>
      <c r="AE6" s="131">
        <v>14792.764873637303</v>
      </c>
      <c r="AF6" s="131">
        <v>15115.380716007123</v>
      </c>
      <c r="AG6" s="131">
        <v>14643.952939914274</v>
      </c>
      <c r="AH6" s="131">
        <v>13168.39660793059</v>
      </c>
      <c r="AI6" s="131">
        <v>14385.225352102547</v>
      </c>
      <c r="AJ6" s="131">
        <v>15128.968874994676</v>
      </c>
      <c r="AK6" s="131">
        <v>15259.567468236215</v>
      </c>
      <c r="AL6" s="131">
        <v>15140.070010179808</v>
      </c>
      <c r="AM6" s="131">
        <v>14985.437009891983</v>
      </c>
      <c r="AN6" s="131">
        <v>14736.221421772678</v>
      </c>
      <c r="AO6" s="131">
        <v>14436.928327575199</v>
      </c>
      <c r="AP6" s="131">
        <v>14013.572993853402</v>
      </c>
      <c r="AQ6" s="131">
        <v>13471.687965075223</v>
      </c>
      <c r="AR6" s="131">
        <v>12812.416934443696</v>
      </c>
      <c r="AS6" s="131">
        <v>12012.970672576779</v>
      </c>
      <c r="AT6" s="131">
        <v>11201.393400169771</v>
      </c>
      <c r="AU6" s="131">
        <v>10362.791763005995</v>
      </c>
      <c r="AV6" s="131">
        <v>9568.3436605325442</v>
      </c>
      <c r="AW6" s="131">
        <v>8733.7493359329765</v>
      </c>
      <c r="AX6" s="131">
        <v>7964.3795957554476</v>
      </c>
      <c r="AY6" s="131">
        <v>7185.2634121177334</v>
      </c>
      <c r="AZ6" s="131">
        <v>6497.725009255455</v>
      </c>
      <c r="BA6" s="131">
        <v>5882.1709831005192</v>
      </c>
      <c r="BB6" s="131">
        <v>5251.9006921572427</v>
      </c>
      <c r="BC6" s="131">
        <v>4738.2300204952189</v>
      </c>
      <c r="BD6" s="131">
        <v>4232.5829817013855</v>
      </c>
      <c r="BE6" s="131">
        <v>3755.8946284745812</v>
      </c>
      <c r="BF6" s="131">
        <v>3300.3617587416993</v>
      </c>
      <c r="BG6" s="131">
        <v>2846.8915192967138</v>
      </c>
      <c r="BH6" s="131">
        <v>2519.707775449052</v>
      </c>
      <c r="BI6" s="131">
        <v>2197.9527652971842</v>
      </c>
      <c r="BJ6" s="131">
        <v>1881.1356716947362</v>
      </c>
      <c r="BK6" s="131">
        <v>1648.157390127272</v>
      </c>
      <c r="BL6" s="131">
        <v>1465.5441280249402</v>
      </c>
    </row>
    <row r="7" spans="1:64">
      <c r="C7" t="s">
        <v>1071</v>
      </c>
      <c r="D7" s="131">
        <v>15870.432739954342</v>
      </c>
      <c r="E7" s="131">
        <v>16378.466290069518</v>
      </c>
      <c r="F7" s="131">
        <v>17872.680038791048</v>
      </c>
      <c r="G7" s="131">
        <v>16963.730980163415</v>
      </c>
      <c r="H7" s="131">
        <v>16630.053510039124</v>
      </c>
      <c r="I7" s="131">
        <v>15732.047373899533</v>
      </c>
      <c r="J7" s="131">
        <v>17229.158640444279</v>
      </c>
      <c r="K7" s="131">
        <v>19033.756151465674</v>
      </c>
      <c r="L7" s="131">
        <v>17245.302453661639</v>
      </c>
      <c r="M7" s="131">
        <v>18330.876664378062</v>
      </c>
      <c r="N7" s="131">
        <v>18510.199955178108</v>
      </c>
      <c r="O7" s="131">
        <v>20478.222137259898</v>
      </c>
      <c r="P7" s="131">
        <v>19959.661992715868</v>
      </c>
      <c r="Q7" s="131">
        <v>20827.542521056315</v>
      </c>
      <c r="R7" s="131">
        <v>20177.334934761973</v>
      </c>
      <c r="S7" s="131">
        <v>21714.678340624607</v>
      </c>
      <c r="T7" s="131">
        <v>22034.751114421178</v>
      </c>
      <c r="U7" s="131">
        <v>20499.48259464484</v>
      </c>
      <c r="V7" s="131">
        <v>21598.295800208387</v>
      </c>
      <c r="W7" s="131">
        <v>19122.213588001083</v>
      </c>
      <c r="X7" s="131">
        <v>19062.758250566105</v>
      </c>
      <c r="Y7" s="131">
        <v>18391.989680725048</v>
      </c>
      <c r="Z7" s="131">
        <v>20061.823877863775</v>
      </c>
      <c r="AA7" s="131">
        <v>19101.56617704346</v>
      </c>
      <c r="AB7" s="131">
        <v>18913.448428514144</v>
      </c>
      <c r="AC7" s="131">
        <v>18698.791922816465</v>
      </c>
      <c r="AD7" s="131">
        <v>17183.121331879483</v>
      </c>
      <c r="AE7" s="131">
        <v>17726.254212435371</v>
      </c>
      <c r="AF7" s="131">
        <v>17471.853230500838</v>
      </c>
      <c r="AG7" s="131">
        <v>19335.032033966676</v>
      </c>
      <c r="AH7" s="131">
        <v>18350.509251858835</v>
      </c>
      <c r="AI7" s="131">
        <v>18515.498817842257</v>
      </c>
      <c r="AJ7" s="131">
        <v>17143.922579717484</v>
      </c>
      <c r="AK7" s="131">
        <v>16230.534911713732</v>
      </c>
      <c r="AL7" s="131">
        <v>15270.609768339202</v>
      </c>
      <c r="AM7" s="131">
        <v>14308.170706467447</v>
      </c>
      <c r="AN7" s="131">
        <v>14014.047750345175</v>
      </c>
      <c r="AO7" s="131">
        <v>13667.509619735816</v>
      </c>
      <c r="AP7" s="131">
        <v>13391.521985244801</v>
      </c>
      <c r="AQ7" s="131">
        <v>13148.571623303555</v>
      </c>
      <c r="AR7" s="131">
        <v>12115.275354511348</v>
      </c>
      <c r="AS7" s="131">
        <v>11765.860989321602</v>
      </c>
      <c r="AT7" s="131">
        <v>11387.805847631886</v>
      </c>
      <c r="AU7" s="131">
        <v>11115.140284842288</v>
      </c>
      <c r="AV7" s="131">
        <v>10799.169285213111</v>
      </c>
      <c r="AW7" s="131">
        <v>10392.615112636393</v>
      </c>
      <c r="AX7" s="131">
        <v>9907.4825569610675</v>
      </c>
      <c r="AY7" s="131">
        <v>9417.7892383467715</v>
      </c>
      <c r="AZ7" s="131">
        <v>8962.0657720745166</v>
      </c>
      <c r="BA7" s="131">
        <v>8553.0461726404501</v>
      </c>
      <c r="BB7" s="131">
        <v>7392.8612902056648</v>
      </c>
      <c r="BC7" s="131">
        <v>7036.8664929740025</v>
      </c>
      <c r="BD7" s="131">
        <v>6602.9944879502245</v>
      </c>
      <c r="BE7" s="131">
        <v>6209.6146711045149</v>
      </c>
      <c r="BF7" s="131">
        <v>5813.224041488179</v>
      </c>
      <c r="BG7" s="131">
        <v>5440.1354456357258</v>
      </c>
      <c r="BH7" s="131">
        <v>5082.2962398488698</v>
      </c>
      <c r="BI7" s="131">
        <v>4810.2050025501549</v>
      </c>
      <c r="BJ7" s="131">
        <v>4523.3928405969136</v>
      </c>
      <c r="BK7" s="131">
        <v>4118.3090015725802</v>
      </c>
      <c r="BL7" s="131">
        <v>3741.1868021712257</v>
      </c>
    </row>
    <row r="8" spans="1:64">
      <c r="C8" t="s">
        <v>1072</v>
      </c>
      <c r="D8" s="131">
        <v>3516.0961777084749</v>
      </c>
      <c r="E8" s="131">
        <v>3668.0126133261347</v>
      </c>
      <c r="F8" s="131">
        <v>3339.6053797481713</v>
      </c>
      <c r="G8" s="131">
        <v>3195.1272202265759</v>
      </c>
      <c r="H8" s="131">
        <v>3067.2612562604504</v>
      </c>
      <c r="I8" s="131">
        <v>3163.0165028872884</v>
      </c>
      <c r="J8" s="131">
        <v>3348.4732362779841</v>
      </c>
      <c r="K8" s="131">
        <v>3238.1728346773621</v>
      </c>
      <c r="L8" s="131">
        <v>3225.4368638608034</v>
      </c>
      <c r="M8" s="131">
        <v>3402.8933077692418</v>
      </c>
      <c r="N8" s="131">
        <v>3433.8153891407756</v>
      </c>
      <c r="O8" s="131">
        <v>3543.2990415404297</v>
      </c>
      <c r="P8" s="131">
        <v>3659.5205799752925</v>
      </c>
      <c r="Q8" s="131">
        <v>3878.0905479037801</v>
      </c>
      <c r="R8" s="131">
        <v>3912.5084942419317</v>
      </c>
      <c r="S8" s="131">
        <v>4011.7594848076365</v>
      </c>
      <c r="T8" s="131">
        <v>4113.8784993347999</v>
      </c>
      <c r="U8" s="131">
        <v>4370.1941197075685</v>
      </c>
      <c r="V8" s="131">
        <v>4255.8641032838468</v>
      </c>
      <c r="W8" s="131">
        <v>4205.2778704031671</v>
      </c>
      <c r="X8" s="131">
        <v>4520.672440769391</v>
      </c>
      <c r="Y8" s="131">
        <v>4553.3250267168596</v>
      </c>
      <c r="Z8" s="131">
        <v>4625.014402265595</v>
      </c>
      <c r="AA8" s="131">
        <v>4757.0725463419167</v>
      </c>
      <c r="AB8" s="131">
        <v>4930.1696846350351</v>
      </c>
      <c r="AC8" s="131">
        <v>5055.8311641412056</v>
      </c>
      <c r="AD8" s="131">
        <v>4802.46997339477</v>
      </c>
      <c r="AE8" s="131">
        <v>4842.6066820474134</v>
      </c>
      <c r="AF8" s="131">
        <v>4733.1712108541742</v>
      </c>
      <c r="AG8" s="131">
        <v>4769.6347557157696</v>
      </c>
      <c r="AH8" s="131">
        <v>4526.63157784951</v>
      </c>
      <c r="AI8" s="131">
        <v>4737.9160187399839</v>
      </c>
      <c r="AJ8" s="131">
        <v>4669.7119452294837</v>
      </c>
      <c r="AK8" s="131">
        <v>4589.598378837225</v>
      </c>
      <c r="AL8" s="131">
        <v>4625.0319241555608</v>
      </c>
      <c r="AM8" s="131">
        <v>4600.4943813770124</v>
      </c>
      <c r="AN8" s="131">
        <v>4593.3349002687701</v>
      </c>
      <c r="AO8" s="131">
        <v>4555.3908778701007</v>
      </c>
      <c r="AP8" s="131">
        <v>4522.7243018870131</v>
      </c>
      <c r="AQ8" s="131">
        <v>4508.5860611517455</v>
      </c>
      <c r="AR8" s="131">
        <v>4289.1195843866453</v>
      </c>
      <c r="AS8" s="131">
        <v>4257.8951385421287</v>
      </c>
      <c r="AT8" s="131">
        <v>4228.8395937849791</v>
      </c>
      <c r="AU8" s="131">
        <v>4191.0226574477329</v>
      </c>
      <c r="AV8" s="131">
        <v>4159.621285915784</v>
      </c>
      <c r="AW8" s="131">
        <v>4158.908752367749</v>
      </c>
      <c r="AX8" s="131">
        <v>4129.1352195146119</v>
      </c>
      <c r="AY8" s="131">
        <v>4114.2053091152211</v>
      </c>
      <c r="AZ8" s="131">
        <v>4100.8991626563056</v>
      </c>
      <c r="BA8" s="131">
        <v>4089.2123764771386</v>
      </c>
      <c r="BB8" s="131">
        <v>4018.7264661804438</v>
      </c>
      <c r="BC8" s="131">
        <v>4012.0396156153165</v>
      </c>
      <c r="BD8" s="131">
        <v>4007.7910915576981</v>
      </c>
      <c r="BE8" s="131">
        <v>4008.2569740868958</v>
      </c>
      <c r="BF8" s="131">
        <v>4010.5474135805725</v>
      </c>
      <c r="BG8" s="131">
        <v>4015.1649435360769</v>
      </c>
      <c r="BH8" s="131">
        <v>4022.4715499258182</v>
      </c>
      <c r="BI8" s="131">
        <v>4031.2510622361533</v>
      </c>
      <c r="BJ8" s="131">
        <v>4041.6218097589272</v>
      </c>
      <c r="BK8" s="131">
        <v>4052.8752238002053</v>
      </c>
      <c r="BL8" s="131">
        <v>4066.461126297489</v>
      </c>
    </row>
    <row r="9" spans="1:64">
      <c r="C9" t="s">
        <v>1037</v>
      </c>
      <c r="D9" s="131">
        <v>36571.823155221537</v>
      </c>
      <c r="E9" s="131">
        <v>36808.530009453956</v>
      </c>
      <c r="F9" s="131">
        <v>36296.682920512212</v>
      </c>
      <c r="G9" s="131">
        <v>36672.075580955374</v>
      </c>
      <c r="H9" s="131">
        <v>37933.366311582788</v>
      </c>
      <c r="I9" s="131">
        <v>38543.749348475882</v>
      </c>
      <c r="J9" s="131">
        <v>38869.798977510858</v>
      </c>
      <c r="K9" s="131">
        <v>39805.88859601631</v>
      </c>
      <c r="L9" s="131">
        <v>39133.754057324586</v>
      </c>
      <c r="M9" s="131">
        <v>39320.551887094705</v>
      </c>
      <c r="N9" s="131">
        <v>40532.789740222943</v>
      </c>
      <c r="O9" s="131">
        <v>41365.025310344688</v>
      </c>
      <c r="P9" s="131">
        <v>41335.30138246603</v>
      </c>
      <c r="Q9" s="131">
        <v>41979.690800047625</v>
      </c>
      <c r="R9" s="131">
        <v>42111.718735995542</v>
      </c>
      <c r="S9" s="131">
        <v>42483.869542174827</v>
      </c>
      <c r="T9" s="131">
        <v>42383.301600666382</v>
      </c>
      <c r="U9" s="131">
        <v>41387.064066314852</v>
      </c>
      <c r="V9" s="131">
        <v>40077.102994724351</v>
      </c>
      <c r="W9" s="131">
        <v>40298.057324935595</v>
      </c>
      <c r="X9" s="131">
        <v>40460.611107132943</v>
      </c>
      <c r="Y9" s="131">
        <v>41140.554343421216</v>
      </c>
      <c r="Z9" s="131">
        <v>42054.103604519951</v>
      </c>
      <c r="AA9" s="131">
        <v>42174.163250136939</v>
      </c>
      <c r="AB9" s="131">
        <v>42797.036067408801</v>
      </c>
      <c r="AC9" s="131">
        <v>42242.331468664546</v>
      </c>
      <c r="AD9" s="131">
        <v>41824.397624779995</v>
      </c>
      <c r="AE9" s="131">
        <v>41862.6172334207</v>
      </c>
      <c r="AF9" s="131">
        <v>42154.798631981837</v>
      </c>
      <c r="AG9" s="131">
        <v>42317.723309496745</v>
      </c>
      <c r="AH9" s="131">
        <v>42196.053007409682</v>
      </c>
      <c r="AI9" s="131">
        <v>41338.722464375009</v>
      </c>
      <c r="AJ9" s="131">
        <v>40731.04605066021</v>
      </c>
      <c r="AK9" s="131">
        <v>40230.832560766859</v>
      </c>
      <c r="AL9" s="131">
        <v>39764.957224016951</v>
      </c>
      <c r="AM9" s="131">
        <v>39305.255430351666</v>
      </c>
      <c r="AN9" s="131">
        <v>38946.182000135603</v>
      </c>
      <c r="AO9" s="131">
        <v>38611.716142501347</v>
      </c>
      <c r="AP9" s="131">
        <v>38236.927856504379</v>
      </c>
      <c r="AQ9" s="131">
        <v>37868.956785624025</v>
      </c>
      <c r="AR9" s="131">
        <v>37508.915932481541</v>
      </c>
      <c r="AS9" s="131">
        <v>37227.232644336218</v>
      </c>
      <c r="AT9" s="131">
        <v>36930.449057861675</v>
      </c>
      <c r="AU9" s="131">
        <v>36657.265503719165</v>
      </c>
      <c r="AV9" s="131">
        <v>36375.348152836334</v>
      </c>
      <c r="AW9" s="131">
        <v>36099.714489053484</v>
      </c>
      <c r="AX9" s="131">
        <v>35820.947488718033</v>
      </c>
      <c r="AY9" s="131">
        <v>35560.185808077134</v>
      </c>
      <c r="AZ9" s="131">
        <v>35321.785339527967</v>
      </c>
      <c r="BA9" s="131">
        <v>35079.675227602071</v>
      </c>
      <c r="BB9" s="131">
        <v>34837.134498391213</v>
      </c>
      <c r="BC9" s="131">
        <v>34672.17276960532</v>
      </c>
      <c r="BD9" s="131">
        <v>34522.249175779405</v>
      </c>
      <c r="BE9" s="131">
        <v>34371.297935802606</v>
      </c>
      <c r="BF9" s="131">
        <v>34222.500703424252</v>
      </c>
      <c r="BG9" s="131">
        <v>34114.519375504373</v>
      </c>
      <c r="BH9" s="131">
        <v>33982.77213301984</v>
      </c>
      <c r="BI9" s="131">
        <v>33836.072571380879</v>
      </c>
      <c r="BJ9" s="131">
        <v>33686.448611890941</v>
      </c>
      <c r="BK9" s="131">
        <v>33543.655046150889</v>
      </c>
      <c r="BL9" s="131">
        <v>33417.237271094513</v>
      </c>
    </row>
    <row r="10" spans="1:64">
      <c r="C10" t="s">
        <v>1038</v>
      </c>
      <c r="D10" s="131">
        <v>4371.0550686426304</v>
      </c>
      <c r="E10" s="131">
        <v>4494.2129358802167</v>
      </c>
      <c r="F10" s="131">
        <v>4608.4699487961507</v>
      </c>
      <c r="G10" s="131">
        <v>4723.0167754811991</v>
      </c>
      <c r="H10" s="131">
        <v>4596.3960749697844</v>
      </c>
      <c r="I10" s="131">
        <v>4699.3156679774575</v>
      </c>
      <c r="J10" s="131">
        <v>4798.2534180590455</v>
      </c>
      <c r="K10" s="131">
        <v>4865.406291133806</v>
      </c>
      <c r="L10" s="131">
        <v>4861.6867574609569</v>
      </c>
      <c r="M10" s="131">
        <v>4888.9395933214646</v>
      </c>
      <c r="N10" s="131">
        <v>4918.9517108516438</v>
      </c>
      <c r="O10" s="131">
        <v>4945.8355725179199</v>
      </c>
      <c r="P10" s="131">
        <v>4960.5960379013841</v>
      </c>
      <c r="Q10" s="131">
        <v>4856.3675991908322</v>
      </c>
      <c r="R10" s="131">
        <v>4871.6484009286705</v>
      </c>
      <c r="S10" s="131">
        <v>4860.2827462461919</v>
      </c>
      <c r="T10" s="131">
        <v>4640.1084728888536</v>
      </c>
      <c r="U10" s="131">
        <v>4598.136705576766</v>
      </c>
      <c r="V10" s="131">
        <v>4504.0772789790162</v>
      </c>
      <c r="W10" s="131">
        <v>4356.4344929985782</v>
      </c>
      <c r="X10" s="131">
        <v>4293.0257026984791</v>
      </c>
      <c r="Y10" s="131">
        <v>4128.294122648671</v>
      </c>
      <c r="Z10" s="131">
        <v>4008.975962335111</v>
      </c>
      <c r="AA10" s="131">
        <v>3953.727003813055</v>
      </c>
      <c r="AB10" s="131">
        <v>3903.7091154408281</v>
      </c>
      <c r="AC10" s="131">
        <v>3860.3909372256435</v>
      </c>
      <c r="AD10" s="131">
        <v>3828.69903936433</v>
      </c>
      <c r="AE10" s="131">
        <v>3785.4635318554911</v>
      </c>
      <c r="AF10" s="131">
        <v>3713.3819258157537</v>
      </c>
      <c r="AG10" s="131">
        <v>3661.4608991204891</v>
      </c>
      <c r="AH10" s="131">
        <v>3611.7932233745064</v>
      </c>
      <c r="AI10" s="131">
        <v>3602.1962978058914</v>
      </c>
      <c r="AJ10" s="131">
        <v>3567.1180393317809</v>
      </c>
      <c r="AK10" s="131">
        <v>3470.0201411080338</v>
      </c>
      <c r="AL10" s="131">
        <v>3372.5199123733328</v>
      </c>
      <c r="AM10" s="131">
        <v>3274.1387662152574</v>
      </c>
      <c r="AN10" s="131">
        <v>3174.1727618882733</v>
      </c>
      <c r="AO10" s="131">
        <v>3073.9032949653865</v>
      </c>
      <c r="AP10" s="131">
        <v>2973.7801521498236</v>
      </c>
      <c r="AQ10" s="131">
        <v>2874.1710651155404</v>
      </c>
      <c r="AR10" s="131">
        <v>2775.1176815141962</v>
      </c>
      <c r="AS10" s="131">
        <v>2692.4643429182897</v>
      </c>
      <c r="AT10" s="131">
        <v>2615.1860212220836</v>
      </c>
      <c r="AU10" s="131">
        <v>2541.2485493424451</v>
      </c>
      <c r="AV10" s="131">
        <v>2469.4923121471161</v>
      </c>
      <c r="AW10" s="131">
        <v>2399.528230151348</v>
      </c>
      <c r="AX10" s="131">
        <v>2330.982320145391</v>
      </c>
      <c r="AY10" s="131">
        <v>2263.7473899809106</v>
      </c>
      <c r="AZ10" s="131">
        <v>2197.7933053171269</v>
      </c>
      <c r="BA10" s="131">
        <v>2132.9326416073486</v>
      </c>
      <c r="BB10" s="131">
        <v>2069.2780237829252</v>
      </c>
      <c r="BC10" s="131">
        <v>2017.2739749528228</v>
      </c>
      <c r="BD10" s="131">
        <v>1966.2754382711491</v>
      </c>
      <c r="BE10" s="131">
        <v>1916.2799912284158</v>
      </c>
      <c r="BF10" s="131">
        <v>1867.1959224944012</v>
      </c>
      <c r="BG10" s="131">
        <v>1819.1311433093499</v>
      </c>
      <c r="BH10" s="131">
        <v>1771.937633991281</v>
      </c>
      <c r="BI10" s="131">
        <v>1725.5486956372906</v>
      </c>
      <c r="BJ10" s="131">
        <v>1680.0979571420605</v>
      </c>
      <c r="BK10" s="131">
        <v>1635.4978231830919</v>
      </c>
      <c r="BL10" s="131">
        <v>1591.9846932457758</v>
      </c>
    </row>
    <row r="11" spans="1:64">
      <c r="C11" t="s">
        <v>1073</v>
      </c>
      <c r="D11" s="131">
        <v>819.97524190854506</v>
      </c>
      <c r="E11" s="131">
        <v>828.0017286520922</v>
      </c>
      <c r="F11" s="131">
        <v>1085.1429139052391</v>
      </c>
      <c r="G11" s="131">
        <v>1158.2562175334988</v>
      </c>
      <c r="H11" s="131">
        <v>1294.5870452996453</v>
      </c>
      <c r="I11" s="131">
        <v>850.67438092522423</v>
      </c>
      <c r="J11" s="131">
        <v>38.592400303365025</v>
      </c>
      <c r="K11" s="131">
        <v>-1334.618596753277</v>
      </c>
      <c r="L11" s="131">
        <v>-3370.636542665608</v>
      </c>
      <c r="M11" s="131">
        <v>-5881.7403115761681</v>
      </c>
      <c r="N11" s="131">
        <v>-5840.6097105786448</v>
      </c>
      <c r="O11" s="131">
        <v>-8163.9905713630314</v>
      </c>
      <c r="P11" s="131">
        <v>-10155.899721608017</v>
      </c>
      <c r="Q11" s="131">
        <v>-9621.5624173653105</v>
      </c>
      <c r="R11" s="131">
        <v>-6746.7760646318911</v>
      </c>
      <c r="S11" s="131">
        <v>-909.81870967752047</v>
      </c>
      <c r="T11" s="131">
        <v>1895.2611011701449</v>
      </c>
      <c r="U11" s="131">
        <v>7426.246871923152</v>
      </c>
      <c r="V11" s="131">
        <v>-13411.996596017498</v>
      </c>
      <c r="W11" s="131">
        <v>-11081.405660283805</v>
      </c>
      <c r="X11" s="131">
        <v>-10565.307562466487</v>
      </c>
      <c r="Y11" s="131">
        <v>-12067.105918642314</v>
      </c>
      <c r="Z11" s="131">
        <v>-10202.075435723556</v>
      </c>
      <c r="AA11" s="131">
        <v>-7134.8699893356697</v>
      </c>
      <c r="AB11" s="131">
        <v>-10405.283669066264</v>
      </c>
      <c r="AC11" s="131">
        <v>-11945.163408270339</v>
      </c>
      <c r="AD11" s="131">
        <v>-11969.110093922558</v>
      </c>
      <c r="AE11" s="131">
        <v>-12080.174618702731</v>
      </c>
      <c r="AF11" s="131">
        <v>-11085.271780708874</v>
      </c>
      <c r="AG11" s="131">
        <v>-7702.6878138183429</v>
      </c>
      <c r="AH11" s="131">
        <v>-8060.2252194320736</v>
      </c>
      <c r="AI11" s="131">
        <v>-7272.2101365835315</v>
      </c>
      <c r="AJ11" s="131">
        <v>-6314.9021834546211</v>
      </c>
      <c r="AK11" s="131">
        <v>-6131.5328382768957</v>
      </c>
      <c r="AL11" s="131">
        <v>-6051.1349543647902</v>
      </c>
      <c r="AM11" s="131">
        <v>-6773.1877248114397</v>
      </c>
      <c r="AN11" s="131">
        <v>-8937.3453370162752</v>
      </c>
      <c r="AO11" s="131">
        <v>-10487.726934795148</v>
      </c>
      <c r="AP11" s="131">
        <v>-12435.137644175127</v>
      </c>
      <c r="AQ11" s="131">
        <v>-13576.104714315408</v>
      </c>
      <c r="AR11" s="131">
        <v>-14123.707210970422</v>
      </c>
      <c r="AS11" s="131">
        <v>-15107.454694701952</v>
      </c>
      <c r="AT11" s="131">
        <v>-15932.175982457617</v>
      </c>
      <c r="AU11" s="131">
        <v>-16834.496511115911</v>
      </c>
      <c r="AV11" s="131">
        <v>-17661.539963993455</v>
      </c>
      <c r="AW11" s="131">
        <v>-18547.650187772888</v>
      </c>
      <c r="AX11" s="131">
        <v>-19741.12495822756</v>
      </c>
      <c r="AY11" s="131">
        <v>-21421.519770765881</v>
      </c>
      <c r="AZ11" s="131">
        <v>-22578.453638518247</v>
      </c>
      <c r="BA11" s="131">
        <v>-23731.10441046573</v>
      </c>
      <c r="BB11" s="131">
        <v>-24830.126145336515</v>
      </c>
      <c r="BC11" s="131">
        <v>-25873.847335031074</v>
      </c>
      <c r="BD11" s="131">
        <v>-26458.287318640545</v>
      </c>
      <c r="BE11" s="131">
        <v>-26534.965372242725</v>
      </c>
      <c r="BF11" s="131">
        <v>-26319.688653278172</v>
      </c>
      <c r="BG11" s="131">
        <v>-25837.80599725679</v>
      </c>
      <c r="BH11" s="131">
        <v>-25902.387393477824</v>
      </c>
      <c r="BI11" s="131">
        <v>-25908.979510107845</v>
      </c>
      <c r="BJ11" s="131">
        <v>-25838.15693085147</v>
      </c>
      <c r="BK11" s="131">
        <v>-25615.983274629034</v>
      </c>
      <c r="BL11" s="131">
        <v>-25480.237098294994</v>
      </c>
    </row>
    <row r="12" spans="1:64">
      <c r="C12" t="s">
        <v>1074</v>
      </c>
      <c r="D12" s="131">
        <v>69272.85618829586</v>
      </c>
      <c r="E12" s="131">
        <v>70280.374944298237</v>
      </c>
      <c r="F12" s="131">
        <v>71667.955085627807</v>
      </c>
      <c r="G12" s="131">
        <v>71629.315111214368</v>
      </c>
      <c r="H12" s="131">
        <v>73098.745056754255</v>
      </c>
      <c r="I12" s="131">
        <v>73228.554544850645</v>
      </c>
      <c r="J12" s="131">
        <v>74654.490149756792</v>
      </c>
      <c r="K12" s="131">
        <v>76204.494808933116</v>
      </c>
      <c r="L12" s="131">
        <v>71895.83141716251</v>
      </c>
      <c r="M12" s="131">
        <v>71146.769726144252</v>
      </c>
      <c r="N12" s="131">
        <v>73190.336639758505</v>
      </c>
      <c r="O12" s="131">
        <v>73861.126210715505</v>
      </c>
      <c r="P12" s="131">
        <v>71907.257837497877</v>
      </c>
      <c r="Q12" s="131">
        <v>74602.685670644918</v>
      </c>
      <c r="R12" s="131">
        <v>77302.409591350617</v>
      </c>
      <c r="S12" s="131">
        <v>85207.655800994849</v>
      </c>
      <c r="T12" s="131">
        <v>88233.067051500242</v>
      </c>
      <c r="U12" s="131">
        <v>91549.703769479587</v>
      </c>
      <c r="V12" s="131">
        <v>70301.646222839379</v>
      </c>
      <c r="W12" s="131">
        <v>69986.268495178345</v>
      </c>
      <c r="X12" s="131">
        <v>71106.036449983992</v>
      </c>
      <c r="Y12" s="131">
        <v>69464.685651560809</v>
      </c>
      <c r="Z12" s="131">
        <v>73540.725776929772</v>
      </c>
      <c r="AA12" s="131">
        <v>75919.715301476608</v>
      </c>
      <c r="AB12" s="131">
        <v>73465.838485625398</v>
      </c>
      <c r="AC12" s="131">
        <v>71704.656841021046</v>
      </c>
      <c r="AD12" s="131">
        <v>69563.776999119014</v>
      </c>
      <c r="AE12" s="131">
        <v>70929.531914693551</v>
      </c>
      <c r="AF12" s="131">
        <v>72103.313934450853</v>
      </c>
      <c r="AG12" s="131">
        <v>77025.116124395616</v>
      </c>
      <c r="AH12" s="131">
        <v>73793.158448991046</v>
      </c>
      <c r="AI12" s="131">
        <v>75307.348814282159</v>
      </c>
      <c r="AJ12" s="131">
        <v>74925.865306479027</v>
      </c>
      <c r="AK12" s="131">
        <v>73649.020622385171</v>
      </c>
      <c r="AL12" s="131">
        <v>72122.053884700057</v>
      </c>
      <c r="AM12" s="131">
        <v>69700.308569491928</v>
      </c>
      <c r="AN12" s="131">
        <v>66526.613497394224</v>
      </c>
      <c r="AO12" s="131">
        <v>63857.721327852705</v>
      </c>
      <c r="AP12" s="131">
        <v>60703.389645464289</v>
      </c>
      <c r="AQ12" s="131">
        <v>58295.868785954684</v>
      </c>
      <c r="AR12" s="131">
        <v>55377.138276367004</v>
      </c>
      <c r="AS12" s="131">
        <v>52848.969092993066</v>
      </c>
      <c r="AT12" s="131">
        <v>50431.497938212779</v>
      </c>
      <c r="AU12" s="131">
        <v>48032.97224724172</v>
      </c>
      <c r="AV12" s="131">
        <v>45710.434732651433</v>
      </c>
      <c r="AW12" s="131">
        <v>43236.865732369064</v>
      </c>
      <c r="AX12" s="131">
        <v>40411.802222866987</v>
      </c>
      <c r="AY12" s="131">
        <v>37119.671386871894</v>
      </c>
      <c r="AZ12" s="131">
        <v>34501.814950313128</v>
      </c>
      <c r="BA12" s="131">
        <v>32005.932990961792</v>
      </c>
      <c r="BB12" s="131">
        <v>28739.774825380977</v>
      </c>
      <c r="BC12" s="131">
        <v>26602.735538611603</v>
      </c>
      <c r="BD12" s="131">
        <v>24873.605856619321</v>
      </c>
      <c r="BE12" s="131">
        <v>23726.37882845429</v>
      </c>
      <c r="BF12" s="131">
        <v>22894.141186450928</v>
      </c>
      <c r="BG12" s="131">
        <v>22398.036430025455</v>
      </c>
      <c r="BH12" s="131">
        <v>21476.79793875703</v>
      </c>
      <c r="BI12" s="131">
        <v>20692.050586993817</v>
      </c>
      <c r="BJ12" s="131">
        <v>19974.539960232109</v>
      </c>
      <c r="BK12" s="131">
        <v>19382.511210205004</v>
      </c>
      <c r="BL12" s="131">
        <v>18802.176922538943</v>
      </c>
    </row>
    <row r="13" spans="1:64">
      <c r="C13" t="s">
        <v>1075</v>
      </c>
      <c r="D13" s="131">
        <v>68452.880946387319</v>
      </c>
      <c r="E13" s="131">
        <v>69452.373215646148</v>
      </c>
      <c r="F13" s="131">
        <v>70582.812171722573</v>
      </c>
      <c r="G13" s="131">
        <v>70471.058893680864</v>
      </c>
      <c r="H13" s="131">
        <v>71804.158011454609</v>
      </c>
      <c r="I13" s="131">
        <v>72377.880163925423</v>
      </c>
      <c r="J13" s="131">
        <v>74615.897749453434</v>
      </c>
      <c r="K13" s="131">
        <v>77539.113405686396</v>
      </c>
      <c r="L13" s="131">
        <v>75266.467959828122</v>
      </c>
      <c r="M13" s="131">
        <v>77028.510037720422</v>
      </c>
      <c r="N13" s="131">
        <v>79030.946350337152</v>
      </c>
      <c r="O13" s="131">
        <v>82025.116782078534</v>
      </c>
      <c r="P13" s="131">
        <v>82063.157559105894</v>
      </c>
      <c r="Q13" s="131">
        <v>84224.248088010223</v>
      </c>
      <c r="R13" s="131">
        <v>84049.18565598251</v>
      </c>
      <c r="S13" s="131">
        <v>86117.474510672371</v>
      </c>
      <c r="T13" s="131">
        <v>86337.80595033009</v>
      </c>
      <c r="U13" s="131">
        <v>84123.456897556433</v>
      </c>
      <c r="V13" s="131">
        <v>83713.642818856883</v>
      </c>
      <c r="W13" s="131">
        <v>81067.674155462155</v>
      </c>
      <c r="X13" s="131">
        <v>81671.344012450485</v>
      </c>
      <c r="Y13" s="131">
        <v>81531.791570203117</v>
      </c>
      <c r="Z13" s="131">
        <v>83742.801212653329</v>
      </c>
      <c r="AA13" s="131">
        <v>83054.585290812276</v>
      </c>
      <c r="AB13" s="131">
        <v>83871.122154691664</v>
      </c>
      <c r="AC13" s="131">
        <v>83649.820249291384</v>
      </c>
      <c r="AD13" s="131">
        <v>81532.887093041572</v>
      </c>
      <c r="AE13" s="131">
        <v>83009.706533396282</v>
      </c>
      <c r="AF13" s="131">
        <v>83188.58571515973</v>
      </c>
      <c r="AG13" s="131">
        <v>84727.803938213954</v>
      </c>
      <c r="AH13" s="131">
        <v>81853.383668423121</v>
      </c>
      <c r="AI13" s="131">
        <v>82579.558950865685</v>
      </c>
      <c r="AJ13" s="131">
        <v>81240.767489933598</v>
      </c>
      <c r="AK13" s="131">
        <v>79780.553460662064</v>
      </c>
      <c r="AL13" s="131">
        <v>78173.188839064853</v>
      </c>
      <c r="AM13" s="131">
        <v>76473.496294303375</v>
      </c>
      <c r="AN13" s="131">
        <v>75463.9588344105</v>
      </c>
      <c r="AO13" s="131">
        <v>74345.448262647857</v>
      </c>
      <c r="AP13" s="131">
        <v>73138.527289639416</v>
      </c>
      <c r="AQ13" s="131">
        <v>71871.973500270091</v>
      </c>
      <c r="AR13" s="131">
        <v>69500.845487337428</v>
      </c>
      <c r="AS13" s="131">
        <v>67956.423787695021</v>
      </c>
      <c r="AT13" s="131">
        <v>66363.673920670393</v>
      </c>
      <c r="AU13" s="131">
        <v>64867.468758357631</v>
      </c>
      <c r="AV13" s="131">
        <v>63371.974696644887</v>
      </c>
      <c r="AW13" s="131">
        <v>61784.515920141952</v>
      </c>
      <c r="AX13" s="131">
        <v>60152.92718109455</v>
      </c>
      <c r="AY13" s="131">
        <v>58541.191157637775</v>
      </c>
      <c r="AZ13" s="131">
        <v>57080.268588831372</v>
      </c>
      <c r="BA13" s="131">
        <v>55737.037401427522</v>
      </c>
      <c r="BB13" s="131">
        <v>53569.900970717492</v>
      </c>
      <c r="BC13" s="131">
        <v>52476.582873642677</v>
      </c>
      <c r="BD13" s="131">
        <v>51331.893175259866</v>
      </c>
      <c r="BE13" s="131">
        <v>50261.344200697014</v>
      </c>
      <c r="BF13" s="131">
        <v>49213.8298397291</v>
      </c>
      <c r="BG13" s="131">
        <v>48235.842427282245</v>
      </c>
      <c r="BH13" s="131">
        <v>47379.185332234854</v>
      </c>
      <c r="BI13" s="131">
        <v>46601.030097101662</v>
      </c>
      <c r="BJ13" s="131">
        <v>45812.696891083579</v>
      </c>
      <c r="BK13" s="131">
        <v>44998.494484834038</v>
      </c>
      <c r="BL13" s="131">
        <v>44282.414020833938</v>
      </c>
    </row>
    <row r="14" spans="1:64">
      <c r="AK14" s="131"/>
      <c r="AL14" s="131"/>
      <c r="AM14" s="131"/>
      <c r="AN14" s="131"/>
      <c r="AO14" s="131"/>
      <c r="AP14" s="131"/>
      <c r="AQ14" s="131"/>
      <c r="AR14" s="131"/>
      <c r="AS14" s="131"/>
      <c r="AT14" s="131"/>
      <c r="AU14" s="131"/>
      <c r="AV14" s="131"/>
      <c r="AW14" s="131"/>
      <c r="AX14" s="131"/>
      <c r="AY14" s="131"/>
      <c r="AZ14" s="131"/>
      <c r="BA14" s="131"/>
      <c r="BB14" s="131"/>
      <c r="BC14" s="131"/>
      <c r="BD14" s="131"/>
      <c r="BE14" s="131"/>
      <c r="BF14" s="131"/>
      <c r="BG14" s="131"/>
      <c r="BH14" s="131"/>
      <c r="BI14" s="131"/>
      <c r="BJ14" s="131"/>
      <c r="BK14" s="131"/>
      <c r="BL14" s="131"/>
    </row>
    <row r="15" spans="1:64">
      <c r="B15" s="47" t="s">
        <v>1076</v>
      </c>
      <c r="AJ15" s="128"/>
      <c r="AK15" s="128"/>
      <c r="AL15" s="128"/>
      <c r="AM15" s="128"/>
      <c r="AN15" s="128"/>
      <c r="AO15" s="128"/>
      <c r="AP15" s="128"/>
      <c r="AQ15" s="131"/>
      <c r="AR15" s="131"/>
      <c r="AS15" s="131"/>
      <c r="AT15" s="131"/>
      <c r="AU15" s="131"/>
      <c r="AV15" s="131"/>
      <c r="AW15" s="131"/>
      <c r="AX15" s="131"/>
      <c r="AY15" s="131"/>
      <c r="AZ15" s="131"/>
      <c r="BA15" s="131"/>
      <c r="BB15" s="131"/>
      <c r="BC15" s="131"/>
      <c r="BD15" s="131"/>
      <c r="BE15" s="131"/>
      <c r="BF15" s="131"/>
      <c r="BG15" s="131"/>
      <c r="BH15" s="131"/>
      <c r="BI15" s="131"/>
      <c r="BJ15" s="131"/>
      <c r="BK15" s="131"/>
      <c r="BL15" s="131"/>
    </row>
    <row r="16" spans="1:64">
      <c r="B16"/>
      <c r="C16" t="s">
        <v>1031</v>
      </c>
      <c r="AH16" s="134">
        <v>6303.7811719578858</v>
      </c>
      <c r="AI16" s="134">
        <v>6580.1448339889612</v>
      </c>
      <c r="AJ16">
        <v>6481.5191950509743</v>
      </c>
      <c r="AK16" s="131">
        <v>6389.3490558121175</v>
      </c>
      <c r="AL16" s="131">
        <v>6154.8541008623115</v>
      </c>
      <c r="AM16" s="131">
        <v>5878.9154860002309</v>
      </c>
      <c r="AN16" s="131">
        <v>5722.8484318106293</v>
      </c>
      <c r="AO16" s="131">
        <v>5561.5438410105698</v>
      </c>
      <c r="AP16" s="131">
        <v>5423.6607070475347</v>
      </c>
      <c r="AQ16" s="131">
        <v>5342.8359804007823</v>
      </c>
      <c r="AR16" s="131">
        <v>4522.0112768966455</v>
      </c>
      <c r="AS16" s="131">
        <v>4360.4321910427398</v>
      </c>
      <c r="AT16" s="131">
        <v>4166.9062294274609</v>
      </c>
      <c r="AU16" s="131">
        <v>4064.406530666211</v>
      </c>
      <c r="AV16" s="131">
        <v>3956.4065708205935</v>
      </c>
      <c r="AW16" s="131">
        <v>3828.2020550886341</v>
      </c>
      <c r="AX16" s="131">
        <v>3701.924445175262</v>
      </c>
      <c r="AY16" s="131">
        <v>3584.3006779913153</v>
      </c>
      <c r="AZ16" s="131">
        <v>3461.3408972164239</v>
      </c>
      <c r="BA16" s="131">
        <v>3339.2218982167019</v>
      </c>
      <c r="BB16" s="131">
        <v>2487.6075989502215</v>
      </c>
      <c r="BC16" s="131">
        <v>2388.0312082980799</v>
      </c>
      <c r="BD16" s="131">
        <v>2205.2806206923915</v>
      </c>
      <c r="BE16" s="131">
        <v>2055.4280730513547</v>
      </c>
      <c r="BF16" s="131">
        <v>1942.5524162399181</v>
      </c>
      <c r="BG16" s="131">
        <v>1807.2604010247378</v>
      </c>
      <c r="BH16" s="131">
        <v>1665.8826505860873</v>
      </c>
      <c r="BI16" s="131">
        <v>1609.9920777594261</v>
      </c>
      <c r="BJ16" s="131">
        <v>1534.1693238963703</v>
      </c>
      <c r="BK16" s="131">
        <v>1353.2116382834636</v>
      </c>
      <c r="BL16" s="131">
        <v>1167.8183407677864</v>
      </c>
    </row>
    <row r="17" spans="2:64">
      <c r="C17" t="s">
        <v>1077</v>
      </c>
      <c r="AH17" s="134">
        <v>3782.2687031747309</v>
      </c>
      <c r="AI17" s="134">
        <v>3948.0869003933767</v>
      </c>
      <c r="AJ17">
        <v>3741.1701150001527</v>
      </c>
      <c r="AK17" s="131">
        <v>2957.4149822334175</v>
      </c>
      <c r="AL17" s="131">
        <v>2206.7939325484181</v>
      </c>
      <c r="AM17" s="131">
        <v>1538.9571177158646</v>
      </c>
      <c r="AN17" s="131">
        <v>1435.9147656156968</v>
      </c>
      <c r="AO17" s="131">
        <v>1286.4459335123177</v>
      </c>
      <c r="AP17" s="131">
        <v>1182.5940035929375</v>
      </c>
      <c r="AQ17" s="131">
        <v>1061.6356513608237</v>
      </c>
      <c r="AR17" s="131">
        <v>942.3098592969161</v>
      </c>
      <c r="AS17" s="131">
        <v>831.65738548462593</v>
      </c>
      <c r="AT17" s="131">
        <v>745.51987176204659</v>
      </c>
      <c r="AU17" s="131">
        <v>689.66998946910815</v>
      </c>
      <c r="AV17" s="131">
        <v>641.63632597562105</v>
      </c>
      <c r="AW17" s="131">
        <v>589.38037381718675</v>
      </c>
      <c r="AX17" s="131">
        <v>458.7125793398165</v>
      </c>
      <c r="AY17" s="131">
        <v>331.58914758767258</v>
      </c>
      <c r="AZ17" s="131">
        <v>259.12685517108611</v>
      </c>
      <c r="BA17" s="131">
        <v>239.88232364790537</v>
      </c>
      <c r="BB17" s="131">
        <v>238.73815251498721</v>
      </c>
      <c r="BC17" s="131">
        <v>238.42811465397108</v>
      </c>
      <c r="BD17" s="131">
        <v>238.1274258388095</v>
      </c>
      <c r="BE17" s="131">
        <v>237.82013390992006</v>
      </c>
      <c r="BF17" s="131">
        <v>237.51172653239595</v>
      </c>
      <c r="BG17" s="131">
        <v>237.24456739701515</v>
      </c>
      <c r="BH17" s="131">
        <v>236.94459317323512</v>
      </c>
      <c r="BI17" s="131">
        <v>236.62033416979543</v>
      </c>
      <c r="BJ17" s="131">
        <v>236.2891236974348</v>
      </c>
      <c r="BK17" s="131">
        <v>235.96145969616714</v>
      </c>
      <c r="BL17" s="131">
        <v>235.6485420163867</v>
      </c>
    </row>
    <row r="18" spans="2:64">
      <c r="C18" t="s">
        <v>1078</v>
      </c>
      <c r="AH18" s="134">
        <v>19856.910691667337</v>
      </c>
      <c r="AI18" s="134">
        <v>20727.456227065228</v>
      </c>
      <c r="AJ18">
        <v>20416.094218215625</v>
      </c>
      <c r="AK18" s="131">
        <v>20452.655033376632</v>
      </c>
      <c r="AL18" s="131">
        <v>20344.295177427801</v>
      </c>
      <c r="AM18" s="131">
        <v>20194.829228157723</v>
      </c>
      <c r="AN18" s="131">
        <v>19926.726607918445</v>
      </c>
      <c r="AO18" s="131">
        <v>19607.38517330767</v>
      </c>
      <c r="AP18" s="131">
        <v>19163.097716511802</v>
      </c>
      <c r="AQ18" s="131">
        <v>18592.589383960116</v>
      </c>
      <c r="AR18" s="131">
        <v>17893.126849922981</v>
      </c>
      <c r="AS18" s="131">
        <v>17030.453995135267</v>
      </c>
      <c r="AT18" s="131">
        <v>16133.809428978593</v>
      </c>
      <c r="AU18" s="131">
        <v>15192.298145995384</v>
      </c>
      <c r="AV18" s="131">
        <v>14249.527500484161</v>
      </c>
      <c r="AW18" s="131">
        <v>13200.750128371654</v>
      </c>
      <c r="AX18" s="131">
        <v>12216.407231460271</v>
      </c>
      <c r="AY18" s="131">
        <v>11206.275333247337</v>
      </c>
      <c r="AZ18" s="131">
        <v>10273.243106038599</v>
      </c>
      <c r="BA18" s="131">
        <v>9405.2246375185332</v>
      </c>
      <c r="BB18" s="131">
        <v>8523.7630283191465</v>
      </c>
      <c r="BC18" s="131">
        <v>7768.9856126202558</v>
      </c>
      <c r="BD18" s="131">
        <v>7030.2698979651395</v>
      </c>
      <c r="BE18" s="131">
        <v>6328.5701831137812</v>
      </c>
      <c r="BF18" s="131">
        <v>5657.6886799239237</v>
      </c>
      <c r="BG18" s="131">
        <v>4997.0493872197549</v>
      </c>
      <c r="BH18" s="131">
        <v>4476.9170578059129</v>
      </c>
      <c r="BI18" s="131">
        <v>3971.5492682018585</v>
      </c>
      <c r="BJ18" s="131">
        <v>3478.9635390440644</v>
      </c>
      <c r="BK18" s="131">
        <v>3083.6773374316517</v>
      </c>
      <c r="BL18" s="131">
        <v>2750.3558432965965</v>
      </c>
    </row>
    <row r="19" spans="2:64">
      <c r="C19" t="s">
        <v>1079</v>
      </c>
      <c r="AH19" s="134">
        <v>120</v>
      </c>
      <c r="AI19" s="134">
        <v>120</v>
      </c>
      <c r="AJ19">
        <v>119.70741140819536</v>
      </c>
      <c r="AK19" s="131">
        <v>120.47023708725533</v>
      </c>
      <c r="AL19" s="131">
        <v>121.27989697286772</v>
      </c>
      <c r="AM19" s="131">
        <v>122.05730212416833</v>
      </c>
      <c r="AN19" s="131">
        <v>122.72836678149071</v>
      </c>
      <c r="AO19" s="131">
        <v>123.29096732886505</v>
      </c>
      <c r="AP19" s="131">
        <v>123.75498004588582</v>
      </c>
      <c r="AQ19" s="131">
        <v>124.13574097417836</v>
      </c>
      <c r="AR19" s="131">
        <v>124.45031781607575</v>
      </c>
      <c r="AS19" s="131">
        <v>124.81577890055688</v>
      </c>
      <c r="AT19" s="131">
        <v>125.14148828536639</v>
      </c>
      <c r="AU19" s="131">
        <v>125.43073459718977</v>
      </c>
      <c r="AV19" s="131">
        <v>125.68474452373451</v>
      </c>
      <c r="AW19" s="131">
        <v>125.9097720672725</v>
      </c>
      <c r="AX19" s="131">
        <v>126.11636426151479</v>
      </c>
      <c r="AY19" s="131">
        <v>126.13411690845021</v>
      </c>
      <c r="AZ19" s="131">
        <v>126.13846123508624</v>
      </c>
      <c r="BA19" s="131">
        <v>126.13147301837326</v>
      </c>
      <c r="BB19" s="131">
        <v>126.11353686118612</v>
      </c>
      <c r="BC19" s="131">
        <v>125.91255708696424</v>
      </c>
      <c r="BD19" s="131">
        <v>125.70233498249539</v>
      </c>
      <c r="BE19" s="131">
        <v>125.48313793855517</v>
      </c>
      <c r="BF19" s="131">
        <v>125.25500301909176</v>
      </c>
      <c r="BG19" s="131">
        <v>125.2314147658989</v>
      </c>
      <c r="BH19" s="131">
        <v>125.19813063183311</v>
      </c>
      <c r="BI19" s="131">
        <v>125.15581685648962</v>
      </c>
      <c r="BJ19" s="131">
        <v>125.1058842438228</v>
      </c>
      <c r="BK19" s="131">
        <v>125.04789158694079</v>
      </c>
      <c r="BL19" s="131">
        <v>124.98137795986439</v>
      </c>
    </row>
    <row r="20" spans="2:64">
      <c r="AH20" s="134"/>
      <c r="AI20" s="134"/>
    </row>
    <row r="21" spans="2:64">
      <c r="B21" s="47" t="s">
        <v>1080</v>
      </c>
      <c r="AH21" s="135">
        <v>1155.7738314798421</v>
      </c>
      <c r="AI21" s="135">
        <v>1152.7028152978853</v>
      </c>
      <c r="AJ21">
        <v>1157.1977767372805</v>
      </c>
      <c r="AK21" s="131">
        <v>1115.874382499414</v>
      </c>
      <c r="AL21" s="131">
        <v>1076.0843577361795</v>
      </c>
      <c r="AM21" s="131">
        <v>1036.0541201426838</v>
      </c>
      <c r="AN21" s="131">
        <v>995.70752310355147</v>
      </c>
      <c r="AO21" s="131">
        <v>955.70162727814841</v>
      </c>
      <c r="AP21" s="131">
        <v>916.22815333693416</v>
      </c>
      <c r="AQ21" s="131">
        <v>877.339551362826</v>
      </c>
      <c r="AR21" s="131">
        <v>838.887409924743</v>
      </c>
      <c r="AS21" s="131">
        <v>798.69775880205736</v>
      </c>
      <c r="AT21" s="131">
        <v>763.56297227735377</v>
      </c>
      <c r="AU21" s="131">
        <v>731.44121984974322</v>
      </c>
      <c r="AV21" s="131">
        <v>701.24616550959388</v>
      </c>
      <c r="AW21" s="131">
        <v>672.58594272730011</v>
      </c>
      <c r="AX21" s="131">
        <v>644.96978294610551</v>
      </c>
      <c r="AY21" s="131">
        <v>618.30231046970812</v>
      </c>
      <c r="AZ21" s="131">
        <v>592.5178525891364</v>
      </c>
      <c r="BA21" s="131">
        <v>567.49478470568044</v>
      </c>
      <c r="BB21" s="131">
        <v>543.29296231647879</v>
      </c>
      <c r="BC21" s="131">
        <v>520.83346657163611</v>
      </c>
      <c r="BD21" s="131">
        <v>498.93821924663484</v>
      </c>
      <c r="BE21" s="131">
        <v>477.60117694989907</v>
      </c>
      <c r="BF21" s="131">
        <v>456.7658791011072</v>
      </c>
      <c r="BG21" s="131">
        <v>436.50494163865534</v>
      </c>
      <c r="BH21" s="131">
        <v>416.70657355319253</v>
      </c>
      <c r="BI21" s="131">
        <v>397.32175435699207</v>
      </c>
      <c r="BJ21" s="131">
        <v>378.39131833062197</v>
      </c>
      <c r="BK21" s="131">
        <v>359.93196695520811</v>
      </c>
      <c r="BL21" s="131">
        <v>341.94843221904455</v>
      </c>
    </row>
    <row r="22" spans="2:64">
      <c r="B22"/>
      <c r="AH22" s="135"/>
      <c r="AI22" s="135"/>
      <c r="AK22" s="128"/>
      <c r="AL22" s="128"/>
      <c r="AM22" s="128"/>
      <c r="AN22" s="128"/>
      <c r="AO22" s="128"/>
      <c r="AP22" s="131"/>
      <c r="AQ22" s="131"/>
      <c r="AR22" s="131"/>
      <c r="AS22" s="131"/>
      <c r="AT22" s="131"/>
      <c r="AU22" s="131"/>
      <c r="AV22" s="131"/>
      <c r="AW22" s="131"/>
      <c r="AX22" s="131"/>
      <c r="AY22" s="131"/>
      <c r="AZ22" s="131"/>
      <c r="BA22" s="131"/>
      <c r="BB22" s="131"/>
      <c r="BC22" s="131"/>
      <c r="BD22" s="131"/>
      <c r="BE22" s="131"/>
      <c r="BF22" s="131"/>
      <c r="BG22" s="131"/>
      <c r="BH22" s="131"/>
      <c r="BI22" s="131"/>
      <c r="BJ22" s="131"/>
      <c r="BK22" s="131"/>
      <c r="BL22" s="131"/>
    </row>
    <row r="23" spans="2:64">
      <c r="B23" s="47" t="s">
        <v>1081</v>
      </c>
      <c r="AH23" s="135">
        <v>1455.9452929894724</v>
      </c>
      <c r="AI23" s="135">
        <v>1525.0362084972403</v>
      </c>
      <c r="AJ23">
        <v>1532.8289099853675</v>
      </c>
      <c r="AK23" s="131">
        <v>1477.0866138735744</v>
      </c>
      <c r="AL23" s="131">
        <v>1509.7267885408205</v>
      </c>
      <c r="AM23" s="131">
        <v>1482.035042473475</v>
      </c>
      <c r="AN23" s="131">
        <v>1471.7503470947415</v>
      </c>
      <c r="AO23" s="131">
        <v>1430.4875881054365</v>
      </c>
      <c r="AP23" s="131">
        <v>1394.6082731517743</v>
      </c>
      <c r="AQ23" s="131">
        <v>1377.253906580464</v>
      </c>
      <c r="AR23" s="131">
        <v>1203.248904812154</v>
      </c>
      <c r="AS23" s="131">
        <v>1168.9210219649401</v>
      </c>
      <c r="AT23" s="131">
        <v>1136.8198524690963</v>
      </c>
      <c r="AU23" s="131">
        <v>1095.9009598344876</v>
      </c>
      <c r="AV23" s="131">
        <v>1061.332881668427</v>
      </c>
      <c r="AW23" s="131">
        <v>1057.1781524133937</v>
      </c>
      <c r="AX23" s="131">
        <v>1023.5355638503202</v>
      </c>
      <c r="AY23" s="131">
        <v>1004.6712928740043</v>
      </c>
      <c r="AZ23" s="131">
        <v>987.53043589776507</v>
      </c>
      <c r="BA23" s="131">
        <v>972.22237443647896</v>
      </c>
      <c r="BB23" s="131">
        <v>946.71157158325616</v>
      </c>
      <c r="BC23" s="131">
        <v>936.6771826669783</v>
      </c>
      <c r="BD23" s="131">
        <v>928.94107625807339</v>
      </c>
      <c r="BE23" s="131">
        <v>925.46924659467027</v>
      </c>
      <c r="BF23" s="131">
        <v>924.31255626521511</v>
      </c>
      <c r="BG23" s="131">
        <v>925.3279456939257</v>
      </c>
      <c r="BH23" s="131">
        <v>929.04067698582651</v>
      </c>
      <c r="BI23" s="131">
        <v>935.3851604628079</v>
      </c>
      <c r="BJ23" s="131">
        <v>943.39514599344568</v>
      </c>
      <c r="BK23" s="131">
        <v>952.36338878101765</v>
      </c>
      <c r="BL23" s="131">
        <v>963.74267987714586</v>
      </c>
    </row>
    <row r="24" spans="2:64">
      <c r="AH24" s="135"/>
      <c r="AI24" s="135"/>
      <c r="AK24" s="128"/>
      <c r="AL24" s="128"/>
      <c r="AM24" s="128"/>
      <c r="AN24" s="128"/>
      <c r="AO24" s="128"/>
      <c r="AP24" s="128"/>
      <c r="AQ24" s="128"/>
      <c r="AR24" s="128"/>
      <c r="AS24" s="128"/>
      <c r="AT24" s="131"/>
      <c r="AU24" s="131"/>
      <c r="AV24" s="131"/>
      <c r="AW24" s="131"/>
      <c r="AX24" s="131"/>
      <c r="AY24" s="131"/>
      <c r="AZ24" s="131"/>
      <c r="BA24" s="131"/>
      <c r="BB24" s="131"/>
      <c r="BC24" s="131"/>
      <c r="BD24" s="131"/>
      <c r="BE24" s="131"/>
      <c r="BF24" s="131"/>
      <c r="BG24" s="131"/>
      <c r="BH24" s="131"/>
      <c r="BI24" s="131"/>
      <c r="BJ24" s="131"/>
      <c r="BK24" s="131"/>
      <c r="BL24" s="131"/>
    </row>
    <row r="25" spans="2:64">
      <c r="B25" s="47" t="s">
        <v>1082</v>
      </c>
      <c r="D25" s="131"/>
      <c r="E25" s="131"/>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5">
        <v>1720.1199995828138</v>
      </c>
      <c r="AI25" s="135">
        <v>1800.4080871211938</v>
      </c>
      <c r="AJ25">
        <v>1792.9671172047294</v>
      </c>
      <c r="AK25" s="131">
        <v>1792.9671172047294</v>
      </c>
      <c r="AL25" s="131">
        <v>1792.9671172047294</v>
      </c>
      <c r="AM25" s="131">
        <v>1792.9671172047294</v>
      </c>
      <c r="AN25" s="131">
        <v>1792.9671172047294</v>
      </c>
      <c r="AO25" s="131">
        <v>1792.9671172047294</v>
      </c>
      <c r="AP25" s="131">
        <v>1792.9671172047294</v>
      </c>
      <c r="AQ25" s="131">
        <v>1792.9671172047294</v>
      </c>
      <c r="AR25" s="131">
        <v>1792.9671172047294</v>
      </c>
      <c r="AS25" s="131">
        <v>1792.9671172047294</v>
      </c>
      <c r="AT25" s="131">
        <v>1792.9671172047294</v>
      </c>
      <c r="AU25" s="131">
        <v>1792.9671172047294</v>
      </c>
      <c r="AV25" s="131">
        <v>1792.9671172047294</v>
      </c>
      <c r="AW25" s="131">
        <v>1792.9671172047294</v>
      </c>
      <c r="AX25" s="131">
        <v>1792.9671172047294</v>
      </c>
      <c r="AY25" s="131">
        <v>1792.9671172047294</v>
      </c>
      <c r="AZ25" s="131">
        <v>1792.9671172047294</v>
      </c>
      <c r="BA25" s="131">
        <v>1792.9671172047294</v>
      </c>
      <c r="BB25" s="131">
        <v>1792.9671172047294</v>
      </c>
      <c r="BC25" s="131">
        <v>1792.9671172047294</v>
      </c>
      <c r="BD25" s="131">
        <v>1792.9671172047294</v>
      </c>
      <c r="BE25" s="131">
        <v>1792.9671172047294</v>
      </c>
      <c r="BF25" s="131">
        <v>1792.9671172047294</v>
      </c>
      <c r="BG25" s="131">
        <v>1792.9671172047294</v>
      </c>
      <c r="BH25" s="131">
        <v>1792.9671172047294</v>
      </c>
      <c r="BI25" s="131">
        <v>1792.9671172047294</v>
      </c>
      <c r="BJ25" s="131">
        <v>1792.9671172047294</v>
      </c>
      <c r="BK25" s="131">
        <v>1792.9671172047294</v>
      </c>
      <c r="BL25" s="131">
        <v>1792.9671172047294</v>
      </c>
    </row>
    <row r="26" spans="2:64">
      <c r="B26"/>
      <c r="AH26" s="135"/>
      <c r="AI26" s="135"/>
      <c r="AK26" s="128"/>
      <c r="AL26" s="128"/>
      <c r="AM26" s="128"/>
      <c r="AN26" s="128"/>
    </row>
    <row r="27" spans="2:64">
      <c r="B27" s="47" t="s">
        <v>1083</v>
      </c>
      <c r="D27" s="136"/>
      <c r="E27" s="136"/>
      <c r="F27" s="136"/>
      <c r="G27" s="136"/>
      <c r="H27" s="136"/>
      <c r="I27" s="136"/>
      <c r="J27" s="136"/>
      <c r="K27" s="136"/>
      <c r="L27" s="136"/>
      <c r="M27" s="136"/>
      <c r="N27" s="136"/>
      <c r="O27" s="136"/>
      <c r="P27" s="136"/>
      <c r="Q27" s="136"/>
      <c r="R27" s="136"/>
      <c r="S27" s="136"/>
      <c r="T27" s="136"/>
      <c r="U27" s="136"/>
      <c r="V27" s="136"/>
      <c r="W27" s="136"/>
      <c r="X27" s="136"/>
      <c r="Y27" s="136"/>
      <c r="Z27" s="136"/>
      <c r="AA27" s="136"/>
      <c r="AB27" s="136"/>
      <c r="AC27" s="136"/>
      <c r="AD27" s="136"/>
      <c r="AE27" s="136"/>
      <c r="AF27" s="136"/>
      <c r="AG27" s="136"/>
      <c r="AH27" s="135">
        <v>86.932921676406778</v>
      </c>
      <c r="AI27" s="135">
        <v>75.593844936005894</v>
      </c>
      <c r="AJ27">
        <v>65.733778205222521</v>
      </c>
      <c r="AK27" s="131">
        <v>56.312912309354303</v>
      </c>
      <c r="AL27" s="131">
        <v>47.294931521951241</v>
      </c>
      <c r="AM27" s="131">
        <v>39.267057338483212</v>
      </c>
      <c r="AN27" s="131">
        <v>37</v>
      </c>
      <c r="AO27" s="131">
        <v>36.170328011180779</v>
      </c>
      <c r="AP27" s="131">
        <v>34.881022020425355</v>
      </c>
      <c r="AQ27" s="131">
        <v>33.388746585812243</v>
      </c>
      <c r="AR27" s="131">
        <v>31.910599860089555</v>
      </c>
      <c r="AS27" s="131">
        <v>30.535733044767575</v>
      </c>
      <c r="AT27" s="131">
        <v>29.465477195452976</v>
      </c>
      <c r="AU27" s="131">
        <v>28.771689539300606</v>
      </c>
      <c r="AV27" s="131">
        <v>28.174984921303775</v>
      </c>
      <c r="AW27" s="131">
        <v>27.525700514195897</v>
      </c>
      <c r="AX27" s="131">
        <v>25.901288019874855</v>
      </c>
      <c r="AY27" s="131">
        <v>24.320924397245964</v>
      </c>
      <c r="AZ27" s="131">
        <v>23.420279005152448</v>
      </c>
      <c r="BA27" s="131">
        <v>23.181409787019188</v>
      </c>
      <c r="BB27" s="131">
        <v>23.167621720676916</v>
      </c>
      <c r="BC27" s="131">
        <v>23.163767277359774</v>
      </c>
      <c r="BD27" s="131">
        <v>23.160028453829362</v>
      </c>
      <c r="BE27" s="131">
        <v>23.15620727626612</v>
      </c>
      <c r="BF27" s="131">
        <v>23.152372144078818</v>
      </c>
      <c r="BG27" s="131">
        <v>23.149049923907093</v>
      </c>
      <c r="BH27" s="131">
        <v>23.14531962761086</v>
      </c>
      <c r="BI27" s="131">
        <v>23.141287338526595</v>
      </c>
      <c r="BJ27" s="131">
        <v>23.137168604732487</v>
      </c>
      <c r="BK27" s="131">
        <v>23.133093972630267</v>
      </c>
      <c r="BL27" s="131">
        <v>23.129202716883118</v>
      </c>
    </row>
    <row r="28" spans="2:64">
      <c r="AH28" s="135"/>
      <c r="AI28" s="135"/>
      <c r="AK28" s="129"/>
      <c r="AL28" s="129"/>
      <c r="AM28" s="129"/>
      <c r="AN28" s="129"/>
      <c r="AO28" s="129"/>
      <c r="AP28" s="128"/>
      <c r="AQ28" s="128"/>
    </row>
    <row r="29" spans="2:64">
      <c r="B29" s="47" t="s">
        <v>1084</v>
      </c>
      <c r="AH29" s="135">
        <v>226.33157889247551</v>
      </c>
      <c r="AI29" s="135">
        <v>236.89580093699919</v>
      </c>
      <c r="AJ29">
        <v>231.63399238479201</v>
      </c>
      <c r="AK29" s="131">
        <v>235.88031205724425</v>
      </c>
      <c r="AL29" s="131">
        <v>239.01888006207875</v>
      </c>
      <c r="AM29" s="131">
        <v>242.56287144721853</v>
      </c>
      <c r="AN29" s="131">
        <v>246.07429142787544</v>
      </c>
      <c r="AO29" s="131">
        <v>249.8031487049364</v>
      </c>
      <c r="AP29" s="131">
        <v>253.41290945652128</v>
      </c>
      <c r="AQ29" s="131">
        <v>257.02647561344668</v>
      </c>
      <c r="AR29" s="131">
        <v>260.49667811194422</v>
      </c>
      <c r="AS29" s="131">
        <v>263.98362964767881</v>
      </c>
      <c r="AT29" s="131">
        <v>267.40562463279423</v>
      </c>
      <c r="AU29" s="131">
        <v>270.89091248154307</v>
      </c>
      <c r="AV29" s="131">
        <v>274.44895234232786</v>
      </c>
      <c r="AW29" s="131">
        <v>278.31652548667637</v>
      </c>
      <c r="AX29" s="131">
        <v>282.66370886364501</v>
      </c>
      <c r="AY29" s="131">
        <v>287.08426731026759</v>
      </c>
      <c r="AZ29" s="131">
        <v>291.39286120659995</v>
      </c>
      <c r="BA29" s="131">
        <v>295.46164410611334</v>
      </c>
      <c r="BB29" s="131">
        <v>299.47831817322844</v>
      </c>
      <c r="BC29" s="131">
        <v>303.23953645615916</v>
      </c>
      <c r="BD29" s="131">
        <v>307.1581050062029</v>
      </c>
      <c r="BE29" s="131">
        <v>311.5824292522974</v>
      </c>
      <c r="BF29" s="131">
        <v>315.45554625779482</v>
      </c>
      <c r="BG29" s="131">
        <v>319.50282977955237</v>
      </c>
      <c r="BH29" s="131">
        <v>323.5408264525164</v>
      </c>
      <c r="BI29" s="131">
        <v>326.27676970595883</v>
      </c>
      <c r="BJ29" s="131">
        <v>328.92926841845872</v>
      </c>
      <c r="BK29" s="131">
        <v>331.49683508908805</v>
      </c>
      <c r="BL29" s="131">
        <v>333.97613368845862</v>
      </c>
    </row>
    <row r="30" spans="2:64">
      <c r="AJ30" s="128"/>
      <c r="AK30" s="128"/>
      <c r="AL30" s="128"/>
      <c r="AM30" s="128"/>
      <c r="AN30" s="128"/>
      <c r="AO30" s="128"/>
      <c r="AP30" s="131"/>
      <c r="AQ30" s="131"/>
      <c r="AR30" s="131"/>
      <c r="AS30" s="131"/>
      <c r="AT30" s="131"/>
      <c r="AU30" s="131"/>
      <c r="AV30" s="131"/>
      <c r="AW30" s="131"/>
      <c r="AX30" s="131"/>
      <c r="AY30" s="131"/>
      <c r="AZ30" s="131"/>
      <c r="BA30" s="131"/>
      <c r="BB30" s="131"/>
      <c r="BC30" s="131"/>
      <c r="BD30" s="131"/>
      <c r="BE30" s="131"/>
      <c r="BF30" s="131"/>
      <c r="BG30" s="131"/>
      <c r="BH30" s="131"/>
      <c r="BI30" s="131"/>
      <c r="BJ30" s="131"/>
      <c r="BK30" s="131"/>
      <c r="BL30" s="131"/>
    </row>
    <row r="31" spans="2:64">
      <c r="B31" s="47" t="s">
        <v>1085</v>
      </c>
      <c r="AH31" s="136"/>
      <c r="AI31" s="136"/>
      <c r="AJ31" s="136"/>
      <c r="AK31" s="136"/>
      <c r="AL31" s="136"/>
      <c r="AM31" s="131"/>
      <c r="AN31" s="131"/>
      <c r="AO31" s="131"/>
      <c r="AP31" s="131"/>
      <c r="AQ31" s="131"/>
      <c r="AR31" s="131"/>
      <c r="AS31" s="131"/>
      <c r="AT31" s="131"/>
      <c r="AU31" s="131"/>
      <c r="AV31" s="131"/>
      <c r="AW31" s="131"/>
      <c r="AX31" s="131"/>
      <c r="AY31" s="131"/>
      <c r="AZ31" s="131"/>
      <c r="BA31" s="131"/>
      <c r="BB31" s="131"/>
      <c r="BC31" s="131"/>
      <c r="BD31" s="131"/>
      <c r="BE31" s="131"/>
      <c r="BF31" s="131"/>
      <c r="BG31" s="131"/>
      <c r="BH31" s="131"/>
      <c r="BI31" s="131"/>
      <c r="BJ31" s="131"/>
      <c r="BK31" s="131"/>
      <c r="BL31" s="131"/>
    </row>
    <row r="32" spans="2:64" s="137" customFormat="1">
      <c r="C32" s="137" t="s">
        <v>1086</v>
      </c>
      <c r="AH32" s="137">
        <v>-7323.5114456931742</v>
      </c>
      <c r="AI32" s="137">
        <v>-6329.15132347086</v>
      </c>
      <c r="AJ32" s="137">
        <v>-5325.7862014847042</v>
      </c>
      <c r="AK32" s="137">
        <v>-5479.6543305072537</v>
      </c>
      <c r="AL32" s="137">
        <v>-5785.9793818925709</v>
      </c>
      <c r="AM32" s="137">
        <v>-6919.030637004309</v>
      </c>
      <c r="AN32" s="137">
        <v>-8888.5750408616004</v>
      </c>
      <c r="AO32" s="137">
        <v>-10490.621548740437</v>
      </c>
      <c r="AP32" s="137">
        <v>-12526.071612131151</v>
      </c>
      <c r="AQ32" s="137">
        <v>-13710.156594035408</v>
      </c>
      <c r="AR32" s="137">
        <v>-14336.552328808704</v>
      </c>
      <c r="AS32" s="137">
        <v>-15415.238881312909</v>
      </c>
      <c r="AT32" s="137">
        <v>-16417.769327378486</v>
      </c>
      <c r="AU32" s="137">
        <v>-17501.259405257835</v>
      </c>
      <c r="AV32" s="137">
        <v>-18390.631186567116</v>
      </c>
      <c r="AW32" s="137">
        <v>-19189.008079692292</v>
      </c>
      <c r="AX32" s="137">
        <v>-20376.477927312371</v>
      </c>
      <c r="AY32" s="137">
        <v>-21711.526099251776</v>
      </c>
      <c r="AZ32" s="137">
        <v>-22872.849755340354</v>
      </c>
      <c r="BA32" s="137">
        <v>-24054.375423494337</v>
      </c>
      <c r="BB32" s="137">
        <v>-25149.236038892886</v>
      </c>
      <c r="BC32" s="137">
        <v>-26144.682353443386</v>
      </c>
      <c r="BD32" s="137">
        <v>-26622.484457348495</v>
      </c>
      <c r="BE32" s="137">
        <v>-26700.199812481886</v>
      </c>
      <c r="BF32" s="137">
        <v>-26494.645824413317</v>
      </c>
      <c r="BG32" s="137">
        <v>-26017.868802124554</v>
      </c>
      <c r="BH32" s="137">
        <v>-26076.367918352516</v>
      </c>
      <c r="BI32" s="137">
        <v>-26081.536056972473</v>
      </c>
      <c r="BJ32" s="137">
        <v>-26016.253489538747</v>
      </c>
      <c r="BK32" s="137">
        <v>-25794.30250528258</v>
      </c>
      <c r="BL32" s="137">
        <v>-25657.688805574617</v>
      </c>
    </row>
    <row r="33" spans="1:64" s="137" customFormat="1">
      <c r="C33" s="137" t="s">
        <v>1087</v>
      </c>
      <c r="AH33" s="137">
        <v>-736.71377373889936</v>
      </c>
      <c r="AI33" s="137">
        <v>-943.05881311267149</v>
      </c>
      <c r="AJ33" s="137">
        <v>-989.1159819699169</v>
      </c>
      <c r="AK33" s="137">
        <v>-651.87850776964206</v>
      </c>
      <c r="AL33" s="137">
        <v>-265.15557247221932</v>
      </c>
      <c r="AM33" s="137">
        <v>145.84291219286933</v>
      </c>
      <c r="AN33" s="137">
        <v>-48.770296154674725</v>
      </c>
      <c r="AO33" s="137">
        <v>2.8946139452891657</v>
      </c>
      <c r="AP33" s="137">
        <v>90.93396795602348</v>
      </c>
      <c r="AQ33" s="137">
        <v>134.05187972000022</v>
      </c>
      <c r="AR33" s="137">
        <v>212.84511783828202</v>
      </c>
      <c r="AS33" s="137">
        <v>307.78418661095748</v>
      </c>
      <c r="AT33" s="137">
        <v>485.59334492086964</v>
      </c>
      <c r="AU33" s="137">
        <v>666.76289414192433</v>
      </c>
      <c r="AV33" s="137">
        <v>729.09122257366107</v>
      </c>
      <c r="AW33" s="137">
        <v>641.35789191940421</v>
      </c>
      <c r="AX33" s="137">
        <v>635.35296908481178</v>
      </c>
      <c r="AY33" s="137">
        <v>290.00632848589521</v>
      </c>
      <c r="AZ33" s="137">
        <v>294.39611682210671</v>
      </c>
      <c r="BA33" s="137">
        <v>323.27101302860683</v>
      </c>
      <c r="BB33" s="137">
        <v>319.10989355637139</v>
      </c>
      <c r="BC33" s="137">
        <v>270.83501841231191</v>
      </c>
      <c r="BD33" s="137">
        <v>164.19713870795022</v>
      </c>
      <c r="BE33" s="137">
        <v>165.2344402391609</v>
      </c>
      <c r="BF33" s="137">
        <v>174.95717113514547</v>
      </c>
      <c r="BG33" s="137">
        <v>180.0628048677645</v>
      </c>
      <c r="BH33" s="137">
        <v>173.98052487469249</v>
      </c>
      <c r="BI33" s="137">
        <v>172.55654686462731</v>
      </c>
      <c r="BJ33" s="137">
        <v>178.09655868727714</v>
      </c>
      <c r="BK33" s="137">
        <v>178.31923065354567</v>
      </c>
      <c r="BL33" s="137">
        <v>177.4517072796225</v>
      </c>
    </row>
    <row r="34" spans="1:64" s="137" customFormat="1">
      <c r="C34" s="137" t="s">
        <v>1088</v>
      </c>
      <c r="AH34" s="137">
        <f>AH32+AH33</f>
        <v>-8060.2252194320736</v>
      </c>
      <c r="AI34" s="137">
        <f>AI32+AI33</f>
        <v>-7272.2101365835315</v>
      </c>
      <c r="AJ34" s="137">
        <f>AJ32+AJ33</f>
        <v>-6314.9021834546211</v>
      </c>
      <c r="AK34" s="137">
        <f t="shared" ref="AK34:BK34" si="0">AK32+AK33</f>
        <v>-6131.5328382768957</v>
      </c>
      <c r="AL34" s="137">
        <f t="shared" si="0"/>
        <v>-6051.1349543647902</v>
      </c>
      <c r="AM34" s="137">
        <f t="shared" si="0"/>
        <v>-6773.1877248114397</v>
      </c>
      <c r="AN34" s="137">
        <f t="shared" si="0"/>
        <v>-8937.3453370162752</v>
      </c>
      <c r="AO34" s="137">
        <f t="shared" si="0"/>
        <v>-10487.726934795148</v>
      </c>
      <c r="AP34" s="137">
        <f t="shared" si="0"/>
        <v>-12435.137644175127</v>
      </c>
      <c r="AQ34" s="137">
        <f t="shared" si="0"/>
        <v>-13576.104714315408</v>
      </c>
      <c r="AR34" s="137">
        <f t="shared" si="0"/>
        <v>-14123.707210970422</v>
      </c>
      <c r="AS34" s="137">
        <f t="shared" si="0"/>
        <v>-15107.454694701952</v>
      </c>
      <c r="AT34" s="137">
        <f t="shared" si="0"/>
        <v>-15932.175982457617</v>
      </c>
      <c r="AU34" s="137">
        <f t="shared" si="0"/>
        <v>-16834.496511115911</v>
      </c>
      <c r="AV34" s="137">
        <f t="shared" si="0"/>
        <v>-17661.539963993455</v>
      </c>
      <c r="AW34" s="137">
        <f t="shared" si="0"/>
        <v>-18547.650187772888</v>
      </c>
      <c r="AX34" s="137">
        <f t="shared" si="0"/>
        <v>-19741.12495822756</v>
      </c>
      <c r="AY34" s="137">
        <f t="shared" si="0"/>
        <v>-21421.519770765881</v>
      </c>
      <c r="AZ34" s="137">
        <f t="shared" si="0"/>
        <v>-22578.453638518247</v>
      </c>
      <c r="BA34" s="137">
        <f t="shared" si="0"/>
        <v>-23731.10441046573</v>
      </c>
      <c r="BB34" s="137">
        <f t="shared" si="0"/>
        <v>-24830.126145336515</v>
      </c>
      <c r="BC34" s="137">
        <f t="shared" si="0"/>
        <v>-25873.847335031074</v>
      </c>
      <c r="BD34" s="137">
        <f t="shared" si="0"/>
        <v>-26458.287318640545</v>
      </c>
      <c r="BE34" s="137">
        <f t="shared" si="0"/>
        <v>-26534.965372242725</v>
      </c>
      <c r="BF34" s="137">
        <f t="shared" si="0"/>
        <v>-26319.688653278172</v>
      </c>
      <c r="BG34" s="137">
        <f t="shared" si="0"/>
        <v>-25837.80599725679</v>
      </c>
      <c r="BH34" s="137">
        <f t="shared" si="0"/>
        <v>-25902.387393477824</v>
      </c>
      <c r="BI34" s="137">
        <f t="shared" si="0"/>
        <v>-25908.979510107845</v>
      </c>
      <c r="BJ34" s="137">
        <f t="shared" si="0"/>
        <v>-25838.15693085147</v>
      </c>
      <c r="BK34" s="137">
        <f t="shared" si="0"/>
        <v>-25615.983274629034</v>
      </c>
      <c r="BL34" s="137">
        <f>BL32+BL33</f>
        <v>-25480.237098294994</v>
      </c>
    </row>
    <row r="35" spans="1:64" s="137" customFormat="1">
      <c r="C35" s="137" t="s">
        <v>1089</v>
      </c>
      <c r="AH35" s="128">
        <f>AH33/AH34</f>
        <v>9.1401140003232878E-2</v>
      </c>
      <c r="AI35" s="128">
        <f>AI33/AI34</f>
        <v>0.1296798078439079</v>
      </c>
      <c r="AJ35" s="128">
        <f>AJ33/AJ34</f>
        <v>0.15663203534038156</v>
      </c>
      <c r="AK35" s="128">
        <f t="shared" ref="AK35:BL35" si="1">AK33/AK34</f>
        <v>0.1063157492528141</v>
      </c>
      <c r="AL35" s="128">
        <f t="shared" si="1"/>
        <v>4.3819147064462334E-2</v>
      </c>
      <c r="AM35" s="128">
        <f t="shared" si="1"/>
        <v>-2.1532388901406019E-2</v>
      </c>
      <c r="AN35" s="128">
        <f t="shared" si="1"/>
        <v>5.4569107845346661E-3</v>
      </c>
      <c r="AO35" s="128">
        <f t="shared" si="1"/>
        <v>-2.7600012503049641E-4</v>
      </c>
      <c r="AP35" s="128">
        <f t="shared" si="1"/>
        <v>-7.3126627591950143E-3</v>
      </c>
      <c r="AQ35" s="128">
        <f t="shared" si="1"/>
        <v>-9.8741047259784595E-3</v>
      </c>
      <c r="AR35" s="128">
        <f t="shared" si="1"/>
        <v>-1.5070060194462054E-2</v>
      </c>
      <c r="AS35" s="128">
        <f t="shared" si="1"/>
        <v>-2.0373000801974579E-2</v>
      </c>
      <c r="AT35" s="128">
        <f t="shared" si="1"/>
        <v>-3.0478783654884312E-2</v>
      </c>
      <c r="AU35" s="128">
        <f t="shared" si="1"/>
        <v>-3.9606940053220907E-2</v>
      </c>
      <c r="AV35" s="128">
        <f t="shared" si="1"/>
        <v>-4.1281293933601367E-2</v>
      </c>
      <c r="AW35" s="128">
        <f t="shared" si="1"/>
        <v>-3.4578929698717557E-2</v>
      </c>
      <c r="AX35" s="128">
        <f t="shared" si="1"/>
        <v>-3.2184233189811916E-2</v>
      </c>
      <c r="AY35" s="128">
        <f t="shared" si="1"/>
        <v>-1.353808373958925E-2</v>
      </c>
      <c r="AZ35" s="128">
        <f t="shared" si="1"/>
        <v>-1.3038807773791678E-2</v>
      </c>
      <c r="BA35" s="128">
        <f t="shared" si="1"/>
        <v>-1.3622248987537219E-2</v>
      </c>
      <c r="BB35" s="128">
        <f t="shared" si="1"/>
        <v>-1.2851722608598395E-2</v>
      </c>
      <c r="BC35" s="128">
        <f t="shared" si="1"/>
        <v>-1.0467520152892896E-2</v>
      </c>
      <c r="BD35" s="128">
        <f t="shared" si="1"/>
        <v>-6.2058869015406415E-3</v>
      </c>
      <c r="BE35" s="128">
        <f t="shared" si="1"/>
        <v>-6.2270456328541784E-3</v>
      </c>
      <c r="BF35" s="128">
        <f t="shared" si="1"/>
        <v>-6.6473875675331822E-3</v>
      </c>
      <c r="BG35" s="128">
        <f t="shared" si="1"/>
        <v>-6.9689665170054238E-3</v>
      </c>
      <c r="BH35" s="128">
        <f t="shared" si="1"/>
        <v>-6.7167756481976053E-3</v>
      </c>
      <c r="BI35" s="128">
        <f t="shared" si="1"/>
        <v>-6.6601058832636761E-3</v>
      </c>
      <c r="BJ35" s="128">
        <f t="shared" si="1"/>
        <v>-6.8927733183099041E-3</v>
      </c>
      <c r="BK35" s="128">
        <f t="shared" si="1"/>
        <v>-6.961248714983324E-3</v>
      </c>
      <c r="BL35" s="128">
        <f t="shared" si="1"/>
        <v>-6.9642879143968659E-3</v>
      </c>
    </row>
    <row r="36" spans="1:64" s="133" customFormat="1">
      <c r="A36" s="132" t="s">
        <v>1090</v>
      </c>
    </row>
    <row r="37" spans="1:64">
      <c r="AK37" s="138"/>
      <c r="AL37" s="138"/>
      <c r="AM37" s="138"/>
      <c r="AN37" s="138"/>
      <c r="AO37" s="138"/>
      <c r="AP37" s="138"/>
    </row>
    <row r="38" spans="1:64">
      <c r="B38" s="47" t="s">
        <v>1091</v>
      </c>
      <c r="AL38" s="138"/>
      <c r="AM38" s="138"/>
      <c r="AN38" s="138"/>
      <c r="AO38" s="138"/>
      <c r="AP38" s="138"/>
    </row>
    <row r="39" spans="1:64">
      <c r="B39"/>
      <c r="C39" t="s">
        <v>1070</v>
      </c>
      <c r="D39" s="131">
        <v>8126.1945618773643</v>
      </c>
      <c r="E39" s="131">
        <v>8106.661121873205</v>
      </c>
      <c r="F39" s="131">
        <v>8469.9964545997555</v>
      </c>
      <c r="G39" s="131">
        <v>8922.6885824844103</v>
      </c>
      <c r="H39" s="131">
        <v>9583.8002483498967</v>
      </c>
      <c r="I39" s="131">
        <v>10247.564720783123</v>
      </c>
      <c r="J39" s="131">
        <v>10378.724398951666</v>
      </c>
      <c r="K39" s="131">
        <v>10605.333888617772</v>
      </c>
      <c r="L39" s="131">
        <v>10810.458340752642</v>
      </c>
      <c r="M39" s="131">
        <v>11096.605458727845</v>
      </c>
      <c r="N39" s="131">
        <v>11648.310343290637</v>
      </c>
      <c r="O39" s="131">
        <v>11705.871223077451</v>
      </c>
      <c r="P39" s="131">
        <v>12162.021231248526</v>
      </c>
      <c r="Q39" s="131">
        <v>12697.797549640931</v>
      </c>
      <c r="R39" s="131">
        <v>12992.367162928625</v>
      </c>
      <c r="S39" s="131">
        <v>13063.440862686894</v>
      </c>
      <c r="T39" s="131">
        <v>13182.198504199005</v>
      </c>
      <c r="U39" s="131">
        <v>13284.806809600492</v>
      </c>
      <c r="V39" s="131">
        <v>13293.959706338926</v>
      </c>
      <c r="W39" s="131">
        <v>13101.086214174264</v>
      </c>
      <c r="X39" s="131">
        <v>13348.937535477718</v>
      </c>
      <c r="Y39" s="131">
        <v>13331.827621000642</v>
      </c>
      <c r="Z39" s="131">
        <v>13006.487718579234</v>
      </c>
      <c r="AA39" s="131">
        <v>13081.360160828839</v>
      </c>
      <c r="AB39" s="131">
        <v>13339.646613066796</v>
      </c>
      <c r="AC39" s="131">
        <v>13805.025309105527</v>
      </c>
      <c r="AD39" s="131">
        <v>13906.520809611657</v>
      </c>
      <c r="AE39" s="131">
        <v>14803.702978914342</v>
      </c>
      <c r="AF39" s="131">
        <v>15126.124771992951</v>
      </c>
      <c r="AG39" s="131">
        <v>14654.704680232724</v>
      </c>
      <c r="AH39" s="131">
        <v>13175.66592208733</v>
      </c>
      <c r="AI39" s="131">
        <v>14392.458510567654</v>
      </c>
      <c r="AJ39" s="131">
        <v>15136.06345285677</v>
      </c>
      <c r="AK39" s="131">
        <v>15266.536096800248</v>
      </c>
      <c r="AL39" s="131">
        <v>15146.85249805272</v>
      </c>
      <c r="AM39" s="131">
        <v>14992.030690104439</v>
      </c>
      <c r="AN39" s="131">
        <v>14742.768425476655</v>
      </c>
      <c r="AO39" s="131">
        <v>14443.411856381275</v>
      </c>
      <c r="AP39" s="131">
        <v>14019.993993121743</v>
      </c>
      <c r="AQ39" s="131">
        <v>13478.050386523248</v>
      </c>
      <c r="AR39" s="131">
        <v>12818.222228943747</v>
      </c>
      <c r="AS39" s="131">
        <v>12018.667048697454</v>
      </c>
      <c r="AT39" s="131">
        <v>11206.966781897376</v>
      </c>
      <c r="AU39" s="131">
        <v>10368.270013817177</v>
      </c>
      <c r="AV39" s="131">
        <v>9573.7207429681166</v>
      </c>
      <c r="AW39" s="131">
        <v>8738.9976258976531</v>
      </c>
      <c r="AX39" s="131">
        <v>7969.462877298889</v>
      </c>
      <c r="AY39" s="131">
        <v>7190.1785919775375</v>
      </c>
      <c r="AZ39" s="131">
        <v>6502.4875577186776</v>
      </c>
      <c r="BA39" s="131">
        <v>5886.7957945973685</v>
      </c>
      <c r="BB39" s="131">
        <v>5255.905572065536</v>
      </c>
      <c r="BC39" s="131">
        <v>4742.1118640319837</v>
      </c>
      <c r="BD39" s="131">
        <v>4236.3146466567496</v>
      </c>
      <c r="BE39" s="131">
        <v>3759.4924336066242</v>
      </c>
      <c r="BF39" s="131">
        <v>3303.8408019191943</v>
      </c>
      <c r="BG39" s="131">
        <v>2850.251972189079</v>
      </c>
      <c r="BH39" s="131">
        <v>2522.9629070235692</v>
      </c>
      <c r="BI39" s="131">
        <v>2201.1180446802186</v>
      </c>
      <c r="BJ39" s="131">
        <v>1884.2077497820085</v>
      </c>
      <c r="BK39" s="131">
        <v>1651.1149359981721</v>
      </c>
      <c r="BL39" s="131">
        <v>1468.3926776201222</v>
      </c>
    </row>
    <row r="40" spans="1:64">
      <c r="C40" t="s">
        <v>1071</v>
      </c>
      <c r="D40" s="131">
        <v>15751.457119942432</v>
      </c>
      <c r="E40" s="131">
        <v>16260.763635184612</v>
      </c>
      <c r="F40" s="131">
        <v>17758.189935011564</v>
      </c>
      <c r="G40" s="131">
        <v>16839.732611162875</v>
      </c>
      <c r="H40" s="131">
        <v>16497.457587552446</v>
      </c>
      <c r="I40" s="131">
        <v>15618.085712577753</v>
      </c>
      <c r="J40" s="131">
        <v>17083.054848425389</v>
      </c>
      <c r="K40" s="131">
        <v>18888.501120561912</v>
      </c>
      <c r="L40" s="131">
        <v>17101.107279390875</v>
      </c>
      <c r="M40" s="131">
        <v>18186.151145039094</v>
      </c>
      <c r="N40" s="131">
        <v>18370.06129168706</v>
      </c>
      <c r="O40" s="131">
        <v>20332.557983234976</v>
      </c>
      <c r="P40" s="131">
        <v>19826.561624475569</v>
      </c>
      <c r="Q40" s="131">
        <v>20715.372328325397</v>
      </c>
      <c r="R40" s="131">
        <v>20063.148999961377</v>
      </c>
      <c r="S40" s="131">
        <v>21585.171872315932</v>
      </c>
      <c r="T40" s="131">
        <v>21864.599123014294</v>
      </c>
      <c r="U40" s="131">
        <v>20354.048014398646</v>
      </c>
      <c r="V40" s="131">
        <v>21480.730358969609</v>
      </c>
      <c r="W40" s="131">
        <v>18989.974763630606</v>
      </c>
      <c r="X40" s="131">
        <v>18897.274228602691</v>
      </c>
      <c r="Y40" s="131">
        <v>18238.205068148098</v>
      </c>
      <c r="Z40" s="131">
        <v>19945.036100062269</v>
      </c>
      <c r="AA40" s="131">
        <v>19006.798121776083</v>
      </c>
      <c r="AB40" s="131">
        <v>18818.737812995834</v>
      </c>
      <c r="AC40" s="131">
        <v>18599.558463781785</v>
      </c>
      <c r="AD40" s="131">
        <v>17094.00307321069</v>
      </c>
      <c r="AE40" s="131">
        <v>17648.574192506356</v>
      </c>
      <c r="AF40" s="131">
        <v>17397.469601782203</v>
      </c>
      <c r="AG40" s="131">
        <v>19264.921922553574</v>
      </c>
      <c r="AH40" s="131">
        <v>18284.708741332448</v>
      </c>
      <c r="AI40" s="131">
        <v>18446.312509933738</v>
      </c>
      <c r="AJ40" s="131">
        <v>17073.91003084468</v>
      </c>
      <c r="AK40" s="131">
        <v>16159.570930049618</v>
      </c>
      <c r="AL40" s="131">
        <v>15199.613509582672</v>
      </c>
      <c r="AM40" s="131">
        <v>14238.325157805191</v>
      </c>
      <c r="AN40" s="131">
        <v>13944.805497205094</v>
      </c>
      <c r="AO40" s="131">
        <v>13599.024381642395</v>
      </c>
      <c r="AP40" s="131">
        <v>13323.749090068264</v>
      </c>
      <c r="AQ40" s="131">
        <v>13081.498093944878</v>
      </c>
      <c r="AR40" s="131">
        <v>12051.238242126385</v>
      </c>
      <c r="AS40" s="131">
        <v>11702.686569943649</v>
      </c>
      <c r="AT40" s="131">
        <v>11325.50568638927</v>
      </c>
      <c r="AU40" s="131">
        <v>11053.571589335783</v>
      </c>
      <c r="AV40" s="131">
        <v>10738.338364282261</v>
      </c>
      <c r="AW40" s="131">
        <v>10332.520754331361</v>
      </c>
      <c r="AX40" s="131">
        <v>9848.345859417288</v>
      </c>
      <c r="AY40" s="131">
        <v>9359.6203765954997</v>
      </c>
      <c r="AZ40" s="131">
        <v>8904.8930730616103</v>
      </c>
      <c r="BA40" s="131">
        <v>8496.8644995945506</v>
      </c>
      <c r="BB40" s="131">
        <v>7340.0243308323343</v>
      </c>
      <c r="BC40" s="131">
        <v>6985.0326054606685</v>
      </c>
      <c r="BD40" s="131">
        <v>6552.3733493666596</v>
      </c>
      <c r="BE40" s="131">
        <v>6160.3171397801189</v>
      </c>
      <c r="BF40" s="131">
        <v>5765.5535175847226</v>
      </c>
      <c r="BG40" s="131">
        <v>5393.7679654563262</v>
      </c>
      <c r="BH40" s="131">
        <v>5037.2365447496113</v>
      </c>
      <c r="BI40" s="131">
        <v>4766.1557842493521</v>
      </c>
      <c r="BJ40" s="131">
        <v>4480.4063970348825</v>
      </c>
      <c r="BK40" s="131">
        <v>4076.8191807841413</v>
      </c>
      <c r="BL40" s="131">
        <v>3700.9642515558726</v>
      </c>
    </row>
    <row r="41" spans="1:64">
      <c r="C41" t="s">
        <v>1072</v>
      </c>
      <c r="D41" s="131">
        <v>3579.9241346438948</v>
      </c>
      <c r="E41" s="131">
        <v>3728.6111222987829</v>
      </c>
      <c r="F41" s="131">
        <v>3374.0926125681876</v>
      </c>
      <c r="G41" s="131">
        <v>3213.4642440055904</v>
      </c>
      <c r="H41" s="131">
        <v>3082.8039477327038</v>
      </c>
      <c r="I41" s="131">
        <v>3174.4319661035479</v>
      </c>
      <c r="J41" s="131">
        <v>3365.5491486420492</v>
      </c>
      <c r="K41" s="131">
        <v>3253.3568142669214</v>
      </c>
      <c r="L41" s="131">
        <v>3237.0127278299415</v>
      </c>
      <c r="M41" s="131">
        <v>3412.9403172224529</v>
      </c>
      <c r="N41" s="131">
        <v>3443.2215068220407</v>
      </c>
      <c r="O41" s="131">
        <v>3558.4810172775565</v>
      </c>
      <c r="P41" s="131">
        <v>3680.4558967406147</v>
      </c>
      <c r="Q41" s="131">
        <v>3916.5350179642096</v>
      </c>
      <c r="R41" s="131">
        <v>3952.997270519284</v>
      </c>
      <c r="S41" s="131">
        <v>4061.6484302342874</v>
      </c>
      <c r="T41" s="131">
        <v>4171.1765319764372</v>
      </c>
      <c r="U41" s="131">
        <v>4431.1900620868064</v>
      </c>
      <c r="V41" s="131">
        <v>4322.4399267639474</v>
      </c>
      <c r="W41" s="131">
        <v>4274.5913164439062</v>
      </c>
      <c r="X41" s="131">
        <v>4591.1325441158442</v>
      </c>
      <c r="Y41" s="131">
        <v>4627.3865476130059</v>
      </c>
      <c r="Z41" s="131">
        <v>4703.1898738720029</v>
      </c>
      <c r="AA41" s="131">
        <v>4836.3461555290796</v>
      </c>
      <c r="AB41" s="131">
        <v>5006.9811906990517</v>
      </c>
      <c r="AC41" s="131">
        <v>5137.3234307296034</v>
      </c>
      <c r="AD41" s="131">
        <v>4883.0727657886491</v>
      </c>
      <c r="AE41" s="131">
        <v>4928.4399302853481</v>
      </c>
      <c r="AF41" s="131">
        <v>4825.0737740304521</v>
      </c>
      <c r="AG41" s="131">
        <v>4861.0458918188215</v>
      </c>
      <c r="AH41" s="131">
        <v>4618.3537995997167</v>
      </c>
      <c r="AI41" s="131">
        <v>4834.0899997077759</v>
      </c>
      <c r="AJ41" s="131">
        <v>4767.245025926115</v>
      </c>
      <c r="AK41" s="131">
        <v>4683.3403693865876</v>
      </c>
      <c r="AL41" s="131">
        <v>4721.069538822986</v>
      </c>
      <c r="AM41" s="131">
        <v>4695.0040584819963</v>
      </c>
      <c r="AN41" s="131">
        <v>4687.4255258953444</v>
      </c>
      <c r="AO41" s="131">
        <v>4647.0998304465547</v>
      </c>
      <c r="AP41" s="131">
        <v>4612.3871530002098</v>
      </c>
      <c r="AQ41" s="131">
        <v>4597.3855116111909</v>
      </c>
      <c r="AR41" s="131">
        <v>4372.2487504603068</v>
      </c>
      <c r="AS41" s="131">
        <v>4339.0689272062982</v>
      </c>
      <c r="AT41" s="131">
        <v>4308.1957437570436</v>
      </c>
      <c r="AU41" s="131">
        <v>4268.0026147706694</v>
      </c>
      <c r="AV41" s="131">
        <v>4234.6353407242532</v>
      </c>
      <c r="AW41" s="131">
        <v>4233.9191107962588</v>
      </c>
      <c r="AX41" s="131">
        <v>4202.2921057735002</v>
      </c>
      <c r="AY41" s="131">
        <v>4186.4569811970341</v>
      </c>
      <c r="AZ41" s="131">
        <v>4172.348055425331</v>
      </c>
      <c r="BA41" s="131">
        <v>4159.9592624855577</v>
      </c>
      <c r="BB41" s="131">
        <v>4093.3183696320239</v>
      </c>
      <c r="BC41" s="131">
        <v>4086.2453342662684</v>
      </c>
      <c r="BD41" s="131">
        <v>4081.7679632509407</v>
      </c>
      <c r="BE41" s="131">
        <v>4082.3113824749371</v>
      </c>
      <c r="BF41" s="131">
        <v>4084.7898646137396</v>
      </c>
      <c r="BG41" s="131">
        <v>4089.7458565635452</v>
      </c>
      <c r="BH41" s="131">
        <v>4097.5624677909891</v>
      </c>
      <c r="BI41" s="131">
        <v>4106.9319330864682</v>
      </c>
      <c r="BJ41" s="131">
        <v>4117.9933002813459</v>
      </c>
      <c r="BK41" s="131">
        <v>4129.9927568220519</v>
      </c>
      <c r="BL41" s="131">
        <v>4144.4726304300912</v>
      </c>
    </row>
    <row r="42" spans="1:64">
      <c r="C42" t="s">
        <v>1037</v>
      </c>
      <c r="D42" s="131">
        <v>33792.883792640801</v>
      </c>
      <c r="E42" s="131">
        <v>34022.507497623636</v>
      </c>
      <c r="F42" s="131">
        <v>33570.976096954386</v>
      </c>
      <c r="G42" s="131">
        <v>33956.386055454059</v>
      </c>
      <c r="H42" s="131">
        <v>35133.357696970474</v>
      </c>
      <c r="I42" s="131">
        <v>35734.697114699826</v>
      </c>
      <c r="J42" s="131">
        <v>36038.256988676847</v>
      </c>
      <c r="K42" s="131">
        <v>36893.059160199904</v>
      </c>
      <c r="L42" s="131">
        <v>36287.57602729107</v>
      </c>
      <c r="M42" s="131">
        <v>36468.192719340499</v>
      </c>
      <c r="N42" s="131">
        <v>37614.876691713245</v>
      </c>
      <c r="O42" s="131">
        <v>38445.135385291032</v>
      </c>
      <c r="P42" s="131">
        <v>38452.902957963292</v>
      </c>
      <c r="Q42" s="131">
        <v>39075.42676975514</v>
      </c>
      <c r="R42" s="131">
        <v>39219.068962221187</v>
      </c>
      <c r="S42" s="131">
        <v>39571.899890630833</v>
      </c>
      <c r="T42" s="131">
        <v>39427.397347479411</v>
      </c>
      <c r="U42" s="131">
        <v>38508.095057663355</v>
      </c>
      <c r="V42" s="131">
        <v>37332.251308305429</v>
      </c>
      <c r="W42" s="131">
        <v>37535.958522506568</v>
      </c>
      <c r="X42" s="131">
        <v>37711.495238636984</v>
      </c>
      <c r="Y42" s="131">
        <v>38362.26954703615</v>
      </c>
      <c r="Z42" s="131">
        <v>39203.363521824562</v>
      </c>
      <c r="AA42" s="131">
        <v>39306.762181725338</v>
      </c>
      <c r="AB42" s="131">
        <v>39922.7718055964</v>
      </c>
      <c r="AC42" s="131">
        <v>39415.789030060478</v>
      </c>
      <c r="AD42" s="131">
        <v>39042.960218724664</v>
      </c>
      <c r="AE42" s="131">
        <v>39082.390698957628</v>
      </c>
      <c r="AF42" s="131">
        <v>39368.286753731292</v>
      </c>
      <c r="AG42" s="131">
        <v>39518.641021140895</v>
      </c>
      <c r="AH42" s="131">
        <v>39425.54384512121</v>
      </c>
      <c r="AI42" s="131">
        <v>38620.069282765049</v>
      </c>
      <c r="AJ42" s="131">
        <v>38059.367736017455</v>
      </c>
      <c r="AK42" s="131">
        <v>37597.155744748299</v>
      </c>
      <c r="AL42" s="131">
        <v>37166.639997459206</v>
      </c>
      <c r="AM42" s="131">
        <v>36741.729223219045</v>
      </c>
      <c r="AN42" s="131">
        <v>36408.477389814383</v>
      </c>
      <c r="AO42" s="131">
        <v>36098.292857193119</v>
      </c>
      <c r="AP42" s="131">
        <v>35746.780049539091</v>
      </c>
      <c r="AQ42" s="131">
        <v>35400.588453586643</v>
      </c>
      <c r="AR42" s="131">
        <v>35061.773132274342</v>
      </c>
      <c r="AS42" s="131">
        <v>34793.24592354468</v>
      </c>
      <c r="AT42" s="131">
        <v>34510.547126844482</v>
      </c>
      <c r="AU42" s="131">
        <v>34249.858265887386</v>
      </c>
      <c r="AV42" s="131">
        <v>33980.955578887842</v>
      </c>
      <c r="AW42" s="131">
        <v>33717.921216759358</v>
      </c>
      <c r="AX42" s="131">
        <v>33453.430074660813</v>
      </c>
      <c r="AY42" s="131">
        <v>33205.777654504578</v>
      </c>
      <c r="AZ42" s="131">
        <v>32978.935223224362</v>
      </c>
      <c r="BA42" s="131">
        <v>32748.537943161729</v>
      </c>
      <c r="BB42" s="131">
        <v>32517.708104554509</v>
      </c>
      <c r="BC42" s="131">
        <v>32361.200540003214</v>
      </c>
      <c r="BD42" s="131">
        <v>32218.712461638992</v>
      </c>
      <c r="BE42" s="131">
        <v>32075.219090711718</v>
      </c>
      <c r="BF42" s="131">
        <v>31933.767130565364</v>
      </c>
      <c r="BG42" s="131">
        <v>31830.361460439308</v>
      </c>
      <c r="BH42" s="131">
        <v>31704.61702434843</v>
      </c>
      <c r="BI42" s="131">
        <v>31564.847989234688</v>
      </c>
      <c r="BJ42" s="131">
        <v>31422.381038264371</v>
      </c>
      <c r="BK42" s="131">
        <v>31286.328029751323</v>
      </c>
      <c r="BL42" s="131">
        <v>31165.580004114188</v>
      </c>
    </row>
    <row r="43" spans="1:64">
      <c r="C43" t="s">
        <v>1038</v>
      </c>
      <c r="D43" s="131">
        <v>3943.1148437609995</v>
      </c>
      <c r="E43" s="131">
        <v>4053.4902087141354</v>
      </c>
      <c r="F43" s="131">
        <v>4155.4982918697824</v>
      </c>
      <c r="G43" s="131">
        <v>4258.3736048143737</v>
      </c>
      <c r="H43" s="131">
        <v>4142.4834030932479</v>
      </c>
      <c r="I43" s="131">
        <v>4234.5138945425988</v>
      </c>
      <c r="J43" s="131">
        <v>4322.4105568753039</v>
      </c>
      <c r="K43" s="131">
        <v>4383.88162653171</v>
      </c>
      <c r="L43" s="131">
        <v>4382.3146435590279</v>
      </c>
      <c r="M43" s="131">
        <v>4408.2468195561178</v>
      </c>
      <c r="N43" s="131">
        <v>4434.5633502413211</v>
      </c>
      <c r="O43" s="131">
        <v>4457.6683229025284</v>
      </c>
      <c r="P43" s="131">
        <v>4468.9149716222946</v>
      </c>
      <c r="Q43" s="131">
        <v>4375.0104850215394</v>
      </c>
      <c r="R43" s="131">
        <v>4388.9774342791543</v>
      </c>
      <c r="S43" s="131">
        <v>4378.2979179897802</v>
      </c>
      <c r="T43" s="131">
        <v>4181.7615086289525</v>
      </c>
      <c r="U43" s="131">
        <v>4143.9617197080097</v>
      </c>
      <c r="V43" s="131">
        <v>4059.4482204096253</v>
      </c>
      <c r="W43" s="131">
        <v>3927.6535894400477</v>
      </c>
      <c r="X43" s="131">
        <v>3871.670532727172</v>
      </c>
      <c r="Y43" s="131">
        <v>3724.6524301970594</v>
      </c>
      <c r="Z43" s="131">
        <v>3618.6264952923921</v>
      </c>
      <c r="AA43" s="131">
        <v>3569.6605244596872</v>
      </c>
      <c r="AB43" s="131">
        <v>3525.876975920713</v>
      </c>
      <c r="AC43" s="131">
        <v>3487.8272949084953</v>
      </c>
      <c r="AD43" s="131">
        <v>3460.678767352797</v>
      </c>
      <c r="AE43" s="131">
        <v>3422.2815565735123</v>
      </c>
      <c r="AF43" s="131">
        <v>3358.3579591975863</v>
      </c>
      <c r="AG43" s="131">
        <v>3312.6998150132395</v>
      </c>
      <c r="AH43" s="131">
        <v>3268.8701197571045</v>
      </c>
      <c r="AI43" s="131">
        <v>3261.5672554341481</v>
      </c>
      <c r="AJ43" s="131">
        <v>3230.5769522002965</v>
      </c>
      <c r="AK43" s="131">
        <v>3144.2189321601454</v>
      </c>
      <c r="AL43" s="131">
        <v>3057.4939662373476</v>
      </c>
      <c r="AM43" s="131">
        <v>2969.9845330191429</v>
      </c>
      <c r="AN43" s="131">
        <v>2881.0511277844093</v>
      </c>
      <c r="AO43" s="131">
        <v>2791.8435628211755</v>
      </c>
      <c r="AP43" s="131">
        <v>2702.7606563428885</v>
      </c>
      <c r="AQ43" s="131">
        <v>2614.1268608405594</v>
      </c>
      <c r="AR43" s="131">
        <v>2525.9792840995151</v>
      </c>
      <c r="AS43" s="131">
        <v>2452.307921342378</v>
      </c>
      <c r="AT43" s="131">
        <v>2383.4267213058815</v>
      </c>
      <c r="AU43" s="131">
        <v>2317.5166715997166</v>
      </c>
      <c r="AV43" s="131">
        <v>2253.5418685436744</v>
      </c>
      <c r="AW43" s="131">
        <v>2191.1563891873893</v>
      </c>
      <c r="AX43" s="131">
        <v>2130.0334508053265</v>
      </c>
      <c r="AY43" s="131">
        <v>2070.0786829200911</v>
      </c>
      <c r="AZ43" s="131">
        <v>2011.2659088516314</v>
      </c>
      <c r="BA43" s="131">
        <v>1953.4275606070087</v>
      </c>
      <c r="BB43" s="131">
        <v>1896.6644073530022</v>
      </c>
      <c r="BC43" s="131">
        <v>1850.2934492285697</v>
      </c>
      <c r="BD43" s="131">
        <v>1804.8187555182492</v>
      </c>
      <c r="BE43" s="131">
        <v>1760.238637974699</v>
      </c>
      <c r="BF43" s="131">
        <v>1716.4704427428323</v>
      </c>
      <c r="BG43" s="131">
        <v>1673.6110103191695</v>
      </c>
      <c r="BH43" s="131">
        <v>1631.5275839725477</v>
      </c>
      <c r="BI43" s="131">
        <v>1590.1597604933042</v>
      </c>
      <c r="BJ43" s="131">
        <v>1549.6292408034667</v>
      </c>
      <c r="BK43" s="131">
        <v>1509.8556660016086</v>
      </c>
      <c r="BL43" s="131">
        <v>1471.052295688806</v>
      </c>
    </row>
    <row r="44" spans="1:64">
      <c r="C44" t="s">
        <v>1073</v>
      </c>
      <c r="D44" s="131">
        <v>819.97524190854506</v>
      </c>
      <c r="E44" s="131">
        <v>828.0017286520922</v>
      </c>
      <c r="F44" s="131">
        <v>1085.1429139052391</v>
      </c>
      <c r="G44" s="131">
        <v>1158.2562175334988</v>
      </c>
      <c r="H44" s="131">
        <v>1294.5870452996453</v>
      </c>
      <c r="I44" s="131">
        <v>850.67438092522423</v>
      </c>
      <c r="J44" s="131">
        <v>38.592400303365025</v>
      </c>
      <c r="K44" s="131">
        <v>-1334.618596753277</v>
      </c>
      <c r="L44" s="131">
        <v>-3370.636542665608</v>
      </c>
      <c r="M44" s="131">
        <v>-5881.7403115761681</v>
      </c>
      <c r="N44" s="131">
        <v>-5840.6097105786448</v>
      </c>
      <c r="O44" s="131">
        <v>-8163.9905713630314</v>
      </c>
      <c r="P44" s="131">
        <v>-10155.899721608017</v>
      </c>
      <c r="Q44" s="131">
        <v>-9621.5624173653105</v>
      </c>
      <c r="R44" s="131">
        <v>-6746.7760646318911</v>
      </c>
      <c r="S44" s="131">
        <v>-909.81870967752047</v>
      </c>
      <c r="T44" s="131">
        <v>1895.2611011701449</v>
      </c>
      <c r="U44" s="131">
        <v>7426.246871923152</v>
      </c>
      <c r="V44" s="131">
        <v>-13411.996596017498</v>
      </c>
      <c r="W44" s="131">
        <v>-11081.405660283805</v>
      </c>
      <c r="X44" s="131">
        <v>-10565.307562466487</v>
      </c>
      <c r="Y44" s="131">
        <v>-12067.105918642314</v>
      </c>
      <c r="Z44" s="131">
        <v>-10202.075435723556</v>
      </c>
      <c r="AA44" s="131">
        <v>-7134.8699893356697</v>
      </c>
      <c r="AB44" s="131">
        <v>-10405.283669066264</v>
      </c>
      <c r="AC44" s="131">
        <v>-11945.163408270339</v>
      </c>
      <c r="AD44" s="131">
        <v>-11969.110093922558</v>
      </c>
      <c r="AE44" s="131">
        <v>-12080.174618702731</v>
      </c>
      <c r="AF44" s="131">
        <v>-11085.271780708874</v>
      </c>
      <c r="AG44" s="131">
        <v>-7702.6878138183429</v>
      </c>
      <c r="AH44" s="131">
        <v>-8060.2252194320736</v>
      </c>
      <c r="AI44" s="131">
        <v>-7272.2101365835315</v>
      </c>
      <c r="AJ44" s="131">
        <v>-6314.9021834546211</v>
      </c>
      <c r="AK44" s="131">
        <v>-6131.5328382768957</v>
      </c>
      <c r="AL44" s="131">
        <v>-6051.1349543647902</v>
      </c>
      <c r="AM44" s="131">
        <v>-6773.1877248114397</v>
      </c>
      <c r="AN44" s="131">
        <v>-8937.3453370162752</v>
      </c>
      <c r="AO44" s="131">
        <v>-10487.726934795148</v>
      </c>
      <c r="AP44" s="131">
        <v>-12435.137644175127</v>
      </c>
      <c r="AQ44" s="131">
        <v>-13576.104714315408</v>
      </c>
      <c r="AR44" s="131">
        <v>-14123.707210970422</v>
      </c>
      <c r="AS44" s="131">
        <v>-15107.454694701952</v>
      </c>
      <c r="AT44" s="131">
        <v>-15932.175982457617</v>
      </c>
      <c r="AU44" s="131">
        <v>-16834.496511115911</v>
      </c>
      <c r="AV44" s="131">
        <v>-17661.539963993455</v>
      </c>
      <c r="AW44" s="131">
        <v>-18547.650187772888</v>
      </c>
      <c r="AX44" s="131">
        <v>-19741.12495822756</v>
      </c>
      <c r="AY44" s="131">
        <v>-21421.519770765881</v>
      </c>
      <c r="AZ44" s="131">
        <v>-22578.453638518247</v>
      </c>
      <c r="BA44" s="131">
        <v>-23731.10441046573</v>
      </c>
      <c r="BB44" s="131">
        <v>-24830.126145336515</v>
      </c>
      <c r="BC44" s="131">
        <v>-25873.847335031074</v>
      </c>
      <c r="BD44" s="131">
        <v>-26458.287318640545</v>
      </c>
      <c r="BE44" s="131">
        <v>-26534.965372242725</v>
      </c>
      <c r="BF44" s="131">
        <v>-26319.688653278172</v>
      </c>
      <c r="BG44" s="131">
        <v>-25837.80599725679</v>
      </c>
      <c r="BH44" s="131">
        <v>-25902.387393477824</v>
      </c>
      <c r="BI44" s="131">
        <v>-25908.979510107845</v>
      </c>
      <c r="BJ44" s="131">
        <v>-25838.15693085147</v>
      </c>
      <c r="BK44" s="131">
        <v>-25615.983274629034</v>
      </c>
      <c r="BL44" s="131">
        <v>-25480.237098294994</v>
      </c>
    </row>
    <row r="45" spans="1:64">
      <c r="C45" t="s">
        <v>1074</v>
      </c>
      <c r="D45" s="131">
        <v>66013.549694774047</v>
      </c>
      <c r="E45" s="131">
        <v>67000.03531434646</v>
      </c>
      <c r="F45" s="131">
        <v>68413.896304908907</v>
      </c>
      <c r="G45" s="131">
        <v>68348.901315454816</v>
      </c>
      <c r="H45" s="131">
        <v>69734.489928998417</v>
      </c>
      <c r="I45" s="131">
        <v>69859.967789632065</v>
      </c>
      <c r="J45" s="131">
        <v>71226.588341874609</v>
      </c>
      <c r="K45" s="131">
        <v>72689.514013424938</v>
      </c>
      <c r="L45" s="131">
        <v>68447.832476157957</v>
      </c>
      <c r="M45" s="131">
        <v>67690.396148309839</v>
      </c>
      <c r="N45" s="131">
        <v>69670.423473175659</v>
      </c>
      <c r="O45" s="131">
        <v>70335.72336042051</v>
      </c>
      <c r="P45" s="131">
        <v>68434.956960442272</v>
      </c>
      <c r="Q45" s="131">
        <v>71158.579733341918</v>
      </c>
      <c r="R45" s="131">
        <v>73869.783765277738</v>
      </c>
      <c r="S45" s="131">
        <v>81750.640264180198</v>
      </c>
      <c r="T45" s="131">
        <v>84722.394116468262</v>
      </c>
      <c r="U45" s="131">
        <v>88148.348535380457</v>
      </c>
      <c r="V45" s="131">
        <v>67076.832924770031</v>
      </c>
      <c r="W45" s="131">
        <v>66747.858745911566</v>
      </c>
      <c r="X45" s="131">
        <v>67855.202517093931</v>
      </c>
      <c r="Y45" s="131">
        <v>66217.235295352657</v>
      </c>
      <c r="Z45" s="131">
        <v>70274.628273906899</v>
      </c>
      <c r="AA45" s="131">
        <v>72666.057154983355</v>
      </c>
      <c r="AB45" s="131">
        <v>70208.730729212519</v>
      </c>
      <c r="AC45" s="131">
        <v>68500.360120315541</v>
      </c>
      <c r="AD45" s="131">
        <v>66418.125540765905</v>
      </c>
      <c r="AE45" s="131">
        <v>67805.214738534458</v>
      </c>
      <c r="AF45" s="131">
        <v>68990.041080025607</v>
      </c>
      <c r="AG45" s="131">
        <v>73909.325516940924</v>
      </c>
      <c r="AH45" s="131">
        <v>70712.917208465733</v>
      </c>
      <c r="AI45" s="131">
        <v>72282.287421824833</v>
      </c>
      <c r="AJ45" s="131">
        <v>71952.261014390693</v>
      </c>
      <c r="AK45" s="131">
        <v>70719.289234868003</v>
      </c>
      <c r="AL45" s="131">
        <v>69240.534555790131</v>
      </c>
      <c r="AM45" s="131">
        <v>66863.885937818384</v>
      </c>
      <c r="AN45" s="131">
        <v>63727.182629159608</v>
      </c>
      <c r="AO45" s="131">
        <v>61091.945553689366</v>
      </c>
      <c r="AP45" s="131">
        <v>57970.533297897062</v>
      </c>
      <c r="AQ45" s="131">
        <v>55595.544592191123</v>
      </c>
      <c r="AR45" s="131">
        <v>52705.754426933876</v>
      </c>
      <c r="AS45" s="131">
        <v>50198.521696032505</v>
      </c>
      <c r="AT45" s="131">
        <v>47802.466077736441</v>
      </c>
      <c r="AU45" s="131">
        <v>45422.722644294823</v>
      </c>
      <c r="AV45" s="131">
        <v>43119.651931412693</v>
      </c>
      <c r="AW45" s="131">
        <v>40666.864909199132</v>
      </c>
      <c r="AX45" s="131">
        <v>37862.439409728264</v>
      </c>
      <c r="AY45" s="131">
        <v>34590.592516428856</v>
      </c>
      <c r="AZ45" s="131">
        <v>31991.476179763366</v>
      </c>
      <c r="BA45" s="131">
        <v>29514.48064998048</v>
      </c>
      <c r="BB45" s="131">
        <v>26273.494639100893</v>
      </c>
      <c r="BC45" s="131">
        <v>24151.036457959628</v>
      </c>
      <c r="BD45" s="131">
        <v>22435.699857791045</v>
      </c>
      <c r="BE45" s="131">
        <v>21302.613312305373</v>
      </c>
      <c r="BF45" s="131">
        <v>20484.733104147679</v>
      </c>
      <c r="BG45" s="131">
        <v>19999.932267710636</v>
      </c>
      <c r="BH45" s="131">
        <v>19091.519134407325</v>
      </c>
      <c r="BI45" s="131">
        <v>18320.234001636189</v>
      </c>
      <c r="BJ45" s="131">
        <v>17616.460795314601</v>
      </c>
      <c r="BK45" s="131">
        <v>17038.127294728263</v>
      </c>
      <c r="BL45" s="131">
        <v>16470.224761114085</v>
      </c>
    </row>
    <row r="46" spans="1:64">
      <c r="C46" t="s">
        <v>1075</v>
      </c>
      <c r="D46" s="131">
        <v>65193.574452865498</v>
      </c>
      <c r="E46" s="131">
        <v>66172.033585694371</v>
      </c>
      <c r="F46" s="131">
        <v>67328.753391003673</v>
      </c>
      <c r="G46" s="131">
        <v>67190.645097921311</v>
      </c>
      <c r="H46" s="131">
        <v>68439.902883698771</v>
      </c>
      <c r="I46" s="131">
        <v>69009.293408706842</v>
      </c>
      <c r="J46" s="131">
        <v>71187.995941571251</v>
      </c>
      <c r="K46" s="131">
        <v>74024.132610178218</v>
      </c>
      <c r="L46" s="131">
        <v>71818.469018823569</v>
      </c>
      <c r="M46" s="131">
        <v>73572.136459886009</v>
      </c>
      <c r="N46" s="131">
        <v>75511.033183754305</v>
      </c>
      <c r="O46" s="131">
        <v>78499.713931783539</v>
      </c>
      <c r="P46" s="131">
        <v>78590.856682050289</v>
      </c>
      <c r="Q46" s="131">
        <v>80780.142150707223</v>
      </c>
      <c r="R46" s="131">
        <v>80616.559829909631</v>
      </c>
      <c r="S46" s="131">
        <v>82660.45897385772</v>
      </c>
      <c r="T46" s="131">
        <v>82827.13301529811</v>
      </c>
      <c r="U46" s="131">
        <v>80722.101663457302</v>
      </c>
      <c r="V46" s="131">
        <v>80488.829520787534</v>
      </c>
      <c r="W46" s="131">
        <v>77829.264406195376</v>
      </c>
      <c r="X46" s="131">
        <v>78420.510079560423</v>
      </c>
      <c r="Y46" s="131">
        <v>78284.341213994965</v>
      </c>
      <c r="Z46" s="131">
        <v>80476.703709630456</v>
      </c>
      <c r="AA46" s="131">
        <v>79800.927144319023</v>
      </c>
      <c r="AB46" s="131">
        <v>80614.014398278785</v>
      </c>
      <c r="AC46" s="131">
        <v>80445.52352858588</v>
      </c>
      <c r="AD46" s="131">
        <v>78387.235634688463</v>
      </c>
      <c r="AE46" s="131">
        <v>79885.389357237189</v>
      </c>
      <c r="AF46" s="131">
        <v>80075.312860734484</v>
      </c>
      <c r="AG46" s="131">
        <v>81612.013330759262</v>
      </c>
      <c r="AH46" s="131">
        <v>78773.142427897808</v>
      </c>
      <c r="AI46" s="131">
        <v>79554.497558408359</v>
      </c>
      <c r="AJ46" s="131">
        <v>78267.163197845308</v>
      </c>
      <c r="AK46" s="131">
        <v>76850.822073144896</v>
      </c>
      <c r="AL46" s="131">
        <v>75291.669510154927</v>
      </c>
      <c r="AM46" s="131">
        <v>73637.073662629817</v>
      </c>
      <c r="AN46" s="131">
        <v>72664.527966175883</v>
      </c>
      <c r="AO46" s="131">
        <v>71579.672488484517</v>
      </c>
      <c r="AP46" s="131">
        <v>70405.670942072189</v>
      </c>
      <c r="AQ46" s="131">
        <v>69171.64930650653</v>
      </c>
      <c r="AR46" s="131">
        <v>66829.4616379043</v>
      </c>
      <c r="AS46" s="131">
        <v>65305.97639073446</v>
      </c>
      <c r="AT46" s="131">
        <v>63734.642060194055</v>
      </c>
      <c r="AU46" s="131">
        <v>62257.219155410734</v>
      </c>
      <c r="AV46" s="131">
        <v>60781.191895406148</v>
      </c>
      <c r="AW46" s="131">
        <v>59214.51509697202</v>
      </c>
      <c r="AX46" s="131">
        <v>57603.56436795582</v>
      </c>
      <c r="AY46" s="131">
        <v>56012.112287194737</v>
      </c>
      <c r="AZ46" s="131">
        <v>54569.929818281613</v>
      </c>
      <c r="BA46" s="131">
        <v>53245.58506044621</v>
      </c>
      <c r="BB46" s="131">
        <v>51103.620784437408</v>
      </c>
      <c r="BC46" s="131">
        <v>50024.883792990702</v>
      </c>
      <c r="BD46" s="131">
        <v>48893.98717643159</v>
      </c>
      <c r="BE46" s="131">
        <v>47837.578684548098</v>
      </c>
      <c r="BF46" s="131">
        <v>46804.421757425851</v>
      </c>
      <c r="BG46" s="131">
        <v>45837.738264967425</v>
      </c>
      <c r="BH46" s="131">
        <v>44993.906527885149</v>
      </c>
      <c r="BI46" s="131">
        <v>44229.213511744034</v>
      </c>
      <c r="BJ46" s="131">
        <v>43454.61772616607</v>
      </c>
      <c r="BK46" s="131">
        <v>42654.110569357297</v>
      </c>
      <c r="BL46" s="131">
        <v>41950.461859409079</v>
      </c>
    </row>
    <row r="48" spans="1:64">
      <c r="B48" s="47" t="s">
        <v>1092</v>
      </c>
    </row>
    <row r="49" spans="2:64">
      <c r="B49" s="109" t="s">
        <v>1036</v>
      </c>
      <c r="C49" t="s">
        <v>127</v>
      </c>
      <c r="D49" s="136">
        <v>7936.4519923625339</v>
      </c>
      <c r="E49" s="136">
        <v>7915.2400768344296</v>
      </c>
      <c r="F49" s="136">
        <v>8271.9670866086362</v>
      </c>
      <c r="G49" s="136">
        <v>8720.4036366341952</v>
      </c>
      <c r="H49" s="136">
        <v>9373.6607571457498</v>
      </c>
      <c r="I49" s="136">
        <v>10029.855538148871</v>
      </c>
      <c r="J49" s="136">
        <v>10161.48201972811</v>
      </c>
      <c r="K49" s="136">
        <v>10383.51008208942</v>
      </c>
      <c r="L49" s="136">
        <v>10587.775390176601</v>
      </c>
      <c r="M49" s="136">
        <v>10868.588364366557</v>
      </c>
      <c r="N49" s="136">
        <v>11410.883603204908</v>
      </c>
      <c r="O49" s="136">
        <v>11473.859569671025</v>
      </c>
      <c r="P49" s="136">
        <v>11925.65915449601</v>
      </c>
      <c r="Q49" s="136">
        <v>12453.654510825265</v>
      </c>
      <c r="R49" s="136">
        <v>12742.478818994343</v>
      </c>
      <c r="S49" s="136">
        <v>12817.902091308622</v>
      </c>
      <c r="T49" s="136">
        <v>12944.514454651089</v>
      </c>
      <c r="U49" s="136">
        <v>13053.077943993681</v>
      </c>
      <c r="V49" s="136">
        <v>13073.537726958531</v>
      </c>
      <c r="W49" s="136">
        <v>12886.83695541684</v>
      </c>
      <c r="X49" s="136">
        <v>13144.981504109392</v>
      </c>
      <c r="Y49" s="136">
        <v>13136.569401589086</v>
      </c>
      <c r="Z49" s="136">
        <v>12820.096319621582</v>
      </c>
      <c r="AA49" s="136">
        <v>12899.199072133002</v>
      </c>
      <c r="AB49" s="136">
        <v>13163.397966357803</v>
      </c>
      <c r="AC49" s="136">
        <v>13633.9503819733</v>
      </c>
      <c r="AD49" s="136">
        <v>13739.538672436074</v>
      </c>
      <c r="AE49" s="136">
        <v>14658.300228448785</v>
      </c>
      <c r="AF49" s="136">
        <v>14985.763453404979</v>
      </c>
      <c r="AG49" s="136">
        <v>14517.302553626343</v>
      </c>
      <c r="AH49" s="136">
        <v>13077.931253317818</v>
      </c>
      <c r="AI49" s="136">
        <v>14292.078348256287</v>
      </c>
      <c r="AJ49" s="136">
        <v>15035.097341482393</v>
      </c>
      <c r="AK49" s="136">
        <v>15166.382458575645</v>
      </c>
      <c r="AL49" s="136">
        <v>15048.675180469334</v>
      </c>
      <c r="AM49" s="136">
        <v>14895.936492517962</v>
      </c>
      <c r="AN49" s="136">
        <v>14647.580017865463</v>
      </c>
      <c r="AO49" s="136">
        <v>14349.406257504896</v>
      </c>
      <c r="AP49" s="136">
        <v>13927.469567958005</v>
      </c>
      <c r="AQ49" s="136">
        <v>13387.265910875478</v>
      </c>
      <c r="AR49" s="136">
        <v>12733.972575485703</v>
      </c>
      <c r="AS49" s="136">
        <v>11937.252100354133</v>
      </c>
      <c r="AT49" s="136">
        <v>11128.548384657612</v>
      </c>
      <c r="AU49" s="136">
        <v>10292.66671316228</v>
      </c>
      <c r="AV49" s="136">
        <v>9500.8778221486882</v>
      </c>
      <c r="AW49" s="136">
        <v>8669.2653861878189</v>
      </c>
      <c r="AX49" s="136">
        <v>7903.1173482642589</v>
      </c>
      <c r="AY49" s="136">
        <v>7127.2748478954936</v>
      </c>
      <c r="AZ49" s="136">
        <v>6442.6570289495094</v>
      </c>
      <c r="BA49" s="136">
        <v>5829.7187854106087</v>
      </c>
      <c r="BB49" s="136">
        <v>5205.9800076953097</v>
      </c>
      <c r="BC49" s="136">
        <v>4694.5610783353986</v>
      </c>
      <c r="BD49" s="136">
        <v>4191.3655878087684</v>
      </c>
      <c r="BE49" s="136">
        <v>3716.9238636942227</v>
      </c>
      <c r="BF49" s="136">
        <v>3263.4633944279044</v>
      </c>
      <c r="BG49" s="136">
        <v>2812.0653631085747</v>
      </c>
      <c r="BH49" s="136">
        <v>2486.5311868835952</v>
      </c>
      <c r="BI49" s="136">
        <v>2166.2955742203576</v>
      </c>
      <c r="BJ49" s="136">
        <v>1851.0176322355783</v>
      </c>
      <c r="BK49" s="136">
        <v>1619.5384767613118</v>
      </c>
      <c r="BL49" s="136">
        <v>1438.2524989141493</v>
      </c>
    </row>
    <row r="50" spans="2:64">
      <c r="C50" t="s">
        <v>128</v>
      </c>
      <c r="D50" s="136">
        <v>3.1708663193209801</v>
      </c>
      <c r="E50" s="136">
        <v>3.0663103601685999</v>
      </c>
      <c r="F50" s="136">
        <v>3.0002577473681198</v>
      </c>
      <c r="G50" s="136">
        <v>2.9159336912653702</v>
      </c>
      <c r="H50" s="136">
        <v>2.8692408755091101</v>
      </c>
      <c r="I50" s="136">
        <v>2.8248952284873701</v>
      </c>
      <c r="J50" s="136">
        <v>2.6950225833844899</v>
      </c>
      <c r="K50" s="136">
        <v>2.6211561724973098</v>
      </c>
      <c r="L50" s="136">
        <v>2.5117652272979201</v>
      </c>
      <c r="M50" s="136">
        <v>2.40850249551728</v>
      </c>
      <c r="N50" s="136">
        <v>2.2833551456871102</v>
      </c>
      <c r="O50" s="136">
        <v>2.1766764218630499</v>
      </c>
      <c r="P50" s="136">
        <v>2.1202654466977999</v>
      </c>
      <c r="Q50" s="136">
        <v>2.0447488026715899</v>
      </c>
      <c r="R50" s="136">
        <v>1.9554843707465801</v>
      </c>
      <c r="S50" s="136">
        <v>1.8434861122090502</v>
      </c>
      <c r="T50" s="136">
        <v>1.7142325557895399</v>
      </c>
      <c r="U50" s="136">
        <v>1.6354205207540999</v>
      </c>
      <c r="V50" s="136">
        <v>1.51723097476102</v>
      </c>
      <c r="W50" s="136">
        <v>1.4441045339946199</v>
      </c>
      <c r="X50" s="136">
        <v>1.3738009454905302</v>
      </c>
      <c r="Y50" s="136">
        <v>1.2868833021543</v>
      </c>
      <c r="Z50" s="136">
        <v>1.2197899932079601</v>
      </c>
      <c r="AA50" s="136">
        <v>1.1906744712561601</v>
      </c>
      <c r="AB50" s="136">
        <v>1.1493045596067599</v>
      </c>
      <c r="AC50" s="136">
        <v>1.10843973361673</v>
      </c>
      <c r="AD50" s="136">
        <v>1.06954514378592</v>
      </c>
      <c r="AE50" s="136">
        <v>0.89513402722861002</v>
      </c>
      <c r="AF50" s="136">
        <v>0.83199233835184006</v>
      </c>
      <c r="AG50" s="136">
        <v>0.77385198552219014</v>
      </c>
      <c r="AH50" s="136">
        <v>0.61604912779851995</v>
      </c>
      <c r="AI50" s="136">
        <v>0.67310304460326209</v>
      </c>
      <c r="AJ50" s="136">
        <v>0.7083754929900502</v>
      </c>
      <c r="AK50" s="136">
        <v>0.71461241962213062</v>
      </c>
      <c r="AL50" s="136">
        <v>0.70894129966505948</v>
      </c>
      <c r="AM50" s="136">
        <v>0.70168226703989811</v>
      </c>
      <c r="AN50" s="136">
        <v>0.69238530970605328</v>
      </c>
      <c r="AO50" s="136">
        <v>0.68068247743425669</v>
      </c>
      <c r="AP50" s="136">
        <v>0.66308798629283583</v>
      </c>
      <c r="AQ50" s="136">
        <v>0.6398406660064524</v>
      </c>
      <c r="AR50" s="136">
        <v>0.6109719622454598</v>
      </c>
      <c r="AS50" s="136">
        <v>0.57543525966735931</v>
      </c>
      <c r="AT50" s="136">
        <v>0.53923173594284846</v>
      </c>
      <c r="AU50" s="136">
        <v>0.50168131464739052</v>
      </c>
      <c r="AV50" s="136">
        <v>0.46622793556746878</v>
      </c>
      <c r="AW50" s="136">
        <v>0.42883856948850285</v>
      </c>
      <c r="AX50" s="136">
        <v>0.39242848062671692</v>
      </c>
      <c r="AY50" s="136">
        <v>0.35549735688517536</v>
      </c>
      <c r="AZ50" s="136">
        <v>0.3229598646550732</v>
      </c>
      <c r="BA50" s="136">
        <v>0.29397758993697792</v>
      </c>
      <c r="BB50" s="136">
        <v>0.26415905267365714</v>
      </c>
      <c r="BC50" s="136">
        <v>0.23989910065825687</v>
      </c>
      <c r="BD50" s="136">
        <v>0.21598765868812556</v>
      </c>
      <c r="BE50" s="136">
        <v>0.19349440242026777</v>
      </c>
      <c r="BF50" s="136">
        <v>0.17201837133164621</v>
      </c>
      <c r="BG50" s="136">
        <v>0.15051956819771045</v>
      </c>
      <c r="BH50" s="136">
        <v>0.13508874660441125</v>
      </c>
      <c r="BI50" s="136">
        <v>0.11977211694652036</v>
      </c>
      <c r="BJ50" s="136">
        <v>0.10459255906054764</v>
      </c>
      <c r="BK50" s="136">
        <v>9.3469741296189443E-2</v>
      </c>
      <c r="BL50" s="136">
        <v>8.4792389722445322E-2</v>
      </c>
    </row>
    <row r="51" spans="2:64">
      <c r="C51" t="s">
        <v>129</v>
      </c>
      <c r="D51" s="136">
        <v>0.37070775681814</v>
      </c>
      <c r="E51" s="136">
        <v>0.38511169810255003</v>
      </c>
      <c r="F51" s="136">
        <v>0.41282860505676999</v>
      </c>
      <c r="G51" s="136">
        <v>0.43418323345160997</v>
      </c>
      <c r="H51" s="136">
        <v>0.46445795072623997</v>
      </c>
      <c r="I51" s="136">
        <v>0.49357987222170002</v>
      </c>
      <c r="J51" s="136">
        <v>0.50290877395619005</v>
      </c>
      <c r="K51" s="136">
        <v>0.52447953763731003</v>
      </c>
      <c r="L51" s="136">
        <v>0.53653966407246001</v>
      </c>
      <c r="M51" s="136">
        <v>0.56310245628642996</v>
      </c>
      <c r="N51" s="136">
        <v>0.60517738739447002</v>
      </c>
      <c r="O51" s="136">
        <v>0.59595551295251004</v>
      </c>
      <c r="P51" s="136">
        <v>0.61528671337272001</v>
      </c>
      <c r="Q51" s="136">
        <v>0.64773261325125997</v>
      </c>
      <c r="R51" s="136">
        <v>0.67450078746852005</v>
      </c>
      <c r="S51" s="136">
        <v>0.66930073346659003</v>
      </c>
      <c r="T51" s="136">
        <v>0.6537860256818</v>
      </c>
      <c r="U51" s="136">
        <v>0.64041393485891995</v>
      </c>
      <c r="V51" s="136">
        <v>0.61238659399787998</v>
      </c>
      <c r="W51" s="136">
        <v>0.59780753492468997</v>
      </c>
      <c r="X51" s="136">
        <v>0.56916445547337002</v>
      </c>
      <c r="Y51" s="136">
        <v>0.54726891562986002</v>
      </c>
      <c r="Z51" s="136">
        <v>0.52314311787736001</v>
      </c>
      <c r="AA51" s="136">
        <v>0.51139002320280003</v>
      </c>
      <c r="AB51" s="136">
        <v>0.49502024402289996</v>
      </c>
      <c r="AC51" s="136">
        <v>0.48108702614701004</v>
      </c>
      <c r="AD51" s="136">
        <v>0.47061580060716002</v>
      </c>
      <c r="AE51" s="136">
        <v>0.41283355632496999</v>
      </c>
      <c r="AF51" s="136">
        <v>0.40121312123884001</v>
      </c>
      <c r="AG51" s="136">
        <v>0.39616049318230001</v>
      </c>
      <c r="AH51" s="136">
        <v>0.27628671333741001</v>
      </c>
      <c r="AI51" s="136">
        <v>0.28037780602780527</v>
      </c>
      <c r="AJ51" s="136">
        <v>0.27938498003230328</v>
      </c>
      <c r="AK51" s="136">
        <v>0.27613532796660989</v>
      </c>
      <c r="AL51" s="136">
        <v>0.26997914460321687</v>
      </c>
      <c r="AM51" s="136">
        <v>0.26359778829020486</v>
      </c>
      <c r="AN51" s="136">
        <v>0.26133817069980009</v>
      </c>
      <c r="AO51" s="136">
        <v>0.25835079510242903</v>
      </c>
      <c r="AP51" s="136">
        <v>0.25485646143093049</v>
      </c>
      <c r="AQ51" s="136">
        <v>0.25096798321345543</v>
      </c>
      <c r="AR51" s="136">
        <v>0.23146092081177283</v>
      </c>
      <c r="AS51" s="136">
        <v>0.2249297545356975</v>
      </c>
      <c r="AT51" s="136">
        <v>0.21791142228588736</v>
      </c>
      <c r="AU51" s="136">
        <v>0.21161499257957392</v>
      </c>
      <c r="AV51" s="136">
        <v>0.20532624976591346</v>
      </c>
      <c r="AW51" s="136">
        <v>0.19802441433765816</v>
      </c>
      <c r="AX51" s="136">
        <v>0.18971415107034223</v>
      </c>
      <c r="AY51" s="136">
        <v>0.18126278577152552</v>
      </c>
      <c r="AZ51" s="136">
        <v>0.17367963809661591</v>
      </c>
      <c r="BA51" s="136">
        <v>0.16687103838367662</v>
      </c>
      <c r="BB51" s="136">
        <v>0.14537445655498402</v>
      </c>
      <c r="BC51" s="136">
        <v>0.13944063147694052</v>
      </c>
      <c r="BD51" s="136">
        <v>0.1327159979220727</v>
      </c>
      <c r="BE51" s="136">
        <v>0.12661479816071983</v>
      </c>
      <c r="BF51" s="136">
        <v>0.12106358459059866</v>
      </c>
      <c r="BG51" s="136">
        <v>0.11551550293812562</v>
      </c>
      <c r="BH51" s="136">
        <v>0.1109211458888044</v>
      </c>
      <c r="BI51" s="136">
        <v>0.10680593132952355</v>
      </c>
      <c r="BJ51" s="136">
        <v>0.1026016898319346</v>
      </c>
      <c r="BK51" s="136">
        <v>9.8119851357233556E-2</v>
      </c>
      <c r="BL51" s="136">
        <v>9.4028083768160312E-2</v>
      </c>
    </row>
    <row r="52" spans="2:64">
      <c r="B52" s="109" t="s">
        <v>1071</v>
      </c>
      <c r="C52" t="s">
        <v>127</v>
      </c>
      <c r="D52" s="136">
        <v>14550.030981098405</v>
      </c>
      <c r="E52" s="136">
        <v>15076.659352919838</v>
      </c>
      <c r="F52" s="136">
        <v>16584.937570404265</v>
      </c>
      <c r="G52" s="136">
        <v>15589.82198645115</v>
      </c>
      <c r="H52" s="136">
        <v>15160.983373310251</v>
      </c>
      <c r="I52" s="136">
        <v>14439.353225445664</v>
      </c>
      <c r="J52" s="136">
        <v>15642.858394408015</v>
      </c>
      <c r="K52" s="136">
        <v>17453.650580070611</v>
      </c>
      <c r="L52" s="136">
        <v>15683.361737245015</v>
      </c>
      <c r="M52" s="136">
        <v>16750.700998567205</v>
      </c>
      <c r="N52" s="136">
        <v>16970.08454184356</v>
      </c>
      <c r="O52" s="136">
        <v>18876.142823578786</v>
      </c>
      <c r="P52" s="136">
        <v>18464.425597000558</v>
      </c>
      <c r="Q52" s="136">
        <v>19507.673279696097</v>
      </c>
      <c r="R52" s="136">
        <v>18828.439162033264</v>
      </c>
      <c r="S52" s="136">
        <v>20210.388636212108</v>
      </c>
      <c r="T52" s="136">
        <v>20153.024722444945</v>
      </c>
      <c r="U52" s="136">
        <v>18866.722346131399</v>
      </c>
      <c r="V52" s="136">
        <v>20221.039610528373</v>
      </c>
      <c r="W52" s="136">
        <v>17634.861462762692</v>
      </c>
      <c r="X52" s="136">
        <v>17273.632418391448</v>
      </c>
      <c r="Y52" s="136">
        <v>16706.090118246539</v>
      </c>
      <c r="Z52" s="136">
        <v>18703.932285745428</v>
      </c>
      <c r="AA52" s="136">
        <v>17950.838087133321</v>
      </c>
      <c r="AB52" s="136">
        <v>17774.78771430354</v>
      </c>
      <c r="AC52" s="136">
        <v>17516.328404938708</v>
      </c>
      <c r="AD52" s="136">
        <v>16098.215374762001</v>
      </c>
      <c r="AE52" s="136">
        <v>16751.328994174273</v>
      </c>
      <c r="AF52" s="136">
        <v>16522.351521439505</v>
      </c>
      <c r="AG52" s="136">
        <v>18404.234200695155</v>
      </c>
      <c r="AH52" s="136">
        <v>17470.408108272961</v>
      </c>
      <c r="AI52" s="136">
        <v>17599.858672860657</v>
      </c>
      <c r="AJ52" s="136">
        <v>16221.526580682345</v>
      </c>
      <c r="AK52" s="136">
        <v>15302.387099581018</v>
      </c>
      <c r="AL52" s="136">
        <v>14348.086856126336</v>
      </c>
      <c r="AM52" s="136">
        <v>13402.53066710414</v>
      </c>
      <c r="AN52" s="136">
        <v>13116.213654409965</v>
      </c>
      <c r="AO52" s="136">
        <v>12779.616747553398</v>
      </c>
      <c r="AP52" s="136">
        <v>12513.641412128554</v>
      </c>
      <c r="AQ52" s="136">
        <v>12280.961646690897</v>
      </c>
      <c r="AR52" s="136">
        <v>11294.783435491689</v>
      </c>
      <c r="AS52" s="136">
        <v>10959.707995867617</v>
      </c>
      <c r="AT52" s="136">
        <v>10596.56868357932</v>
      </c>
      <c r="AU52" s="136">
        <v>10336.791293038385</v>
      </c>
      <c r="AV52" s="136">
        <v>10033.759948494391</v>
      </c>
      <c r="AW52" s="136">
        <v>9641.1093570918474</v>
      </c>
      <c r="AX52" s="136">
        <v>9172.9147123364128</v>
      </c>
      <c r="AY52" s="136">
        <v>8700.3901012447132</v>
      </c>
      <c r="AZ52" s="136">
        <v>8261.2639513261493</v>
      </c>
      <c r="BA52" s="136">
        <v>7868.048118671637</v>
      </c>
      <c r="BB52" s="136">
        <v>6759.773909171603</v>
      </c>
      <c r="BC52" s="136">
        <v>6418.8532190539909</v>
      </c>
      <c r="BD52" s="136">
        <v>6002.7735664316351</v>
      </c>
      <c r="BE52" s="136">
        <v>5627.6206410236682</v>
      </c>
      <c r="BF52" s="136">
        <v>5251.7592021589353</v>
      </c>
      <c r="BG52" s="136">
        <v>4896.173120996059</v>
      </c>
      <c r="BH52" s="136">
        <v>4554.9625946142542</v>
      </c>
      <c r="BI52" s="136">
        <v>4296.263920466733</v>
      </c>
      <c r="BJ52" s="136">
        <v>4023.4181361517603</v>
      </c>
      <c r="BK52" s="136">
        <v>3636.6171474408038</v>
      </c>
      <c r="BL52" s="136">
        <v>3275.2616784979255</v>
      </c>
    </row>
    <row r="53" spans="2:64">
      <c r="C53" t="s">
        <v>128</v>
      </c>
      <c r="D53" s="136">
        <v>43.689236384759724</v>
      </c>
      <c r="E53" s="136">
        <v>43.136028196882343</v>
      </c>
      <c r="F53" s="136">
        <v>42.370784734338343</v>
      </c>
      <c r="G53" s="136">
        <v>45.490729829929059</v>
      </c>
      <c r="H53" s="136">
        <v>48.642951699257466</v>
      </c>
      <c r="I53" s="136">
        <v>42.384378795374694</v>
      </c>
      <c r="J53" s="136">
        <v>52.975807448633716</v>
      </c>
      <c r="K53" s="136">
        <v>52.726042493037973</v>
      </c>
      <c r="L53" s="136">
        <v>52.213941142234461</v>
      </c>
      <c r="M53" s="136">
        <v>52.645758927624009</v>
      </c>
      <c r="N53" s="136">
        <v>51.169607018712021</v>
      </c>
      <c r="O53" s="136">
        <v>53.210947160023942</v>
      </c>
      <c r="P53" s="136">
        <v>49.223035859385497</v>
      </c>
      <c r="Q53" s="136">
        <v>42.629892983466895</v>
      </c>
      <c r="R53" s="136">
        <v>43.497866912277935</v>
      </c>
      <c r="S53" s="136">
        <v>48.84280066748827</v>
      </c>
      <c r="T53" s="136">
        <v>62.354420394438485</v>
      </c>
      <c r="U53" s="136">
        <v>53.764544482946079</v>
      </c>
      <c r="V53" s="136">
        <v>44.563290394249982</v>
      </c>
      <c r="W53" s="136">
        <v>48.938864799909169</v>
      </c>
      <c r="X53" s="136">
        <v>59.857136871476563</v>
      </c>
      <c r="Y53" s="136">
        <v>56.071906861362102</v>
      </c>
      <c r="Z53" s="136">
        <v>44.0716600682399</v>
      </c>
      <c r="AA53" s="136">
        <v>36.700152189000079</v>
      </c>
      <c r="AB53" s="136">
        <v>36.459637394592001</v>
      </c>
      <c r="AC53" s="136">
        <v>37.99776773365582</v>
      </c>
      <c r="AD53" s="136">
        <v>34.565581810417513</v>
      </c>
      <c r="AE53" s="136">
        <v>30.690946761958138</v>
      </c>
      <c r="AF53" s="136">
        <v>29.694716701258521</v>
      </c>
      <c r="AG53" s="136">
        <v>28.676851670989468</v>
      </c>
      <c r="AH53" s="136">
        <v>27.039251325087321</v>
      </c>
      <c r="AI53" s="136">
        <v>28.243453391594272</v>
      </c>
      <c r="AJ53" s="136">
        <v>28.500519732083681</v>
      </c>
      <c r="AK53" s="136">
        <v>28.757610786136848</v>
      </c>
      <c r="AL53" s="136">
        <v>28.654604231242534</v>
      </c>
      <c r="AM53" s="136">
        <v>28.153107442982154</v>
      </c>
      <c r="AN53" s="136">
        <v>27.910251453160477</v>
      </c>
      <c r="AO53" s="136">
        <v>27.602706734599042</v>
      </c>
      <c r="AP53" s="136">
        <v>27.300684196985046</v>
      </c>
      <c r="AQ53" s="136">
        <v>26.995703611557406</v>
      </c>
      <c r="AR53" s="136">
        <v>25.623076270892671</v>
      </c>
      <c r="AS53" s="136">
        <v>25.214816706886442</v>
      </c>
      <c r="AT53" s="136">
        <v>24.793699326950108</v>
      </c>
      <c r="AU53" s="136">
        <v>24.433520092351738</v>
      </c>
      <c r="AV53" s="136">
        <v>24.071379964160915</v>
      </c>
      <c r="AW53" s="136">
        <v>23.690921980107127</v>
      </c>
      <c r="AX53" s="136">
        <v>23.218128982964341</v>
      </c>
      <c r="AY53" s="136">
        <v>22.739336758845255</v>
      </c>
      <c r="AZ53" s="136">
        <v>22.267146784826103</v>
      </c>
      <c r="BA53" s="136">
        <v>21.810982628350366</v>
      </c>
      <c r="BB53" s="136">
        <v>20.298823623069584</v>
      </c>
      <c r="BC53" s="136">
        <v>19.85480990715191</v>
      </c>
      <c r="BD53" s="136">
        <v>19.326289781709551</v>
      </c>
      <c r="BE53" s="136">
        <v>18.772337867151062</v>
      </c>
      <c r="BF53" s="136">
        <v>18.127416249145391</v>
      </c>
      <c r="BG53" s="136">
        <v>17.590540407591817</v>
      </c>
      <c r="BH53" s="136">
        <v>17.069708838886406</v>
      </c>
      <c r="BI53" s="136">
        <v>16.656834530811611</v>
      </c>
      <c r="BJ53" s="136">
        <v>16.224882368021216</v>
      </c>
      <c r="BK53" s="136">
        <v>15.643184232277449</v>
      </c>
      <c r="BL53" s="136">
        <v>15.14514543006826</v>
      </c>
    </row>
    <row r="54" spans="2:64">
      <c r="C54" t="s">
        <v>129</v>
      </c>
      <c r="D54" s="136">
        <v>0.36642694370815998</v>
      </c>
      <c r="E54" s="136">
        <v>0.35470999108293</v>
      </c>
      <c r="F54" s="136">
        <v>0.38249243707663999</v>
      </c>
      <c r="G54" s="136">
        <v>0.37799456028020001</v>
      </c>
      <c r="H54" s="136">
        <v>0.40402826094213001</v>
      </c>
      <c r="I54" s="136">
        <v>0.39974166861652</v>
      </c>
      <c r="J54" s="136">
        <v>0.38859485839440999</v>
      </c>
      <c r="K54" s="136">
        <v>0.39160898713207004</v>
      </c>
      <c r="L54" s="136">
        <v>0.37717118654362003</v>
      </c>
      <c r="M54" s="136">
        <v>0.40035628617881996</v>
      </c>
      <c r="N54" s="136">
        <v>0.40515628985136004</v>
      </c>
      <c r="O54" s="136">
        <v>0.42329355924693995</v>
      </c>
      <c r="P54" s="136">
        <v>0.44147694963213002</v>
      </c>
      <c r="Q54" s="136">
        <v>0.47634806725715001</v>
      </c>
      <c r="R54" s="136">
        <v>0.49417169503745995</v>
      </c>
      <c r="S54" s="136">
        <v>0.51581617253897005</v>
      </c>
      <c r="T54" s="136">
        <v>0.51246272049793995</v>
      </c>
      <c r="U54" s="136">
        <v>0.48057736977717996</v>
      </c>
      <c r="V54" s="136">
        <v>0.48861908921137004</v>
      </c>
      <c r="W54" s="136">
        <v>0.44175060694691992</v>
      </c>
      <c r="X54" s="136">
        <v>0.42689056518231999</v>
      </c>
      <c r="Y54" s="136">
        <v>0.43730630324666991</v>
      </c>
      <c r="Z54" s="136">
        <v>0.46749098191557997</v>
      </c>
      <c r="AA54" s="136">
        <v>0.46461822120052004</v>
      </c>
      <c r="AB54" s="136">
        <v>0.44449383834728001</v>
      </c>
      <c r="AC54" s="136">
        <v>0.44726800503922004</v>
      </c>
      <c r="AD54" s="136">
        <v>0.44177232613505996</v>
      </c>
      <c r="AE54" s="136">
        <v>0.43614607141988998</v>
      </c>
      <c r="AF54" s="136">
        <v>0.44547034500414007</v>
      </c>
      <c r="AG54" s="136">
        <v>0.48243768484458999</v>
      </c>
      <c r="AH54" s="136">
        <v>0.46415889239030006</v>
      </c>
      <c r="AI54" s="136">
        <v>0.47103188685645403</v>
      </c>
      <c r="AJ54" s="136">
        <v>0.46936394919545726</v>
      </c>
      <c r="AK54" s="136">
        <v>0.46390456649389372</v>
      </c>
      <c r="AL54" s="136">
        <v>0.45356224052103938</v>
      </c>
      <c r="AM54" s="136">
        <v>0.44284162626342105</v>
      </c>
      <c r="AN54" s="136">
        <v>0.43904549149704508</v>
      </c>
      <c r="AO54" s="136">
        <v>0.43402673061752289</v>
      </c>
      <c r="AP54" s="136">
        <v>0.42815628528552402</v>
      </c>
      <c r="AQ54" s="136">
        <v>0.42162368109075471</v>
      </c>
      <c r="AR54" s="136">
        <v>0.3888520129610028</v>
      </c>
      <c r="AS54" s="136">
        <v>0.37787971947609006</v>
      </c>
      <c r="AT54" s="136">
        <v>0.36608899206778117</v>
      </c>
      <c r="AU54" s="136">
        <v>0.3555110536530347</v>
      </c>
      <c r="AV54" s="136">
        <v>0.34494602914043232</v>
      </c>
      <c r="AW54" s="136">
        <v>0.33267901925112137</v>
      </c>
      <c r="AX54" s="136">
        <v>0.31871786076096076</v>
      </c>
      <c r="AY54" s="136">
        <v>0.30451965228072175</v>
      </c>
      <c r="AZ54" s="136">
        <v>0.29178004065372454</v>
      </c>
      <c r="BA54" s="136">
        <v>0.28034166179246017</v>
      </c>
      <c r="BB54" s="136">
        <v>0.24422762108722307</v>
      </c>
      <c r="BC54" s="136">
        <v>0.2342588547915421</v>
      </c>
      <c r="BD54" s="136">
        <v>0.22296153822914092</v>
      </c>
      <c r="BE54" s="136">
        <v>0.21271158415327091</v>
      </c>
      <c r="BF54" s="136">
        <v>0.20338560133272621</v>
      </c>
      <c r="BG54" s="136">
        <v>0.19406488010224876</v>
      </c>
      <c r="BH54" s="136">
        <v>0.18634640658790999</v>
      </c>
      <c r="BI54" s="136">
        <v>0.17943288762526791</v>
      </c>
      <c r="BJ54" s="136">
        <v>0.17236980430399698</v>
      </c>
      <c r="BK54" s="136">
        <v>0.16484036086040671</v>
      </c>
      <c r="BL54" s="136">
        <v>0.15796623257127915</v>
      </c>
    </row>
    <row r="55" spans="2:64">
      <c r="B55" s="109" t="s">
        <v>1093</v>
      </c>
      <c r="C55" t="s">
        <v>127</v>
      </c>
      <c r="D55" s="136">
        <v>2519.9565575373808</v>
      </c>
      <c r="E55" s="136">
        <v>2659.4860926475949</v>
      </c>
      <c r="F55" s="136">
        <v>2757.6030127995591</v>
      </c>
      <c r="G55" s="136">
        <v>2847.573039225395</v>
      </c>
      <c r="H55" s="136">
        <v>2725.6161551550372</v>
      </c>
      <c r="I55" s="136">
        <v>2813.8337178611105</v>
      </c>
      <c r="J55" s="136">
        <v>2826.0859206680966</v>
      </c>
      <c r="K55" s="136">
        <v>2732.1930435050358</v>
      </c>
      <c r="L55" s="136">
        <v>2792.1921973718781</v>
      </c>
      <c r="M55" s="136">
        <v>2944.2874457034563</v>
      </c>
      <c r="N55" s="136">
        <v>2922.4829407837447</v>
      </c>
      <c r="O55" s="136">
        <v>2986.8974577091049</v>
      </c>
      <c r="P55" s="136">
        <v>2984.8085614413958</v>
      </c>
      <c r="Q55" s="136">
        <v>3152.9626677903907</v>
      </c>
      <c r="R55" s="136">
        <v>3131.4872800634166</v>
      </c>
      <c r="S55" s="136">
        <v>3208.6354189567705</v>
      </c>
      <c r="T55" s="136">
        <v>3180.8810962824796</v>
      </c>
      <c r="U55" s="136">
        <v>3376.8667499328376</v>
      </c>
      <c r="V55" s="136">
        <v>3158.9914137622636</v>
      </c>
      <c r="W55" s="136">
        <v>3022.3787157649267</v>
      </c>
      <c r="X55" s="136">
        <v>3319.0049733416399</v>
      </c>
      <c r="Y55" s="136">
        <v>3294.4141985105807</v>
      </c>
      <c r="Z55" s="136">
        <v>3254.9237020985429</v>
      </c>
      <c r="AA55" s="136">
        <v>3319.3619782430392</v>
      </c>
      <c r="AB55" s="136">
        <v>3396.5353679654536</v>
      </c>
      <c r="AC55" s="136">
        <v>3509.692940089657</v>
      </c>
      <c r="AD55" s="136">
        <v>3213.6045926507077</v>
      </c>
      <c r="AE55" s="136">
        <v>3213.8824154864624</v>
      </c>
      <c r="AF55" s="136">
        <v>3085.4485327591519</v>
      </c>
      <c r="AG55" s="136">
        <v>3085.5223067679485</v>
      </c>
      <c r="AH55" s="136">
        <v>2863.6712337629397</v>
      </c>
      <c r="AI55" s="136">
        <v>3067.8368620937472</v>
      </c>
      <c r="AJ55" s="136">
        <v>2967.7371824271186</v>
      </c>
      <c r="AK55" s="136">
        <v>2936.2053523736913</v>
      </c>
      <c r="AL55" s="136">
        <v>2937.2946227475331</v>
      </c>
      <c r="AM55" s="136">
        <v>2938.524599225671</v>
      </c>
      <c r="AN55" s="136">
        <v>2939.7432714829411</v>
      </c>
      <c r="AO55" s="136">
        <v>2941.0374074563942</v>
      </c>
      <c r="AP55" s="136">
        <v>2942.2902098291006</v>
      </c>
      <c r="AQ55" s="136">
        <v>2943.5443329045265</v>
      </c>
      <c r="AR55" s="136">
        <v>2944.7487002360685</v>
      </c>
      <c r="AS55" s="136">
        <v>2945.9588804829336</v>
      </c>
      <c r="AT55" s="136">
        <v>2947.1465169308231</v>
      </c>
      <c r="AU55" s="136">
        <v>2948.3561197790359</v>
      </c>
      <c r="AV55" s="136">
        <v>2949.5909719164847</v>
      </c>
      <c r="AW55" s="136">
        <v>2950.9332505729662</v>
      </c>
      <c r="AX55" s="136">
        <v>2952.4419825981754</v>
      </c>
      <c r="AY55" s="136">
        <v>2953.976180150793</v>
      </c>
      <c r="AZ55" s="136">
        <v>2955.4715193236134</v>
      </c>
      <c r="BA55" s="136">
        <v>2956.8836297711832</v>
      </c>
      <c r="BB55" s="136">
        <v>2958.2776553446133</v>
      </c>
      <c r="BC55" s="136">
        <v>2959.5830225180621</v>
      </c>
      <c r="BD55" s="136">
        <v>2960.9429996231802</v>
      </c>
      <c r="BE55" s="136">
        <v>2962.4785041329178</v>
      </c>
      <c r="BF55" s="136">
        <v>2963.8227068400161</v>
      </c>
      <c r="BG55" s="136">
        <v>2965.2273557206508</v>
      </c>
      <c r="BH55" s="136">
        <v>2966.6287815106152</v>
      </c>
      <c r="BI55" s="136">
        <v>2967.5783170713862</v>
      </c>
      <c r="BJ55" s="136">
        <v>2968.4988923973715</v>
      </c>
      <c r="BK55" s="136">
        <v>2969.3899912369925</v>
      </c>
      <c r="BL55" s="136">
        <v>2970.2504557889929</v>
      </c>
    </row>
    <row r="56" spans="2:64">
      <c r="C56" t="s">
        <v>128</v>
      </c>
      <c r="D56" s="136">
        <v>1.1040000000000001</v>
      </c>
      <c r="E56" s="136">
        <v>1.8859999999999999</v>
      </c>
      <c r="F56" s="136">
        <v>1.5985</v>
      </c>
      <c r="G56" s="136">
        <v>1.794</v>
      </c>
      <c r="H56" s="136">
        <v>2.2494000000000001</v>
      </c>
      <c r="I56" s="136">
        <v>3.1649932000000001</v>
      </c>
      <c r="J56" s="136">
        <v>4.2472927</v>
      </c>
      <c r="K56" s="136">
        <v>4.3812746000000002</v>
      </c>
      <c r="L56" s="136">
        <v>4.1248360999999996</v>
      </c>
      <c r="M56" s="136">
        <v>4.7440306000000003</v>
      </c>
      <c r="N56" s="136">
        <v>5.5445272000000001</v>
      </c>
      <c r="O56" s="136">
        <v>4.9043567000000001</v>
      </c>
      <c r="P56" s="136">
        <v>5.2471694000000006</v>
      </c>
      <c r="Q56" s="136">
        <v>2.2257490999999998</v>
      </c>
      <c r="R56" s="136">
        <v>2.5019607000000001</v>
      </c>
      <c r="S56" s="136">
        <v>0.78939449999999989</v>
      </c>
      <c r="T56" s="136">
        <v>0.92968300000000004</v>
      </c>
      <c r="U56" s="136">
        <v>0.9997663</v>
      </c>
      <c r="V56" s="136">
        <v>1.3117314</v>
      </c>
      <c r="W56" s="136">
        <v>1.8914280000000003</v>
      </c>
      <c r="X56" s="136">
        <v>1.9061802000000001</v>
      </c>
      <c r="Y56" s="136">
        <v>1.9159529</v>
      </c>
      <c r="Z56" s="136">
        <v>2.5473925999999998</v>
      </c>
      <c r="AA56" s="136">
        <v>3.2659701000000001</v>
      </c>
      <c r="AB56" s="136">
        <v>5.0592594000000002</v>
      </c>
      <c r="AC56" s="136">
        <v>4.2680433000000004</v>
      </c>
      <c r="AD56" s="136">
        <v>5.01110799875506</v>
      </c>
      <c r="AE56" s="136">
        <v>4.4807196999999999</v>
      </c>
      <c r="AF56" s="136">
        <v>3.6906674000000006</v>
      </c>
      <c r="AG56" s="136">
        <v>4.2892700000000001</v>
      </c>
      <c r="AH56" s="136">
        <v>3.8459956000000002</v>
      </c>
      <c r="AI56" s="136">
        <v>3.1382012340873802</v>
      </c>
      <c r="AJ56" s="136">
        <v>3.294464632839424</v>
      </c>
      <c r="AK56" s="136">
        <v>3.4678575082520253</v>
      </c>
      <c r="AL56" s="136">
        <v>3.4678575082520253</v>
      </c>
      <c r="AM56" s="136">
        <v>3.4678575082520253</v>
      </c>
      <c r="AN56" s="136">
        <v>3.4678575082520253</v>
      </c>
      <c r="AO56" s="136">
        <v>3.4678575082520253</v>
      </c>
      <c r="AP56" s="136">
        <v>3.4678575082520253</v>
      </c>
      <c r="AQ56" s="136">
        <v>3.4678575082520253</v>
      </c>
      <c r="AR56" s="136">
        <v>1.7339287541260127</v>
      </c>
      <c r="AS56" s="136">
        <v>1.7339287541260127</v>
      </c>
      <c r="AT56" s="136">
        <v>1.7339287541260127</v>
      </c>
      <c r="AU56" s="136">
        <v>1.7339287541260127</v>
      </c>
      <c r="AV56" s="136">
        <v>1.7339287541260127</v>
      </c>
      <c r="AW56" s="136">
        <v>1.7339287541260127</v>
      </c>
      <c r="AX56" s="136">
        <v>1.7339287541260127</v>
      </c>
      <c r="AY56" s="136">
        <v>1.7339287541260127</v>
      </c>
      <c r="AZ56" s="136">
        <v>1.7339287541260127</v>
      </c>
      <c r="BA56" s="136">
        <v>1.7339287541260127</v>
      </c>
      <c r="BB56" s="136">
        <v>0</v>
      </c>
      <c r="BC56" s="136">
        <v>0</v>
      </c>
      <c r="BD56" s="136">
        <v>0</v>
      </c>
      <c r="BE56" s="136">
        <v>0</v>
      </c>
      <c r="BF56" s="136">
        <v>0</v>
      </c>
      <c r="BG56" s="136">
        <v>0</v>
      </c>
      <c r="BH56" s="136">
        <v>0</v>
      </c>
      <c r="BI56" s="136">
        <v>0</v>
      </c>
      <c r="BJ56" s="136">
        <v>0</v>
      </c>
      <c r="BK56" s="136">
        <v>0</v>
      </c>
      <c r="BL56" s="136">
        <v>0</v>
      </c>
    </row>
    <row r="57" spans="2:64">
      <c r="C57" t="s">
        <v>129</v>
      </c>
      <c r="D57" s="136">
        <v>0.34377660773997987</v>
      </c>
      <c r="E57" s="136">
        <v>0.32658777735298</v>
      </c>
      <c r="F57" s="136">
        <v>0.31025838848532999</v>
      </c>
      <c r="G57" s="136">
        <v>0.29474546906105997</v>
      </c>
      <c r="H57" s="136">
        <v>0.28000819560800999</v>
      </c>
      <c r="I57" s="136">
        <v>0.26600778582760998</v>
      </c>
      <c r="J57" s="136">
        <v>0.25270739653622998</v>
      </c>
      <c r="K57" s="136">
        <v>0.24007202670941999</v>
      </c>
      <c r="L57" s="136">
        <v>0.22806842537395</v>
      </c>
      <c r="M57" s="136">
        <v>0.21666500410525003</v>
      </c>
      <c r="N57" s="136">
        <v>0.20583175389999001</v>
      </c>
      <c r="O57" s="136">
        <v>0.19554016620499001</v>
      </c>
      <c r="P57" s="136">
        <v>0.18576315789473999</v>
      </c>
      <c r="Q57" s="136">
        <v>0.17499999999999999</v>
      </c>
      <c r="R57" s="136">
        <v>0.16250000000000001</v>
      </c>
      <c r="S57" s="136">
        <v>0.14949999999999999</v>
      </c>
      <c r="T57" s="136">
        <v>0.13650000000000001</v>
      </c>
      <c r="U57" s="136">
        <v>0.14785000000000001</v>
      </c>
      <c r="V57" s="136">
        <v>0.1767</v>
      </c>
      <c r="W57" s="136">
        <v>0.17805000000000001</v>
      </c>
      <c r="X57" s="136">
        <v>0.17924999999999999</v>
      </c>
      <c r="Y57" s="136">
        <v>0.1789</v>
      </c>
      <c r="Z57" s="136">
        <v>0.18140000000000001</v>
      </c>
      <c r="AA57" s="136">
        <v>0.19520000000000001</v>
      </c>
      <c r="AB57" s="136">
        <v>0.19520000000000001</v>
      </c>
      <c r="AC57" s="136">
        <v>0.2011</v>
      </c>
      <c r="AD57" s="136">
        <v>0.19739999999999999</v>
      </c>
      <c r="AE57" s="136">
        <v>0.20655000000000001</v>
      </c>
      <c r="AF57" s="136">
        <v>0.27334999999999998</v>
      </c>
      <c r="AG57" s="136">
        <v>0.27655000000000002</v>
      </c>
      <c r="AH57" s="136">
        <v>0.24790000000000001</v>
      </c>
      <c r="AI57" s="136">
        <v>0.28576046721849663</v>
      </c>
      <c r="AJ57" s="136">
        <v>0.29019186074526043</v>
      </c>
      <c r="AK57" s="136">
        <v>0.2988920843732179</v>
      </c>
      <c r="AL57" s="136">
        <v>0.30532265145717064</v>
      </c>
      <c r="AM57" s="136">
        <v>0.31258388470494086</v>
      </c>
      <c r="AN57" s="136">
        <v>0.319778382868041</v>
      </c>
      <c r="AO57" s="136">
        <v>0.32741838519703004</v>
      </c>
      <c r="AP57" s="136">
        <v>0.3348143723587963</v>
      </c>
      <c r="AQ57" s="136">
        <v>0.34221815636112363</v>
      </c>
      <c r="AR57" s="136">
        <v>0.34932820461469521</v>
      </c>
      <c r="AS57" s="136">
        <v>0.35647256973104569</v>
      </c>
      <c r="AT57" s="136">
        <v>0.36348384630011765</v>
      </c>
      <c r="AU57" s="136">
        <v>0.37062480271200415</v>
      </c>
      <c r="AV57" s="136">
        <v>0.3779148196805423</v>
      </c>
      <c r="AW57" s="136">
        <v>0.38583903496551231</v>
      </c>
      <c r="AX57" s="136">
        <v>0.39474591679467164</v>
      </c>
      <c r="AY57" s="136">
        <v>0.40380313575432247</v>
      </c>
      <c r="AZ57" s="136">
        <v>0.41263095214867712</v>
      </c>
      <c r="BA57" s="136">
        <v>0.4209674232224464</v>
      </c>
      <c r="BB57" s="136">
        <v>0.4291971292549972</v>
      </c>
      <c r="BC57" s="136">
        <v>0.43690343558594796</v>
      </c>
      <c r="BD57" s="136">
        <v>0.44493213462809356</v>
      </c>
      <c r="BE57" s="136">
        <v>0.45399706928040795</v>
      </c>
      <c r="BF57" s="136">
        <v>0.46193264330317413</v>
      </c>
      <c r="BG57" s="136">
        <v>0.47022506460943503</v>
      </c>
      <c r="BH57" s="136">
        <v>0.47849845822406306</v>
      </c>
      <c r="BI57" s="136">
        <v>0.4841040932149408</v>
      </c>
      <c r="BJ57" s="136">
        <v>0.48953875987966028</v>
      </c>
      <c r="BK57" s="136">
        <v>0.4947994104988504</v>
      </c>
      <c r="BL57" s="136">
        <v>0.49987920992962404</v>
      </c>
    </row>
    <row r="58" spans="2:64">
      <c r="B58" s="109" t="s">
        <v>1037</v>
      </c>
      <c r="C58" t="s">
        <v>127</v>
      </c>
      <c r="D58" s="136">
        <v>335.67906394986551</v>
      </c>
      <c r="E58" s="136">
        <v>371.90615144539862</v>
      </c>
      <c r="F58" s="136">
        <v>394.76661751230108</v>
      </c>
      <c r="G58" s="136">
        <v>442.64120143539054</v>
      </c>
      <c r="H58" s="136">
        <v>500.41393488597515</v>
      </c>
      <c r="I58" s="136">
        <v>582.37680129054763</v>
      </c>
      <c r="J58" s="136">
        <v>541.38352744044118</v>
      </c>
      <c r="K58" s="136">
        <v>568.00528006658749</v>
      </c>
      <c r="L58" s="136">
        <v>644.77509589686201</v>
      </c>
      <c r="M58" s="136">
        <v>743.18277005521338</v>
      </c>
      <c r="N58" s="136">
        <v>790.77977686270037</v>
      </c>
      <c r="O58" s="136">
        <v>901.74608397623422</v>
      </c>
      <c r="P58" s="136">
        <v>1033.9005688849297</v>
      </c>
      <c r="Q58" s="136">
        <v>1001.7259659101927</v>
      </c>
      <c r="R58" s="136">
        <v>1006.9082663458823</v>
      </c>
      <c r="S58" s="136">
        <v>1064.1014054721436</v>
      </c>
      <c r="T58" s="136">
        <v>929.82371529257409</v>
      </c>
      <c r="U58" s="136">
        <v>995.82021578551576</v>
      </c>
      <c r="V58" s="136">
        <v>942.63769463709173</v>
      </c>
      <c r="W58" s="136">
        <v>965.77074526788181</v>
      </c>
      <c r="X58" s="136">
        <v>961.19529071648606</v>
      </c>
      <c r="Y58" s="136">
        <v>1019.7067219571727</v>
      </c>
      <c r="Z58" s="136">
        <v>1056.7803060078841</v>
      </c>
      <c r="AA58" s="136">
        <v>965.93459048107616</v>
      </c>
      <c r="AB58" s="136">
        <v>998.76015646956523</v>
      </c>
      <c r="AC58" s="136">
        <v>1050.2374492579709</v>
      </c>
      <c r="AD58" s="136">
        <v>998.14629608115945</v>
      </c>
      <c r="AE58" s="136">
        <v>967.08786414964322</v>
      </c>
      <c r="AF58" s="136">
        <v>1016.1405826729523</v>
      </c>
      <c r="AG58" s="136">
        <v>1020.5033795478262</v>
      </c>
      <c r="AH58" s="136">
        <v>951.50682644057974</v>
      </c>
      <c r="AI58" s="136">
        <v>1024.7056539762423</v>
      </c>
      <c r="AJ58" s="136">
        <v>1021.8346734704432</v>
      </c>
      <c r="AK58" s="136">
        <v>1018.9886085397159</v>
      </c>
      <c r="AL58" s="136">
        <v>1016.3033533157014</v>
      </c>
      <c r="AM58" s="136">
        <v>1013.777497315897</v>
      </c>
      <c r="AN58" s="136">
        <v>1008.8433424784419</v>
      </c>
      <c r="AO58" s="136">
        <v>1004.3923660569934</v>
      </c>
      <c r="AP58" s="136">
        <v>993.35560602887392</v>
      </c>
      <c r="AQ58" s="136">
        <v>980.54828365557341</v>
      </c>
      <c r="AR58" s="136">
        <v>967.8742907662579</v>
      </c>
      <c r="AS58" s="136">
        <v>959.11743332617448</v>
      </c>
      <c r="AT58" s="136">
        <v>949.98530232886458</v>
      </c>
      <c r="AU58" s="136">
        <v>941.1949498578324</v>
      </c>
      <c r="AV58" s="136">
        <v>932.12727346047734</v>
      </c>
      <c r="AW58" s="136">
        <v>923.12492421425782</v>
      </c>
      <c r="AX58" s="136">
        <v>916.17670182010033</v>
      </c>
      <c r="AY58" s="136">
        <v>909.56881449145044</v>
      </c>
      <c r="AZ58" s="136">
        <v>903.28482240294682</v>
      </c>
      <c r="BA58" s="136">
        <v>896.83998919697251</v>
      </c>
      <c r="BB58" s="136">
        <v>890.31313959009935</v>
      </c>
      <c r="BC58" s="136">
        <v>888.57052052336098</v>
      </c>
      <c r="BD58" s="136">
        <v>886.97512647849499</v>
      </c>
      <c r="BE58" s="136">
        <v>885.2797067115165</v>
      </c>
      <c r="BF58" s="136">
        <v>883.55442671106323</v>
      </c>
      <c r="BG58" s="136">
        <v>882.56450598156607</v>
      </c>
      <c r="BH58" s="136">
        <v>881.05796564486275</v>
      </c>
      <c r="BI58" s="136">
        <v>879.11820615729914</v>
      </c>
      <c r="BJ58" s="136">
        <v>877.05284524703654</v>
      </c>
      <c r="BK58" s="136">
        <v>875.03083039325747</v>
      </c>
      <c r="BL58" s="136">
        <v>873.17939810784969</v>
      </c>
    </row>
    <row r="59" spans="2:64">
      <c r="C59" t="s">
        <v>128</v>
      </c>
      <c r="D59" s="136">
        <v>1124.0323944711226</v>
      </c>
      <c r="E59" s="136">
        <v>1128.9729801915744</v>
      </c>
      <c r="F59" s="136">
        <v>1109.409858197685</v>
      </c>
      <c r="G59" s="136">
        <v>1114.153030123332</v>
      </c>
      <c r="H59" s="136">
        <v>1150.2557948244678</v>
      </c>
      <c r="I59" s="136">
        <v>1161.7941454379124</v>
      </c>
      <c r="J59" s="136">
        <v>1172.3073513050249</v>
      </c>
      <c r="K59" s="136">
        <v>1202.2978184512447</v>
      </c>
      <c r="L59" s="136">
        <v>1177.6460056346693</v>
      </c>
      <c r="M59" s="136">
        <v>1180.2957302601314</v>
      </c>
      <c r="N59" s="136">
        <v>1212.7593290552397</v>
      </c>
      <c r="O59" s="136">
        <v>1226.9104389816055</v>
      </c>
      <c r="P59" s="136">
        <v>1218.0231584301353</v>
      </c>
      <c r="Q59" s="136">
        <v>1234.3820870006064</v>
      </c>
      <c r="R59" s="136">
        <v>1235.0267222505195</v>
      </c>
      <c r="S59" s="136">
        <v>1244.0513706633783</v>
      </c>
      <c r="T59" s="136">
        <v>1251.4714353181407</v>
      </c>
      <c r="U59" s="136">
        <v>1219.2192171961103</v>
      </c>
      <c r="V59" s="136">
        <v>1174.4171331029038</v>
      </c>
      <c r="W59" s="136">
        <v>1180.8735542598756</v>
      </c>
      <c r="X59" s="136">
        <v>1182.080527686546</v>
      </c>
      <c r="Y59" s="136">
        <v>1198.506947382406</v>
      </c>
      <c r="Z59" s="136">
        <v>1226.5024960821286</v>
      </c>
      <c r="AA59" s="136">
        <v>1233.1197375786612</v>
      </c>
      <c r="AB59" s="136">
        <v>1245.505022944317</v>
      </c>
      <c r="AC59" s="136">
        <v>1226.5112558874318</v>
      </c>
      <c r="AD59" s="136">
        <v>1212.5347332470756</v>
      </c>
      <c r="AE59" s="136">
        <v>1213.6780109474446</v>
      </c>
      <c r="AF59" s="136">
        <v>1219.3143475064498</v>
      </c>
      <c r="AG59" s="136">
        <v>1224.2961396757501</v>
      </c>
      <c r="AH59" s="136">
        <v>1218.8801349496384</v>
      </c>
      <c r="AI59" s="136">
        <v>1193.0224827631187</v>
      </c>
      <c r="AJ59" s="136">
        <v>1174.1702901847543</v>
      </c>
      <c r="AK59" s="136">
        <v>1158.7639363981461</v>
      </c>
      <c r="AL59" s="136">
        <v>1144.4209672896709</v>
      </c>
      <c r="AM59" s="136">
        <v>1130.281103362609</v>
      </c>
      <c r="AN59" s="136">
        <v>1119.5019764036131</v>
      </c>
      <c r="AO59" s="136">
        <v>1109.4234178181177</v>
      </c>
      <c r="AP59" s="136">
        <v>1098.8522705709681</v>
      </c>
      <c r="AQ59" s="136">
        <v>1088.6766076526255</v>
      </c>
      <c r="AR59" s="136">
        <v>1078.7360187501538</v>
      </c>
      <c r="AS59" s="136">
        <v>1071.4684601355959</v>
      </c>
      <c r="AT59" s="136">
        <v>1063.775052735391</v>
      </c>
      <c r="AU59" s="136">
        <v>1056.7732671918823</v>
      </c>
      <c r="AV59" s="136">
        <v>1049.5289826153294</v>
      </c>
      <c r="AW59" s="136">
        <v>1042.4681051760558</v>
      </c>
      <c r="AX59" s="136">
        <v>1035.0491859760302</v>
      </c>
      <c r="AY59" s="136">
        <v>1028.1492271582631</v>
      </c>
      <c r="AZ59" s="136">
        <v>1021.9114589212228</v>
      </c>
      <c r="BA59" s="136">
        <v>1015.58170054919</v>
      </c>
      <c r="BB59" s="136">
        <v>1009.2455492769991</v>
      </c>
      <c r="BC59" s="136">
        <v>1004.8089092869473</v>
      </c>
      <c r="BD59" s="136">
        <v>1000.8151674660492</v>
      </c>
      <c r="BE59" s="136">
        <v>996.8001719075578</v>
      </c>
      <c r="BF59" s="136">
        <v>992.84445837064675</v>
      </c>
      <c r="BG59" s="136">
        <v>990.08514146974665</v>
      </c>
      <c r="BH59" s="136">
        <v>986.65949466044094</v>
      </c>
      <c r="BI59" s="136">
        <v>982.81210489884791</v>
      </c>
      <c r="BJ59" s="136">
        <v>978.87607173373431</v>
      </c>
      <c r="BK59" s="136">
        <v>975.13453081203352</v>
      </c>
      <c r="BL59" s="136">
        <v>971.86915971980648</v>
      </c>
    </row>
    <row r="60" spans="2:64">
      <c r="C60" t="s">
        <v>129</v>
      </c>
      <c r="D60" s="136">
        <v>17.974479419170716</v>
      </c>
      <c r="E60" s="136">
        <v>18.208982689224438</v>
      </c>
      <c r="F60" s="136">
        <v>18.258265182885783</v>
      </c>
      <c r="G60" s="136">
        <v>18.993017117232782</v>
      </c>
      <c r="H60" s="136">
        <v>19.71996272306308</v>
      </c>
      <c r="I60" s="136">
        <v>20.494854622353913</v>
      </c>
      <c r="J60" s="136">
        <v>20.76909288124423</v>
      </c>
      <c r="K60" s="136">
        <v>21.032243016282543</v>
      </c>
      <c r="L60" s="136">
        <v>20.810908693045217</v>
      </c>
      <c r="M60" s="136">
        <v>20.864485546248325</v>
      </c>
      <c r="N60" s="136">
        <v>21.829240565334064</v>
      </c>
      <c r="O60" s="136">
        <v>23.055799754277373</v>
      </c>
      <c r="P60" s="136">
        <v>23.383971235989868</v>
      </c>
      <c r="Q60" s="136">
        <v>24.208552445737563</v>
      </c>
      <c r="R60" s="136">
        <v>24.619102817491001</v>
      </c>
      <c r="S60" s="136">
        <v>24.854074558973934</v>
      </c>
      <c r="T60" s="136">
        <v>24.197274326286305</v>
      </c>
      <c r="U60" s="136">
        <v>23.596625543540551</v>
      </c>
      <c r="V60" s="136">
        <v>23.587870087569605</v>
      </c>
      <c r="W60" s="136">
        <v>23.652177586381878</v>
      </c>
      <c r="X60" s="136">
        <v>24.155324683747807</v>
      </c>
      <c r="Y60" s="136">
        <v>24.76472865945918</v>
      </c>
      <c r="Z60" s="136">
        <v>25.114163804575355</v>
      </c>
      <c r="AA60" s="136">
        <v>25.210852858314524</v>
      </c>
      <c r="AB60" s="136">
        <v>26.12881233395608</v>
      </c>
      <c r="AC60" s="136">
        <v>25.848222092673527</v>
      </c>
      <c r="AD60" s="136">
        <v>25.944448293512139</v>
      </c>
      <c r="AE60" s="136">
        <v>26.08507570846265</v>
      </c>
      <c r="AF60" s="136">
        <v>26.4070049778426</v>
      </c>
      <c r="AG60" s="136">
        <v>26.478973656709112</v>
      </c>
      <c r="AH60" s="136">
        <v>26.852461895770688</v>
      </c>
      <c r="AI60" s="136">
        <v>26.073159596345093</v>
      </c>
      <c r="AJ60" s="136">
        <v>25.782804724591106</v>
      </c>
      <c r="AK60" s="136">
        <v>25.533787671996411</v>
      </c>
      <c r="AL60" s="136">
        <v>25.301384100341384</v>
      </c>
      <c r="AM60" s="136">
        <v>25.070215241066858</v>
      </c>
      <c r="AN60" s="136">
        <v>24.872767239079241</v>
      </c>
      <c r="AO60" s="136">
        <v>24.692332368064367</v>
      </c>
      <c r="AP60" s="136">
        <v>24.436636507503398</v>
      </c>
      <c r="AQ60" s="136">
        <v>24.171560330924272</v>
      </c>
      <c r="AR60" s="136">
        <v>23.911068364947099</v>
      </c>
      <c r="AS60" s="136">
        <v>23.649050291371172</v>
      </c>
      <c r="AT60" s="136">
        <v>23.376461429969293</v>
      </c>
      <c r="AU60" s="136">
        <v>23.118562537692942</v>
      </c>
      <c r="AV60" s="136">
        <v>22.854374966591063</v>
      </c>
      <c r="AW60" s="136">
        <v>22.594274037394971</v>
      </c>
      <c r="AX60" s="136">
        <v>22.352428602147512</v>
      </c>
      <c r="AY60" s="136">
        <v>22.122409936431382</v>
      </c>
      <c r="AZ60" s="136">
        <v>21.905583650304845</v>
      </c>
      <c r="BA60" s="136">
        <v>21.685085369916134</v>
      </c>
      <c r="BB60" s="136">
        <v>21.463947090736351</v>
      </c>
      <c r="BC60" s="136">
        <v>21.316802977537478</v>
      </c>
      <c r="BD60" s="136">
        <v>21.179054189628424</v>
      </c>
      <c r="BE60" s="136">
        <v>21.040050625205552</v>
      </c>
      <c r="BF60" s="136">
        <v>20.90302431069842</v>
      </c>
      <c r="BG60" s="136">
        <v>20.790833616490186</v>
      </c>
      <c r="BH60" s="136">
        <v>20.661314403330678</v>
      </c>
      <c r="BI60" s="136">
        <v>20.521567653040911</v>
      </c>
      <c r="BJ60" s="136">
        <v>20.380625502261669</v>
      </c>
      <c r="BK60" s="136">
        <v>20.24474472837996</v>
      </c>
      <c r="BL60" s="136">
        <v>20.119703399366362</v>
      </c>
    </row>
    <row r="61" spans="2:64">
      <c r="B61" s="109" t="s">
        <v>1038</v>
      </c>
      <c r="C61" t="s">
        <v>127</v>
      </c>
      <c r="D61" s="136">
        <v>158.91153335176486</v>
      </c>
      <c r="E61" s="136">
        <v>157.84269804433487</v>
      </c>
      <c r="F61" s="136">
        <v>156.15086181862185</v>
      </c>
      <c r="G61" s="136">
        <v>158.91997621842884</v>
      </c>
      <c r="H61" s="136">
        <v>137.63316223492487</v>
      </c>
      <c r="I61" s="136">
        <v>136.25791438122386</v>
      </c>
      <c r="J61" s="136">
        <v>131.03051961481086</v>
      </c>
      <c r="K61" s="136">
        <v>139.86940948429088</v>
      </c>
      <c r="L61" s="136">
        <v>148.51381935377188</v>
      </c>
      <c r="M61" s="136">
        <v>156.71778922325288</v>
      </c>
      <c r="N61" s="136">
        <v>149.72520220531686</v>
      </c>
      <c r="O61" s="136">
        <v>138.52126518738186</v>
      </c>
      <c r="P61" s="136">
        <v>131.59817616944687</v>
      </c>
      <c r="Q61" s="136">
        <v>123.41705949555485</v>
      </c>
      <c r="R61" s="136">
        <v>124.25222665061285</v>
      </c>
      <c r="S61" s="136">
        <v>119.46081042446386</v>
      </c>
      <c r="T61" s="136">
        <v>118.53337957942854</v>
      </c>
      <c r="U61" s="136">
        <v>114.87540625707396</v>
      </c>
      <c r="V61" s="136">
        <v>109.90963351185434</v>
      </c>
      <c r="W61" s="136">
        <v>107.65432130150933</v>
      </c>
      <c r="X61" s="136">
        <v>108.66302434272133</v>
      </c>
      <c r="Y61" s="136">
        <v>105.30612135168033</v>
      </c>
      <c r="Z61" s="136">
        <v>105.56505373488633</v>
      </c>
      <c r="AA61" s="136">
        <v>102.90891644192334</v>
      </c>
      <c r="AB61" s="136">
        <v>102.98225190491632</v>
      </c>
      <c r="AC61" s="136">
        <v>100.33785234521093</v>
      </c>
      <c r="AD61" s="136">
        <v>100.77986838161853</v>
      </c>
      <c r="AE61" s="136">
        <v>95.215403330625037</v>
      </c>
      <c r="AF61" s="136">
        <v>92.420990082961737</v>
      </c>
      <c r="AG61" s="136">
        <v>90.261880340591432</v>
      </c>
      <c r="AH61" s="136">
        <v>89.80009559783403</v>
      </c>
      <c r="AI61" s="136">
        <v>97.967181342533991</v>
      </c>
      <c r="AJ61" s="136">
        <v>95.579839569891632</v>
      </c>
      <c r="AK61" s="136">
        <v>93.245011314492274</v>
      </c>
      <c r="AL61" s="136">
        <v>90.959085391225997</v>
      </c>
      <c r="AM61" s="136">
        <v>88.718888022198001</v>
      </c>
      <c r="AN61" s="136">
        <v>86.521613174252707</v>
      </c>
      <c r="AO61" s="136">
        <v>84.364766360559898</v>
      </c>
      <c r="AP61" s="136">
        <v>82.246118885789286</v>
      </c>
      <c r="AQ61" s="136">
        <v>80.163670278451733</v>
      </c>
      <c r="AR61" s="136">
        <v>78.115617204506052</v>
      </c>
      <c r="AS61" s="136">
        <v>76.559406343312844</v>
      </c>
      <c r="AT61" s="136">
        <v>75.023535059304891</v>
      </c>
      <c r="AU61" s="136">
        <v>73.506902986750802</v>
      </c>
      <c r="AV61" s="136">
        <v>72.008506406573019</v>
      </c>
      <c r="AW61" s="136">
        <v>70.527426993145852</v>
      </c>
      <c r="AX61" s="136">
        <v>69.062822167526264</v>
      </c>
      <c r="AY61" s="136">
        <v>67.613916788304493</v>
      </c>
      <c r="AZ61" s="136">
        <v>66.179995962457255</v>
      </c>
      <c r="BA61" s="136">
        <v>64.760398798910828</v>
      </c>
      <c r="BB61" s="136">
        <v>63.354512959517315</v>
      </c>
      <c r="BC61" s="136">
        <v>62.060253654017025</v>
      </c>
      <c r="BD61" s="136">
        <v>60.780721816654641</v>
      </c>
      <c r="BE61" s="136">
        <v>59.515421918156399</v>
      </c>
      <c r="BF61" s="136">
        <v>58.263890831245355</v>
      </c>
      <c r="BG61" s="136">
        <v>57.025694958441498</v>
      </c>
      <c r="BH61" s="136">
        <v>55.800427675627546</v>
      </c>
      <c r="BI61" s="136">
        <v>54.587707050336199</v>
      </c>
      <c r="BJ61" s="136">
        <v>53.387173799831956</v>
      </c>
      <c r="BK61" s="136">
        <v>52.198489459153549</v>
      </c>
      <c r="BL61" s="136">
        <v>51.021334733542531</v>
      </c>
    </row>
    <row r="62" spans="2:64">
      <c r="C62" t="s">
        <v>128</v>
      </c>
      <c r="D62" s="136">
        <v>146.83240038291498</v>
      </c>
      <c r="E62" s="136">
        <v>151.18774900965423</v>
      </c>
      <c r="F62" s="136">
        <v>155.30193074796165</v>
      </c>
      <c r="G62" s="136">
        <v>159.24702420150098</v>
      </c>
      <c r="H62" s="136">
        <v>155.57070050467266</v>
      </c>
      <c r="I62" s="136">
        <v>159.25152753281748</v>
      </c>
      <c r="J62" s="136">
        <v>162.95329485884318</v>
      </c>
      <c r="K62" s="136">
        <v>164.94866388248357</v>
      </c>
      <c r="L62" s="136">
        <v>164.37947477693319</v>
      </c>
      <c r="M62" s="136">
        <v>164.9487519389516</v>
      </c>
      <c r="N62" s="136">
        <v>166.22884836943823</v>
      </c>
      <c r="O62" s="136">
        <v>167.54257899359308</v>
      </c>
      <c r="P62" s="136">
        <v>168.50053054165949</v>
      </c>
      <c r="Q62" s="136">
        <v>165.06515594229609</v>
      </c>
      <c r="R62" s="136">
        <v>165.54501449290157</v>
      </c>
      <c r="S62" s="136">
        <v>165.31303279235962</v>
      </c>
      <c r="T62" s="136">
        <v>157.46010681098588</v>
      </c>
      <c r="U62" s="136">
        <v>156.08143928607927</v>
      </c>
      <c r="V62" s="136">
        <v>152.89949553304521</v>
      </c>
      <c r="W62" s="136">
        <v>147.66532001687833</v>
      </c>
      <c r="X62" s="136">
        <v>145.28393742183624</v>
      </c>
      <c r="Y62" s="136">
        <v>139.4552952544955</v>
      </c>
      <c r="Z62" s="136">
        <v>135.11062754515868</v>
      </c>
      <c r="AA62" s="136">
        <v>133.13241065264089</v>
      </c>
      <c r="AB62" s="136">
        <v>131.20971696888637</v>
      </c>
      <c r="AC62" s="136">
        <v>129.61670565159892</v>
      </c>
      <c r="AD62" s="136">
        <v>128.29942101540766</v>
      </c>
      <c r="AE62" s="136">
        <v>126.83037329321982</v>
      </c>
      <c r="AF62" s="136">
        <v>124.24261898370941</v>
      </c>
      <c r="AG62" s="136">
        <v>122.32184695064457</v>
      </c>
      <c r="AH62" s="136">
        <v>120.47725170171125</v>
      </c>
      <c r="AI62" s="136">
        <v>119.78258119360257</v>
      </c>
      <c r="AJ62" s="136">
        <v>118.52481016985786</v>
      </c>
      <c r="AK62" s="136">
        <v>115.0499707122613</v>
      </c>
      <c r="AL62" s="136">
        <v>111.56101397117246</v>
      </c>
      <c r="AM62" s="136">
        <v>108.03939952143178</v>
      </c>
      <c r="AN62" s="136">
        <v>104.46173411581528</v>
      </c>
      <c r="AO62" s="136">
        <v>100.87294965804263</v>
      </c>
      <c r="AP62" s="136">
        <v>97.289580853141857</v>
      </c>
      <c r="AQ62" s="136">
        <v>93.725397418553712</v>
      </c>
      <c r="AR62" s="136">
        <v>90.181933354921554</v>
      </c>
      <c r="AS62" s="136">
        <v>87.240438990454209</v>
      </c>
      <c r="AT62" s="136">
        <v>84.491900245005951</v>
      </c>
      <c r="AU62" s="136">
        <v>81.864119797301299</v>
      </c>
      <c r="AV62" s="136">
        <v>79.315784260820323</v>
      </c>
      <c r="AW62" s="136">
        <v>76.832789039947386</v>
      </c>
      <c r="AX62" s="136">
        <v>74.40069447840996</v>
      </c>
      <c r="AY62" s="136">
        <v>72.015481085790086</v>
      </c>
      <c r="AZ62" s="136">
        <v>69.675973980256174</v>
      </c>
      <c r="BA62" s="136">
        <v>67.375526746811261</v>
      </c>
      <c r="BB62" s="136">
        <v>65.118140902328136</v>
      </c>
      <c r="BC62" s="136">
        <v>63.276260686322118</v>
      </c>
      <c r="BD62" s="136">
        <v>61.470242334215712</v>
      </c>
      <c r="BE62" s="136">
        <v>59.699935659961305</v>
      </c>
      <c r="BF62" s="136">
        <v>57.962192657969702</v>
      </c>
      <c r="BG62" s="136">
        <v>56.260799905746246</v>
      </c>
      <c r="BH62" s="136">
        <v>54.590570717499034</v>
      </c>
      <c r="BI62" s="136">
        <v>52.949261452312925</v>
      </c>
      <c r="BJ62" s="136">
        <v>51.341283118104073</v>
      </c>
      <c r="BK62" s="136">
        <v>49.763845064562545</v>
      </c>
      <c r="BL62" s="136">
        <v>48.22505886183874</v>
      </c>
    </row>
    <row r="63" spans="2:64">
      <c r="C63" t="s">
        <v>129</v>
      </c>
      <c r="D63" s="136">
        <v>0.38051443233678001</v>
      </c>
      <c r="E63" s="136">
        <v>0.38910666251156001</v>
      </c>
      <c r="F63" s="136">
        <v>0.39194349447019999</v>
      </c>
      <c r="G63" s="136">
        <v>0.39690611932356001</v>
      </c>
      <c r="H63" s="136">
        <v>0.38786150416613002</v>
      </c>
      <c r="I63" s="136">
        <v>0.39250936859375002</v>
      </c>
      <c r="J63" s="136">
        <v>0.39445525432688999</v>
      </c>
      <c r="K63" s="136">
        <v>0.40367657713198002</v>
      </c>
      <c r="L63" s="136">
        <v>0.41716092208700001</v>
      </c>
      <c r="M63" s="136">
        <v>0.42889339550025002</v>
      </c>
      <c r="N63" s="136">
        <v>0.43327831812097001</v>
      </c>
      <c r="O63" s="136">
        <v>0.43819658682992996</v>
      </c>
      <c r="P63" s="136">
        <v>0.41880379836026999</v>
      </c>
      <c r="Q63" s="136">
        <v>0.41934405023013999</v>
      </c>
      <c r="R63" s="136">
        <v>0.42315384330873002</v>
      </c>
      <c r="S63" s="136">
        <v>0.42285667032323998</v>
      </c>
      <c r="T63" s="136">
        <v>0.42525321736535998</v>
      </c>
      <c r="U63" s="136">
        <v>0.42634339362064999</v>
      </c>
      <c r="V63" s="136">
        <v>0.42634630393167999</v>
      </c>
      <c r="W63" s="136">
        <v>0.43075928763952998</v>
      </c>
      <c r="X63" s="136">
        <v>0.43929219073337</v>
      </c>
      <c r="Y63" s="136">
        <v>0.44618767611742</v>
      </c>
      <c r="Z63" s="136">
        <v>0.45401259371993002</v>
      </c>
      <c r="AA63" s="136">
        <v>0.46456826074410001</v>
      </c>
      <c r="AB63" s="136">
        <v>0.47869731474375005</v>
      </c>
      <c r="AC63" s="136">
        <v>0.49352953447419995</v>
      </c>
      <c r="AD63" s="136">
        <v>0.51145427377847996</v>
      </c>
      <c r="AE63" s="136">
        <v>0.52451953326306</v>
      </c>
      <c r="AF63" s="136">
        <v>0.53648152524124004</v>
      </c>
      <c r="AG63" s="136">
        <v>0.55165020438433998</v>
      </c>
      <c r="AH63" s="136">
        <v>0.56086822690097005</v>
      </c>
      <c r="AI63" s="136">
        <v>0.56723336997164475</v>
      </c>
      <c r="AJ63" s="136">
        <v>0.57676798115422212</v>
      </c>
      <c r="AK63" s="136">
        <v>0.58632433905745218</v>
      </c>
      <c r="AL63" s="136">
        <v>0.59566956901614243</v>
      </c>
      <c r="AM63" s="136">
        <v>0.60496864752063928</v>
      </c>
      <c r="AN63" s="136">
        <v>0.61404752253280215</v>
      </c>
      <c r="AO63" s="136">
        <v>0.62300354030050364</v>
      </c>
      <c r="AP63" s="136">
        <v>0.63179535613608406</v>
      </c>
      <c r="AQ63" s="136">
        <v>0.64036327214182909</v>
      </c>
      <c r="AR63" s="136">
        <v>0.64870917121466465</v>
      </c>
      <c r="AS63" s="136">
        <v>0.65348167865003381</v>
      </c>
      <c r="AT63" s="136">
        <v>0.65807275208532889</v>
      </c>
      <c r="AU63" s="136">
        <v>0.66243883785380331</v>
      </c>
      <c r="AV63" s="136">
        <v>0.6665730054248088</v>
      </c>
      <c r="AW63" s="136">
        <v>0.67050079260254714</v>
      </c>
      <c r="AX63" s="136">
        <v>0.67433982106560786</v>
      </c>
      <c r="AY63" s="136">
        <v>0.67811321807729641</v>
      </c>
      <c r="AZ63" s="136">
        <v>0.68183410531130784</v>
      </c>
      <c r="BA63" s="136">
        <v>0.68549997697253806</v>
      </c>
      <c r="BB63" s="136">
        <v>0.6891153417291328</v>
      </c>
      <c r="BC63" s="136">
        <v>0.6923714040822132</v>
      </c>
      <c r="BD63" s="136">
        <v>0.69557709847718685</v>
      </c>
      <c r="BE63" s="136">
        <v>0.6987410220050676</v>
      </c>
      <c r="BF63" s="136">
        <v>0.70185146128303488</v>
      </c>
      <c r="BG63" s="136">
        <v>0.70491717354722061</v>
      </c>
      <c r="BH63" s="136">
        <v>0.70792915556860514</v>
      </c>
      <c r="BI63" s="136">
        <v>0.71087421857431221</v>
      </c>
      <c r="BJ63" s="136">
        <v>0.71379190956722427</v>
      </c>
      <c r="BK63" s="136">
        <v>0.71664781855164905</v>
      </c>
      <c r="BL63" s="136">
        <v>0.71947815238018409</v>
      </c>
    </row>
    <row r="64" spans="2:64">
      <c r="B64" s="109" t="s">
        <v>1094</v>
      </c>
      <c r="C64" t="s">
        <v>1095</v>
      </c>
      <c r="D64" s="136">
        <v>929.92214799999999</v>
      </c>
      <c r="E64" s="136">
        <v>924.65187199999991</v>
      </c>
      <c r="F64" s="136">
        <v>484.07010000000002</v>
      </c>
      <c r="G64" s="136">
        <v>233.207055</v>
      </c>
      <c r="H64" s="136">
        <v>217.51035028647948</v>
      </c>
      <c r="I64" s="136">
        <v>202.20309806580977</v>
      </c>
      <c r="J64" s="136">
        <v>357.9741063061561</v>
      </c>
      <c r="K64" s="136">
        <v>340.09044180247832</v>
      </c>
      <c r="L64" s="136">
        <v>273.73523719662614</v>
      </c>
      <c r="M64" s="136">
        <v>285.48593529563186</v>
      </c>
      <c r="N64" s="136">
        <v>320.78752337609922</v>
      </c>
      <c r="O64" s="136">
        <v>390.70367253936473</v>
      </c>
      <c r="P64" s="136">
        <v>509.11067924658619</v>
      </c>
      <c r="Q64" s="136">
        <v>655.77862267381875</v>
      </c>
      <c r="R64" s="136">
        <v>710.53597295586712</v>
      </c>
      <c r="S64" s="136">
        <v>788.72714877751685</v>
      </c>
      <c r="T64" s="136">
        <v>926.37636069395774</v>
      </c>
      <c r="U64" s="136">
        <v>985.26985465396876</v>
      </c>
      <c r="V64" s="136">
        <v>1077.998628001684</v>
      </c>
      <c r="W64" s="136">
        <v>1151.8680006789793</v>
      </c>
      <c r="X64" s="136">
        <v>1171.0565657742036</v>
      </c>
      <c r="Y64" s="136">
        <v>1231.7613266024246</v>
      </c>
      <c r="Z64" s="136">
        <v>1330.5241567734602</v>
      </c>
      <c r="AA64" s="136">
        <v>1377.1653247860399</v>
      </c>
      <c r="AB64" s="136">
        <v>1425.7947377335977</v>
      </c>
      <c r="AC64" s="136">
        <v>1461.0016081399463</v>
      </c>
      <c r="AD64" s="136">
        <v>1485.3652731690643</v>
      </c>
      <c r="AE64" s="136">
        <v>1540.9876222988848</v>
      </c>
      <c r="AF64" s="136">
        <v>1565.9002562713001</v>
      </c>
      <c r="AG64" s="136">
        <v>1585.879935050873</v>
      </c>
      <c r="AH64" s="136">
        <v>1584.6584758367771</v>
      </c>
      <c r="AI64" s="136">
        <v>1602.6414875307321</v>
      </c>
      <c r="AJ64" s="136">
        <v>1630.669053175923</v>
      </c>
      <c r="AK64" s="136">
        <v>1571.368738163377</v>
      </c>
      <c r="AL64" s="136">
        <v>1606.0923282349156</v>
      </c>
      <c r="AM64" s="136">
        <v>1576.6330239079521</v>
      </c>
      <c r="AN64" s="136">
        <v>1565.6918586114273</v>
      </c>
      <c r="AO64" s="136">
        <v>1521.7953064951453</v>
      </c>
      <c r="AP64" s="136">
        <v>1483.6258225018876</v>
      </c>
      <c r="AQ64" s="136">
        <v>1465.163730404749</v>
      </c>
      <c r="AR64" s="136">
        <v>1280.0520263959086</v>
      </c>
      <c r="AS64" s="136">
        <v>1243.5330020903618</v>
      </c>
      <c r="AT64" s="136">
        <v>1209.3828217756345</v>
      </c>
      <c r="AU64" s="136">
        <v>1165.8520849303061</v>
      </c>
      <c r="AV64" s="136">
        <v>1129.0775336898162</v>
      </c>
      <c r="AW64" s="136">
        <v>1124.657608950419</v>
      </c>
      <c r="AX64" s="136">
        <v>1088.867621117362</v>
      </c>
      <c r="AY64" s="136">
        <v>1068.7992477383025</v>
      </c>
      <c r="AZ64" s="136">
        <v>1050.5642935082608</v>
      </c>
      <c r="BA64" s="136">
        <v>1034.2791217409351</v>
      </c>
      <c r="BB64" s="136">
        <v>1007.1399697694216</v>
      </c>
      <c r="BC64" s="136">
        <v>996.46508794359397</v>
      </c>
      <c r="BD64" s="136">
        <v>988.23518750858875</v>
      </c>
      <c r="BE64" s="136">
        <v>984.54175169645782</v>
      </c>
      <c r="BF64" s="136">
        <v>983.31123006937787</v>
      </c>
      <c r="BG64" s="136">
        <v>984.39143158928277</v>
      </c>
      <c r="BH64" s="136">
        <v>988.34114572960277</v>
      </c>
      <c r="BI64" s="136">
        <v>995.09059623702979</v>
      </c>
      <c r="BJ64" s="136">
        <v>1003.6118574398358</v>
      </c>
      <c r="BK64" s="136">
        <v>1013.1525412564018</v>
      </c>
      <c r="BL64" s="136">
        <v>1025.2581700820701</v>
      </c>
    </row>
    <row r="65" spans="2:64">
      <c r="B65" s="109" t="s">
        <v>1096</v>
      </c>
      <c r="C65" t="s">
        <v>127</v>
      </c>
      <c r="D65" s="136">
        <v>25501.03012829995</v>
      </c>
      <c r="E65" s="136">
        <v>26181.134371891596</v>
      </c>
      <c r="F65" s="136">
        <v>28165.425149143382</v>
      </c>
      <c r="G65" s="136">
        <v>27759.35983996456</v>
      </c>
      <c r="H65" s="136">
        <v>27898.307382731935</v>
      </c>
      <c r="I65" s="136">
        <v>28001.677197127421</v>
      </c>
      <c r="J65" s="136">
        <v>29302.840381859474</v>
      </c>
      <c r="K65" s="136">
        <v>31277.228395215941</v>
      </c>
      <c r="L65" s="136">
        <v>29856.618240044125</v>
      </c>
      <c r="M65" s="136">
        <v>31463.477367915686</v>
      </c>
      <c r="N65" s="136">
        <v>32243.956064900231</v>
      </c>
      <c r="O65" s="136">
        <v>34377.167200122531</v>
      </c>
      <c r="P65" s="136">
        <v>34540.392057992343</v>
      </c>
      <c r="Q65" s="136">
        <v>36239.433483717497</v>
      </c>
      <c r="R65" s="136">
        <v>35833.565754087518</v>
      </c>
      <c r="S65" s="136">
        <v>37420.488362374112</v>
      </c>
      <c r="T65" s="136">
        <v>37326.777368250514</v>
      </c>
      <c r="U65" s="136">
        <v>36407.362662100502</v>
      </c>
      <c r="V65" s="136">
        <v>37506.116079398111</v>
      </c>
      <c r="W65" s="136">
        <v>34617.502200513853</v>
      </c>
      <c r="X65" s="136">
        <v>34807.477210901685</v>
      </c>
      <c r="Y65" s="136">
        <v>34262.086561655058</v>
      </c>
      <c r="Z65" s="136">
        <v>35941.297667208317</v>
      </c>
      <c r="AA65" s="136">
        <v>35238.242644432357</v>
      </c>
      <c r="AB65" s="136">
        <v>35436.463457001279</v>
      </c>
      <c r="AC65" s="136">
        <v>35810.547028604844</v>
      </c>
      <c r="AD65" s="136">
        <v>34150.284804311566</v>
      </c>
      <c r="AE65" s="136">
        <v>35685.814905589788</v>
      </c>
      <c r="AF65" s="136">
        <v>35702.125080359547</v>
      </c>
      <c r="AG65" s="136">
        <v>37117.824320977859</v>
      </c>
      <c r="AH65" s="136">
        <v>34453.317517392126</v>
      </c>
      <c r="AI65" s="136">
        <v>36082.446718529471</v>
      </c>
      <c r="AJ65" s="136">
        <v>35341.7756176322</v>
      </c>
      <c r="AK65" s="136">
        <v>34517.208530384567</v>
      </c>
      <c r="AL65" s="136">
        <v>33441.319098050124</v>
      </c>
      <c r="AM65" s="136">
        <v>32339.488144185867</v>
      </c>
      <c r="AN65" s="136">
        <v>31798.901899411063</v>
      </c>
      <c r="AO65" s="136">
        <v>31158.817544932241</v>
      </c>
      <c r="AP65" s="136">
        <v>30459.002914830326</v>
      </c>
      <c r="AQ65" s="136">
        <v>29672.483844404927</v>
      </c>
      <c r="AR65" s="136">
        <v>28019.494619184221</v>
      </c>
      <c r="AS65" s="136">
        <v>26878.595816374171</v>
      </c>
      <c r="AT65" s="136">
        <v>25697.272422555925</v>
      </c>
      <c r="AU65" s="136">
        <v>24592.515978824285</v>
      </c>
      <c r="AV65" s="136">
        <v>23488.364522426615</v>
      </c>
      <c r="AW65" s="136">
        <v>22254.960345060037</v>
      </c>
      <c r="AX65" s="136">
        <v>21013.713567186471</v>
      </c>
      <c r="AY65" s="136">
        <v>19758.823860570752</v>
      </c>
      <c r="AZ65" s="136">
        <v>18628.857317964677</v>
      </c>
      <c r="BA65" s="136">
        <v>17616.250921849311</v>
      </c>
      <c r="BB65" s="136">
        <v>15877.699224761143</v>
      </c>
      <c r="BC65" s="136">
        <v>15023.62809408483</v>
      </c>
      <c r="BD65" s="136">
        <v>14102.838002158733</v>
      </c>
      <c r="BE65" s="136">
        <v>13251.818137480483</v>
      </c>
      <c r="BF65" s="136">
        <v>12420.863620969165</v>
      </c>
      <c r="BG65" s="136">
        <v>11613.05604076529</v>
      </c>
      <c r="BH65" s="136">
        <v>10944.980956328955</v>
      </c>
      <c r="BI65" s="136">
        <v>10363.843724966113</v>
      </c>
      <c r="BJ65" s="136">
        <v>9773.3746798315806</v>
      </c>
      <c r="BK65" s="136">
        <v>9152.7749352915198</v>
      </c>
      <c r="BL65" s="136">
        <v>8607.965366042461</v>
      </c>
    </row>
    <row r="66" spans="2:64">
      <c r="C66" t="s">
        <v>128</v>
      </c>
      <c r="D66" s="136">
        <v>1318.8288975581183</v>
      </c>
      <c r="E66" s="136">
        <v>1328.2490677582796</v>
      </c>
      <c r="F66" s="136">
        <v>1311.6813314273531</v>
      </c>
      <c r="G66" s="136">
        <v>1323.6007178460275</v>
      </c>
      <c r="H66" s="136">
        <v>1359.5880879039071</v>
      </c>
      <c r="I66" s="136">
        <v>1369.4199401945921</v>
      </c>
      <c r="J66" s="136">
        <v>1395.1787688958864</v>
      </c>
      <c r="K66" s="136">
        <v>1426.9749555992635</v>
      </c>
      <c r="L66" s="136">
        <v>1400.876022881135</v>
      </c>
      <c r="M66" s="136">
        <v>1405.0427742222244</v>
      </c>
      <c r="N66" s="136">
        <v>1437.9856667890772</v>
      </c>
      <c r="O66" s="136">
        <v>1454.7449982570854</v>
      </c>
      <c r="P66" s="136">
        <v>1443.114159677878</v>
      </c>
      <c r="Q66" s="136">
        <v>1446.3476338290409</v>
      </c>
      <c r="R66" s="136">
        <v>1448.5270487264456</v>
      </c>
      <c r="S66" s="136">
        <v>1460.8400847354351</v>
      </c>
      <c r="T66" s="136">
        <v>1473.9298780793547</v>
      </c>
      <c r="U66" s="136">
        <v>1431.7003877858899</v>
      </c>
      <c r="V66" s="136">
        <v>1374.70888140496</v>
      </c>
      <c r="W66" s="136">
        <v>1380.8132716106577</v>
      </c>
      <c r="X66" s="136">
        <v>1390.5015831253495</v>
      </c>
      <c r="Y66" s="136">
        <v>1397.2369857004178</v>
      </c>
      <c r="Z66" s="136">
        <v>1409.4519662887351</v>
      </c>
      <c r="AA66" s="136">
        <v>1407.4089449915582</v>
      </c>
      <c r="AB66" s="136">
        <v>1419.3829412674022</v>
      </c>
      <c r="AC66" s="136">
        <v>1399.5022123063034</v>
      </c>
      <c r="AD66" s="136">
        <v>1381.4803892154418</v>
      </c>
      <c r="AE66" s="136">
        <v>1376.5751847298511</v>
      </c>
      <c r="AF66" s="136">
        <v>1377.7743429297698</v>
      </c>
      <c r="AG66" s="136">
        <v>1380.3579602829063</v>
      </c>
      <c r="AH66" s="136">
        <v>1370.8586827042357</v>
      </c>
      <c r="AI66" s="136">
        <v>1344.8598216270061</v>
      </c>
      <c r="AJ66" s="136">
        <v>1325.1984602125253</v>
      </c>
      <c r="AK66" s="136">
        <v>1306.7539878244183</v>
      </c>
      <c r="AL66" s="136">
        <v>1288.813384300003</v>
      </c>
      <c r="AM66" s="136">
        <v>1270.6431501023148</v>
      </c>
      <c r="AN66" s="136">
        <v>1256.0342047905469</v>
      </c>
      <c r="AO66" s="136">
        <v>1242.0476141964457</v>
      </c>
      <c r="AP66" s="136">
        <v>1227.5734811156399</v>
      </c>
      <c r="AQ66" s="136">
        <v>1213.505406856995</v>
      </c>
      <c r="AR66" s="136">
        <v>1196.8859290923394</v>
      </c>
      <c r="AS66" s="136">
        <v>1186.2330798467301</v>
      </c>
      <c r="AT66" s="136">
        <v>1175.3338127974159</v>
      </c>
      <c r="AU66" s="136">
        <v>1165.3065171503088</v>
      </c>
      <c r="AV66" s="136">
        <v>1155.116303530004</v>
      </c>
      <c r="AW66" s="136">
        <v>1145.1545835197248</v>
      </c>
      <c r="AX66" s="136">
        <v>1134.7943666721574</v>
      </c>
      <c r="AY66" s="136">
        <v>1124.9934711139097</v>
      </c>
      <c r="AZ66" s="136">
        <v>1115.9114683050861</v>
      </c>
      <c r="BA66" s="136">
        <v>1106.7961162684146</v>
      </c>
      <c r="BB66" s="136">
        <v>1094.9266728550706</v>
      </c>
      <c r="BC66" s="136">
        <v>1088.1798789810796</v>
      </c>
      <c r="BD66" s="136">
        <v>1081.8276872406625</v>
      </c>
      <c r="BE66" s="136">
        <v>1075.4659398370904</v>
      </c>
      <c r="BF66" s="136">
        <v>1069.1060856490935</v>
      </c>
      <c r="BG66" s="136">
        <v>1064.0870013512824</v>
      </c>
      <c r="BH66" s="136">
        <v>1058.4548629634307</v>
      </c>
      <c r="BI66" s="136">
        <v>1052.537972998919</v>
      </c>
      <c r="BJ66" s="136">
        <v>1046.54682977892</v>
      </c>
      <c r="BK66" s="136">
        <v>1040.6350298501698</v>
      </c>
      <c r="BL66" s="136">
        <v>1035.3241564014359</v>
      </c>
    </row>
    <row r="67" spans="2:64">
      <c r="C67" t="s">
        <v>129</v>
      </c>
      <c r="D67" s="136">
        <v>19.435905159773778</v>
      </c>
      <c r="E67" s="136">
        <v>19.664498818274456</v>
      </c>
      <c r="F67" s="136">
        <v>19.755788107974723</v>
      </c>
      <c r="G67" s="136">
        <v>20.496846499349211</v>
      </c>
      <c r="H67" s="136">
        <v>21.25631863450559</v>
      </c>
      <c r="I67" s="136">
        <v>22.046693317613492</v>
      </c>
      <c r="J67" s="136">
        <v>22.307759164457948</v>
      </c>
      <c r="K67" s="136">
        <v>22.59208014489332</v>
      </c>
      <c r="L67" s="136">
        <v>22.369848891122246</v>
      </c>
      <c r="M67" s="136">
        <v>22.473502688319076</v>
      </c>
      <c r="N67" s="136">
        <v>23.478684314600855</v>
      </c>
      <c r="O67" s="136">
        <v>24.708785579511741</v>
      </c>
      <c r="P67" s="136">
        <v>25.045301855249729</v>
      </c>
      <c r="Q67" s="136">
        <v>25.926977176476115</v>
      </c>
      <c r="R67" s="136">
        <v>26.37342914330571</v>
      </c>
      <c r="S67" s="136">
        <v>26.611548135302737</v>
      </c>
      <c r="T67" s="136">
        <v>25.925276289831405</v>
      </c>
      <c r="U67" s="136">
        <v>25.2918102417973</v>
      </c>
      <c r="V67" s="136">
        <v>25.291922074710534</v>
      </c>
      <c r="W67" s="136">
        <v>25.300545015893018</v>
      </c>
      <c r="X67" s="136">
        <v>25.769921895136864</v>
      </c>
      <c r="Y67" s="136">
        <v>26.374391554453133</v>
      </c>
      <c r="Z67" s="136">
        <v>26.740210498088224</v>
      </c>
      <c r="AA67" s="136">
        <v>26.846629363461947</v>
      </c>
      <c r="AB67" s="136">
        <v>27.742223731070013</v>
      </c>
      <c r="AC67" s="136">
        <v>27.471206658333955</v>
      </c>
      <c r="AD67" s="136">
        <v>27.565690694032838</v>
      </c>
      <c r="AE67" s="136">
        <v>27.665124869470571</v>
      </c>
      <c r="AF67" s="136">
        <v>28.063519969326819</v>
      </c>
      <c r="AG67" s="136">
        <v>28.185772039120344</v>
      </c>
      <c r="AH67" s="136">
        <v>28.401675728399365</v>
      </c>
      <c r="AI67" s="136">
        <v>27.677563126419496</v>
      </c>
      <c r="AJ67" s="136">
        <v>27.398513495718351</v>
      </c>
      <c r="AK67" s="136">
        <v>27.159043989887582</v>
      </c>
      <c r="AL67" s="136">
        <v>26.925917705938954</v>
      </c>
      <c r="AM67" s="136">
        <v>26.694207187846064</v>
      </c>
      <c r="AN67" s="136">
        <v>26.506976806676931</v>
      </c>
      <c r="AO67" s="136">
        <v>26.335131819281855</v>
      </c>
      <c r="AP67" s="136">
        <v>26.086258982714732</v>
      </c>
      <c r="AQ67" s="136">
        <v>25.826733423731437</v>
      </c>
      <c r="AR67" s="136">
        <v>25.529418674549234</v>
      </c>
      <c r="AS67" s="136">
        <v>25.261814013764038</v>
      </c>
      <c r="AT67" s="136">
        <v>24.982018442708409</v>
      </c>
      <c r="AU67" s="136">
        <v>24.718752224491357</v>
      </c>
      <c r="AV67" s="136">
        <v>24.449135070602761</v>
      </c>
      <c r="AW67" s="136">
        <v>24.181317298551807</v>
      </c>
      <c r="AX67" s="136">
        <v>23.929946351839096</v>
      </c>
      <c r="AY67" s="136">
        <v>23.690108728315248</v>
      </c>
      <c r="AZ67" s="136">
        <v>23.465508386515168</v>
      </c>
      <c r="BA67" s="136">
        <v>23.238765470287255</v>
      </c>
      <c r="BB67" s="136">
        <v>22.971861639362686</v>
      </c>
      <c r="BC67" s="136">
        <v>22.819777303474122</v>
      </c>
      <c r="BD67" s="136">
        <v>22.675240958884917</v>
      </c>
      <c r="BE67" s="136">
        <v>22.532115098805019</v>
      </c>
      <c r="BF67" s="136">
        <v>22.391257601207954</v>
      </c>
      <c r="BG67" s="136">
        <v>22.275556237687216</v>
      </c>
      <c r="BH67" s="136">
        <v>22.145009569600063</v>
      </c>
      <c r="BI67" s="136">
        <v>22.002784783784954</v>
      </c>
      <c r="BJ67" s="136">
        <v>21.858927665844483</v>
      </c>
      <c r="BK67" s="136">
        <v>21.719152169648101</v>
      </c>
      <c r="BL67" s="136">
        <v>21.591055078015607</v>
      </c>
    </row>
    <row r="68" spans="2:64">
      <c r="C68" t="s">
        <v>1097</v>
      </c>
      <c r="AH68">
        <f ca="1">AH65+GWP_N2O*AH67+'Demonstration path data'!AH34</f>
        <v>33919.536365985885</v>
      </c>
      <c r="AI68">
        <f ca="1">AI65+GWP_N2O*AI67+'Demonstration path data'!AI34</f>
        <v>36144.790810447106</v>
      </c>
      <c r="AJ68">
        <f ca="1">AJ65+GWP_N2O*AJ67+'Demonstration path data'!AJ34</f>
        <v>36287.479510542944</v>
      </c>
      <c r="AK68">
        <f ca="1">AK65+GWP_N2O*AK67+'Demonstration path data'!AK34</f>
        <v>35582.822349427886</v>
      </c>
      <c r="AL68">
        <f ca="1">AL65+GWP_N2O*AL67+'Demonstration path data'!AL34</f>
        <v>34525.552335759159</v>
      </c>
      <c r="AM68">
        <f ca="1">AM65+GWP_N2O*AM67+'Demonstration path data'!AM34</f>
        <v>32640.265324153632</v>
      </c>
      <c r="AN68">
        <f ca="1">AN65+GWP_N2O*AN67+'Demonstration path data'!AN34</f>
        <v>29885.905416164176</v>
      </c>
      <c r="AO68">
        <f ca="1">AO65+GWP_N2O*AO67+'Demonstration path data'!AO34</f>
        <v>27649.900542246785</v>
      </c>
      <c r="AP68">
        <f ca="1">AP65+GWP_N2O*AP67+'Demonstration path data'!AP34</f>
        <v>24936.723901074605</v>
      </c>
      <c r="AQ68">
        <f ca="1">AQ65+GWP_N2O*AQ67+'Demonstration path data'!AQ34</f>
        <v>22940.463487378351</v>
      </c>
      <c r="AR68">
        <f ca="1">AR65+GWP_N2O*AR67+'Demonstration path data'!AR34</f>
        <v>20661.083356969342</v>
      </c>
      <c r="AS68">
        <f ca="1">AS65+GWP_N2O*AS67+'Demonstration path data'!AS34</f>
        <v>18465.521835319687</v>
      </c>
      <c r="AT68">
        <f ca="1">AT65+GWP_N2O*AT67+'Demonstration path data'!AT34</f>
        <v>16385.331327416039</v>
      </c>
      <c r="AU68">
        <f ca="1">AU65+GWP_N2O*AU67+'Demonstration path data'!AU34</f>
        <v>14308.488807198584</v>
      </c>
      <c r="AV68">
        <f ca="1">AV65+GWP_N2O*AV67+'Demonstration path data'!AV34</f>
        <v>12305.845352142893</v>
      </c>
      <c r="AW68">
        <f ca="1">AW65+GWP_N2O*AW67+'Demonstration path data'!AW34</f>
        <v>10115.359241403377</v>
      </c>
      <c r="AX68">
        <f ca="1">AX65+GWP_N2O*AX67+'Demonstration path data'!AX34</f>
        <v>7614.0243921962719</v>
      </c>
      <c r="AY68">
        <f ca="1">AY65+GWP_N2O*AY67+'Demonstration path data'!AY34</f>
        <v>4615.1829028084103</v>
      </c>
      <c r="AZ68">
        <f ca="1">AZ65+GWP_N2O*AZ67+'Demonstration path data'!AZ34</f>
        <v>2268.7634018729477</v>
      </c>
      <c r="BA68">
        <f ca="1">BA65+GWP_N2O*BA67+'Demonstration path data'!BA34</f>
        <v>43.419361009702698</v>
      </c>
      <c r="BB68">
        <f ca="1">BB65+GWP_N2O*BB67+'Demonstration path data'!BB34</f>
        <v>-2864.8835861442603</v>
      </c>
      <c r="BC68">
        <f ca="1">BC65+GWP_N2O*BC67+'Demonstration path data'!BC34</f>
        <v>-4802.9782555256024</v>
      </c>
      <c r="BD68">
        <f ca="1">BD65+GWP_N2O*BD67+'Demonstration path data'!BD34</f>
        <v>-6346.5104623773113</v>
      </c>
      <c r="BE68">
        <f ca="1">BE65+GWP_N2O*BE67+'Demonstration path data'!BE34</f>
        <v>-7312.1367335789109</v>
      </c>
      <c r="BF68">
        <f ca="1">BF65+GWP_N2O*BF67+'Demonstration path data'!BF34</f>
        <v>-7965.1417679888982</v>
      </c>
      <c r="BG68">
        <f ca="1">BG65+GWP_N2O*BG67+'Demonstration path data'!BG34</f>
        <v>-8321.7275535043882</v>
      </c>
      <c r="BH68">
        <f ca="1">BH65+GWP_N2O*BH67+'Demonstration path data'!BH34</f>
        <v>-9088.9789012048532</v>
      </c>
      <c r="BI68">
        <f ca="1">BI65+GWP_N2O*BI67+'Demonstration path data'!BI34</f>
        <v>-9714.3978174387194</v>
      </c>
      <c r="BJ68">
        <f ca="1">BJ65+GWP_N2O*BJ67+'Demonstration path data'!BJ34</f>
        <v>-10272.166419571102</v>
      </c>
      <c r="BK68">
        <f ca="1">BK65+GWP_N2O*BK67+'Demonstration path data'!BK34</f>
        <v>-10707.633014380768</v>
      </c>
      <c r="BL68">
        <f ca="1">BL65+GWP_N2O*BL67+'Demonstration path data'!BL34</f>
        <v>-11150.642136578397</v>
      </c>
    </row>
    <row r="69" spans="2:64">
      <c r="C69" t="s">
        <v>1098</v>
      </c>
      <c r="D69">
        <f>D68/1000</f>
        <v>0</v>
      </c>
      <c r="E69">
        <f t="shared" ref="E69:BL69" si="2">E68/1000</f>
        <v>0</v>
      </c>
      <c r="F69">
        <f t="shared" si="2"/>
        <v>0</v>
      </c>
      <c r="G69">
        <f t="shared" si="2"/>
        <v>0</v>
      </c>
      <c r="H69">
        <f t="shared" si="2"/>
        <v>0</v>
      </c>
      <c r="I69">
        <f t="shared" si="2"/>
        <v>0</v>
      </c>
      <c r="J69">
        <f t="shared" si="2"/>
        <v>0</v>
      </c>
      <c r="K69">
        <f t="shared" si="2"/>
        <v>0</v>
      </c>
      <c r="L69">
        <f t="shared" si="2"/>
        <v>0</v>
      </c>
      <c r="M69">
        <f t="shared" si="2"/>
        <v>0</v>
      </c>
      <c r="N69">
        <f t="shared" si="2"/>
        <v>0</v>
      </c>
      <c r="O69">
        <f t="shared" si="2"/>
        <v>0</v>
      </c>
      <c r="P69">
        <f t="shared" si="2"/>
        <v>0</v>
      </c>
      <c r="Q69">
        <f t="shared" si="2"/>
        <v>0</v>
      </c>
      <c r="R69">
        <f t="shared" si="2"/>
        <v>0</v>
      </c>
      <c r="S69">
        <f t="shared" si="2"/>
        <v>0</v>
      </c>
      <c r="T69">
        <f t="shared" si="2"/>
        <v>0</v>
      </c>
      <c r="U69">
        <f t="shared" si="2"/>
        <v>0</v>
      </c>
      <c r="V69">
        <f t="shared" si="2"/>
        <v>0</v>
      </c>
      <c r="W69">
        <f t="shared" si="2"/>
        <v>0</v>
      </c>
      <c r="X69">
        <f t="shared" si="2"/>
        <v>0</v>
      </c>
      <c r="Y69">
        <f t="shared" si="2"/>
        <v>0</v>
      </c>
      <c r="Z69">
        <f t="shared" si="2"/>
        <v>0</v>
      </c>
      <c r="AA69">
        <f t="shared" si="2"/>
        <v>0</v>
      </c>
      <c r="AB69">
        <f t="shared" si="2"/>
        <v>0</v>
      </c>
      <c r="AC69">
        <f t="shared" si="2"/>
        <v>0</v>
      </c>
      <c r="AD69">
        <f t="shared" si="2"/>
        <v>0</v>
      </c>
      <c r="AE69">
        <f t="shared" si="2"/>
        <v>0</v>
      </c>
      <c r="AF69">
        <f t="shared" si="2"/>
        <v>0</v>
      </c>
      <c r="AG69">
        <f t="shared" si="2"/>
        <v>0</v>
      </c>
      <c r="AH69">
        <f t="shared" ca="1" si="2"/>
        <v>33.919536365985884</v>
      </c>
      <c r="AI69">
        <f t="shared" ca="1" si="2"/>
        <v>36.144790810447105</v>
      </c>
      <c r="AJ69">
        <f t="shared" ca="1" si="2"/>
        <v>36.287479510542944</v>
      </c>
      <c r="AK69">
        <f t="shared" ca="1" si="2"/>
        <v>35.582822349427886</v>
      </c>
      <c r="AL69">
        <f t="shared" ca="1" si="2"/>
        <v>34.525552335759158</v>
      </c>
      <c r="AM69">
        <f t="shared" ca="1" si="2"/>
        <v>32.640265324153631</v>
      </c>
      <c r="AN69">
        <f t="shared" ca="1" si="2"/>
        <v>29.885905416164174</v>
      </c>
      <c r="AO69">
        <f t="shared" ca="1" si="2"/>
        <v>27.649900542246787</v>
      </c>
      <c r="AP69">
        <f t="shared" ca="1" si="2"/>
        <v>24.936723901074604</v>
      </c>
      <c r="AQ69">
        <f t="shared" ca="1" si="2"/>
        <v>22.940463487378352</v>
      </c>
      <c r="AR69">
        <f t="shared" ca="1" si="2"/>
        <v>20.661083356969343</v>
      </c>
      <c r="AS69">
        <f t="shared" ca="1" si="2"/>
        <v>18.465521835319688</v>
      </c>
      <c r="AT69">
        <f t="shared" ca="1" si="2"/>
        <v>16.38533132741604</v>
      </c>
      <c r="AU69">
        <f t="shared" ca="1" si="2"/>
        <v>14.308488807198584</v>
      </c>
      <c r="AV69">
        <f t="shared" ca="1" si="2"/>
        <v>12.305845352142892</v>
      </c>
      <c r="AW69">
        <f t="shared" ca="1" si="2"/>
        <v>10.115359241403377</v>
      </c>
      <c r="AX69">
        <f t="shared" ca="1" si="2"/>
        <v>7.6140243921962716</v>
      </c>
      <c r="AY69">
        <f t="shared" ca="1" si="2"/>
        <v>4.6151829028084101</v>
      </c>
      <c r="AZ69">
        <f t="shared" ca="1" si="2"/>
        <v>2.2687634018729477</v>
      </c>
      <c r="BA69">
        <f t="shared" ca="1" si="2"/>
        <v>4.3419361009702701E-2</v>
      </c>
      <c r="BB69">
        <f t="shared" ca="1" si="2"/>
        <v>-2.8648835861442605</v>
      </c>
      <c r="BC69">
        <f t="shared" ca="1" si="2"/>
        <v>-4.8029782555256029</v>
      </c>
      <c r="BD69">
        <f t="shared" ca="1" si="2"/>
        <v>-6.346510462377311</v>
      </c>
      <c r="BE69">
        <f t="shared" ca="1" si="2"/>
        <v>-7.3121367335789111</v>
      </c>
      <c r="BF69">
        <f t="shared" ca="1" si="2"/>
        <v>-7.9651417679888983</v>
      </c>
      <c r="BG69">
        <f t="shared" ca="1" si="2"/>
        <v>-8.3217275535043882</v>
      </c>
      <c r="BH69">
        <f t="shared" ca="1" si="2"/>
        <v>-9.0889789012048539</v>
      </c>
      <c r="BI69">
        <f t="shared" ca="1" si="2"/>
        <v>-9.7143978174387193</v>
      </c>
      <c r="BJ69">
        <f t="shared" ca="1" si="2"/>
        <v>-10.272166419571102</v>
      </c>
      <c r="BK69">
        <f t="shared" ca="1" si="2"/>
        <v>-10.707633014380768</v>
      </c>
      <c r="BL69">
        <f t="shared" ca="1" si="2"/>
        <v>-11.150642136578398</v>
      </c>
    </row>
    <row r="70" spans="2:64" ht="45">
      <c r="B70" s="139" t="s">
        <v>1099</v>
      </c>
      <c r="C70" t="s">
        <v>1100</v>
      </c>
      <c r="AJ70" s="131">
        <v>-4013.1860889020945</v>
      </c>
      <c r="AK70" s="131">
        <v>-3952.304506775045</v>
      </c>
      <c r="AL70" s="131">
        <v>-4100.9890840210792</v>
      </c>
      <c r="AM70" s="131">
        <v>-5303.109030565096</v>
      </c>
      <c r="AN70" s="131">
        <v>-7236.4263708620356</v>
      </c>
      <c r="AO70" s="131">
        <v>-9012.3379084604421</v>
      </c>
      <c r="AP70" s="131">
        <v>-11052.712440683512</v>
      </c>
      <c r="AQ70" s="131">
        <v>-12312.181123108905</v>
      </c>
      <c r="AR70" s="131">
        <v>-12928.095043433561</v>
      </c>
      <c r="AS70" s="131">
        <v>-13999.542819584482</v>
      </c>
      <c r="AT70" s="131">
        <v>-15021.664972115161</v>
      </c>
      <c r="AU70" s="131">
        <v>-16129.565644429522</v>
      </c>
      <c r="AV70" s="131">
        <v>-17099.466060411469</v>
      </c>
      <c r="AW70" s="131">
        <v>-17996.334704105608</v>
      </c>
      <c r="AX70" s="131">
        <v>-19216.573120256508</v>
      </c>
      <c r="AY70" s="131">
        <v>-20570.466131833567</v>
      </c>
      <c r="AZ70" s="131">
        <v>-21778.354178617439</v>
      </c>
      <c r="BA70" s="131">
        <v>-23041.114271113984</v>
      </c>
      <c r="BB70" s="131">
        <v>-24274.60293845088</v>
      </c>
      <c r="BC70" s="131">
        <v>-25484.109909525803</v>
      </c>
      <c r="BD70" s="131">
        <v>-26098.953922638018</v>
      </c>
      <c r="BE70" s="131">
        <v>-26198.535425230741</v>
      </c>
      <c r="BF70" s="131">
        <v>-26008.249320185801</v>
      </c>
      <c r="BG70" s="131">
        <v>-25552.114395652377</v>
      </c>
      <c r="BH70" s="131">
        <v>-25632.688221930617</v>
      </c>
      <c r="BI70" s="131">
        <v>-25650.532552907014</v>
      </c>
      <c r="BJ70" s="131">
        <v>-25591.594567036536</v>
      </c>
      <c r="BK70" s="131">
        <v>-25379.665000587862</v>
      </c>
      <c r="BL70" s="131">
        <v>-25253.771833836072</v>
      </c>
    </row>
    <row r="71" spans="2:64">
      <c r="C71" t="s">
        <v>1101</v>
      </c>
      <c r="AJ71" s="131">
        <v>-2301.7160945525266</v>
      </c>
      <c r="AK71" s="131">
        <v>-2179.2283315018508</v>
      </c>
      <c r="AL71" s="131">
        <v>-1950.1458703437111</v>
      </c>
      <c r="AM71" s="131">
        <v>-1470.0786942463437</v>
      </c>
      <c r="AN71" s="131">
        <v>-1700.9189661542396</v>
      </c>
      <c r="AO71" s="131">
        <v>-1475.3890263347057</v>
      </c>
      <c r="AP71" s="131">
        <v>-1382.4252034916153</v>
      </c>
      <c r="AQ71" s="131">
        <v>-1263.9235912065033</v>
      </c>
      <c r="AR71" s="131">
        <v>-1195.6121675368613</v>
      </c>
      <c r="AS71" s="131">
        <v>-1107.9118751174701</v>
      </c>
      <c r="AT71" s="131">
        <v>-910.51101034245585</v>
      </c>
      <c r="AU71" s="131">
        <v>-704.93086668638898</v>
      </c>
      <c r="AV71" s="131">
        <v>-562.07390358198609</v>
      </c>
      <c r="AW71" s="131">
        <v>-551.3154836672802</v>
      </c>
      <c r="AX71" s="131">
        <v>-524.55183797105201</v>
      </c>
      <c r="AY71" s="131">
        <v>-851.05363893231333</v>
      </c>
      <c r="AZ71" s="131">
        <v>-800.09945990080814</v>
      </c>
      <c r="BA71" s="131">
        <v>-689.99013935174662</v>
      </c>
      <c r="BB71" s="131">
        <v>-555.52320688563486</v>
      </c>
      <c r="BC71" s="131">
        <v>-389.73742550527095</v>
      </c>
      <c r="BD71" s="131">
        <v>-359.33339600252657</v>
      </c>
      <c r="BE71" s="131">
        <v>-336.42994701198404</v>
      </c>
      <c r="BF71" s="131">
        <v>-311.43933309237036</v>
      </c>
      <c r="BG71" s="131">
        <v>-285.69160160441243</v>
      </c>
      <c r="BH71" s="131">
        <v>-269.69917154720679</v>
      </c>
      <c r="BI71" s="131">
        <v>-258.44695720083109</v>
      </c>
      <c r="BJ71" s="131">
        <v>-246.56236381493363</v>
      </c>
      <c r="BK71" s="131">
        <v>-236.31827404117212</v>
      </c>
      <c r="BL71" s="131">
        <v>-226.46526445892232</v>
      </c>
    </row>
    <row r="74" spans="2:64">
      <c r="B74" s="109" t="s">
        <v>1102</v>
      </c>
      <c r="C74" t="s">
        <v>1103</v>
      </c>
      <c r="D74" s="136">
        <f>SUM(D50,D53,D56)</f>
        <v>47.964102704080702</v>
      </c>
      <c r="E74" s="136">
        <f t="shared" ref="E74:BL74" si="3">SUM(E50,E53,E56)</f>
        <v>48.088338557050946</v>
      </c>
      <c r="F74" s="136">
        <f t="shared" si="3"/>
        <v>46.969542481706462</v>
      </c>
      <c r="G74" s="136">
        <f t="shared" si="3"/>
        <v>50.200663521194429</v>
      </c>
      <c r="H74" s="136">
        <f t="shared" si="3"/>
        <v>53.761592574766574</v>
      </c>
      <c r="I74" s="136">
        <f t="shared" si="3"/>
        <v>48.374267223862063</v>
      </c>
      <c r="J74" s="136">
        <f t="shared" si="3"/>
        <v>59.918122732018212</v>
      </c>
      <c r="K74" s="136">
        <f t="shared" si="3"/>
        <v>59.728473265535278</v>
      </c>
      <c r="L74" s="136">
        <f t="shared" si="3"/>
        <v>58.850542469532385</v>
      </c>
      <c r="M74" s="136">
        <f t="shared" si="3"/>
        <v>59.798292023141293</v>
      </c>
      <c r="N74" s="136">
        <f t="shared" si="3"/>
        <v>58.997489364399129</v>
      </c>
      <c r="O74" s="136">
        <f t="shared" si="3"/>
        <v>60.291980281886993</v>
      </c>
      <c r="P74" s="136">
        <f t="shared" si="3"/>
        <v>56.590470706083295</v>
      </c>
      <c r="Q74" s="136">
        <f t="shared" si="3"/>
        <v>46.900390886138489</v>
      </c>
      <c r="R74" s="136">
        <f t="shared" si="3"/>
        <v>47.955311983024515</v>
      </c>
      <c r="S74" s="136">
        <f t="shared" si="3"/>
        <v>51.475681279697319</v>
      </c>
      <c r="T74" s="136">
        <f t="shared" si="3"/>
        <v>64.998335950228025</v>
      </c>
      <c r="U74" s="136">
        <f t="shared" si="3"/>
        <v>56.399731303700179</v>
      </c>
      <c r="V74" s="136">
        <f t="shared" si="3"/>
        <v>47.392252769011002</v>
      </c>
      <c r="W74" s="136">
        <f t="shared" si="3"/>
        <v>52.274397333903785</v>
      </c>
      <c r="X74" s="136">
        <f t="shared" si="3"/>
        <v>63.137118016967094</v>
      </c>
      <c r="Y74" s="136">
        <f t="shared" si="3"/>
        <v>59.274743063516404</v>
      </c>
      <c r="Z74" s="136">
        <f t="shared" si="3"/>
        <v>47.838842661447863</v>
      </c>
      <c r="AA74" s="136">
        <f t="shared" si="3"/>
        <v>41.156796760256235</v>
      </c>
      <c r="AB74" s="136">
        <f t="shared" si="3"/>
        <v>42.668201354198764</v>
      </c>
      <c r="AC74" s="136">
        <f t="shared" si="3"/>
        <v>43.374250767272549</v>
      </c>
      <c r="AD74" s="136">
        <f t="shared" si="3"/>
        <v>40.646234952958494</v>
      </c>
      <c r="AE74" s="136">
        <f t="shared" si="3"/>
        <v>36.066800489186747</v>
      </c>
      <c r="AF74" s="136">
        <f t="shared" si="3"/>
        <v>34.217376439610362</v>
      </c>
      <c r="AG74" s="136">
        <f t="shared" si="3"/>
        <v>33.739973656511658</v>
      </c>
      <c r="AH74" s="136">
        <f t="shared" si="3"/>
        <v>31.501296052885841</v>
      </c>
      <c r="AI74" s="136">
        <f t="shared" si="3"/>
        <v>32.054757670284914</v>
      </c>
      <c r="AJ74" s="136">
        <f t="shared" si="3"/>
        <v>32.503359857913154</v>
      </c>
      <c r="AK74" s="136">
        <f t="shared" si="3"/>
        <v>32.940080714011003</v>
      </c>
      <c r="AL74" s="136">
        <f t="shared" si="3"/>
        <v>32.831403039159618</v>
      </c>
      <c r="AM74" s="136">
        <f t="shared" si="3"/>
        <v>32.322647218274078</v>
      </c>
      <c r="AN74" s="136">
        <f t="shared" si="3"/>
        <v>32.070494271118555</v>
      </c>
      <c r="AO74" s="136">
        <f t="shared" si="3"/>
        <v>31.751246720285323</v>
      </c>
      <c r="AP74" s="136">
        <f t="shared" si="3"/>
        <v>31.431629691529906</v>
      </c>
      <c r="AQ74" s="136">
        <f t="shared" si="3"/>
        <v>31.103401785815883</v>
      </c>
      <c r="AR74" s="136">
        <f t="shared" si="3"/>
        <v>27.967976987264144</v>
      </c>
      <c r="AS74" s="136">
        <f t="shared" si="3"/>
        <v>27.524180720679812</v>
      </c>
      <c r="AT74" s="136">
        <f t="shared" si="3"/>
        <v>27.066859817018969</v>
      </c>
      <c r="AU74" s="136">
        <f t="shared" si="3"/>
        <v>26.669130161125143</v>
      </c>
      <c r="AV74" s="136">
        <f t="shared" si="3"/>
        <v>26.271536653854398</v>
      </c>
      <c r="AW74" s="136">
        <f t="shared" si="3"/>
        <v>25.853689303721641</v>
      </c>
      <c r="AX74" s="136">
        <f t="shared" si="3"/>
        <v>25.344486217717069</v>
      </c>
      <c r="AY74" s="136">
        <f t="shared" si="3"/>
        <v>24.82876286985644</v>
      </c>
      <c r="AZ74" s="136">
        <f t="shared" si="3"/>
        <v>24.324035403607187</v>
      </c>
      <c r="BA74" s="136">
        <f t="shared" si="3"/>
        <v>23.838888972413358</v>
      </c>
      <c r="BB74" s="136">
        <f t="shared" si="3"/>
        <v>20.562982675743243</v>
      </c>
      <c r="BC74" s="136">
        <f t="shared" si="3"/>
        <v>20.094709007810167</v>
      </c>
      <c r="BD74" s="136">
        <f t="shared" si="3"/>
        <v>19.542277440397676</v>
      </c>
      <c r="BE74" s="136">
        <f t="shared" si="3"/>
        <v>18.96583226957133</v>
      </c>
      <c r="BF74" s="136">
        <f t="shared" si="3"/>
        <v>18.299434620477037</v>
      </c>
      <c r="BG74" s="136">
        <f t="shared" si="3"/>
        <v>17.741059975789529</v>
      </c>
      <c r="BH74" s="136">
        <f t="shared" si="3"/>
        <v>17.204797585490816</v>
      </c>
      <c r="BI74" s="136">
        <f t="shared" si="3"/>
        <v>16.776606647758133</v>
      </c>
      <c r="BJ74" s="136">
        <f t="shared" si="3"/>
        <v>16.329474927081765</v>
      </c>
      <c r="BK74" s="136">
        <f t="shared" si="3"/>
        <v>15.736653973573638</v>
      </c>
      <c r="BL74" s="136">
        <f t="shared" si="3"/>
        <v>15.229937819790704</v>
      </c>
    </row>
    <row r="75" spans="2:64">
      <c r="B75" s="109" t="s">
        <v>1104</v>
      </c>
      <c r="C75" t="s">
        <v>1103</v>
      </c>
      <c r="D75" s="136">
        <f>SUM(D59,D62)</f>
        <v>1270.8647948540377</v>
      </c>
      <c r="E75" s="136">
        <f t="shared" ref="E75:BL75" si="4">SUM(E59,E62)</f>
        <v>1280.1607292012286</v>
      </c>
      <c r="F75" s="136">
        <f t="shared" si="4"/>
        <v>1264.7117889456467</v>
      </c>
      <c r="G75" s="136">
        <f t="shared" si="4"/>
        <v>1273.400054324833</v>
      </c>
      <c r="H75" s="136">
        <f t="shared" si="4"/>
        <v>1305.8264953291405</v>
      </c>
      <c r="I75" s="136">
        <f t="shared" si="4"/>
        <v>1321.0456729707298</v>
      </c>
      <c r="J75" s="136">
        <f t="shared" si="4"/>
        <v>1335.2606461638682</v>
      </c>
      <c r="K75" s="136">
        <f t="shared" si="4"/>
        <v>1367.2464823337282</v>
      </c>
      <c r="L75" s="136">
        <f t="shared" si="4"/>
        <v>1342.0254804116025</v>
      </c>
      <c r="M75" s="136">
        <f t="shared" si="4"/>
        <v>1345.244482199083</v>
      </c>
      <c r="N75" s="136">
        <f t="shared" si="4"/>
        <v>1378.988177424678</v>
      </c>
      <c r="O75" s="136">
        <f t="shared" si="4"/>
        <v>1394.4530179751985</v>
      </c>
      <c r="P75" s="136">
        <f t="shared" si="4"/>
        <v>1386.5236889717949</v>
      </c>
      <c r="Q75" s="136">
        <f t="shared" si="4"/>
        <v>1399.4472429429024</v>
      </c>
      <c r="R75" s="136">
        <f t="shared" si="4"/>
        <v>1400.5717367434211</v>
      </c>
      <c r="S75" s="136">
        <f t="shared" si="4"/>
        <v>1409.3644034557378</v>
      </c>
      <c r="T75" s="136">
        <f t="shared" si="4"/>
        <v>1408.9315421291267</v>
      </c>
      <c r="U75" s="136">
        <f t="shared" si="4"/>
        <v>1375.3006564821897</v>
      </c>
      <c r="V75" s="136">
        <f t="shared" si="4"/>
        <v>1327.316628635949</v>
      </c>
      <c r="W75" s="136">
        <f t="shared" si="4"/>
        <v>1328.5388742767539</v>
      </c>
      <c r="X75" s="136">
        <f t="shared" si="4"/>
        <v>1327.3644651083823</v>
      </c>
      <c r="Y75" s="136">
        <f t="shared" si="4"/>
        <v>1337.9622426369015</v>
      </c>
      <c r="Z75" s="136">
        <f t="shared" si="4"/>
        <v>1361.6131236272872</v>
      </c>
      <c r="AA75" s="136">
        <f t="shared" si="4"/>
        <v>1366.252148231302</v>
      </c>
      <c r="AB75" s="136">
        <f t="shared" si="4"/>
        <v>1376.7147399132034</v>
      </c>
      <c r="AC75" s="136">
        <f t="shared" si="4"/>
        <v>1356.1279615390308</v>
      </c>
      <c r="AD75" s="136">
        <f t="shared" si="4"/>
        <v>1340.8341542624833</v>
      </c>
      <c r="AE75" s="136">
        <f t="shared" si="4"/>
        <v>1340.5083842406643</v>
      </c>
      <c r="AF75" s="136">
        <f t="shared" si="4"/>
        <v>1343.5569664901593</v>
      </c>
      <c r="AG75" s="136">
        <f t="shared" si="4"/>
        <v>1346.6179866263947</v>
      </c>
      <c r="AH75" s="136">
        <f t="shared" si="4"/>
        <v>1339.3573866513498</v>
      </c>
      <c r="AI75" s="136">
        <f t="shared" si="4"/>
        <v>1312.8050639567211</v>
      </c>
      <c r="AJ75" s="136">
        <f t="shared" si="4"/>
        <v>1292.6951003546121</v>
      </c>
      <c r="AK75" s="136">
        <f t="shared" si="4"/>
        <v>1273.8139071104074</v>
      </c>
      <c r="AL75" s="136">
        <f t="shared" si="4"/>
        <v>1255.9819812608434</v>
      </c>
      <c r="AM75" s="136">
        <f t="shared" si="4"/>
        <v>1238.3205028840407</v>
      </c>
      <c r="AN75" s="136">
        <f t="shared" si="4"/>
        <v>1223.9637105194283</v>
      </c>
      <c r="AO75" s="136">
        <f t="shared" si="4"/>
        <v>1210.2963674761604</v>
      </c>
      <c r="AP75" s="136">
        <f t="shared" si="4"/>
        <v>1196.14185142411</v>
      </c>
      <c r="AQ75" s="136">
        <f t="shared" si="4"/>
        <v>1182.4020050711792</v>
      </c>
      <c r="AR75" s="136">
        <f t="shared" si="4"/>
        <v>1168.9179521050753</v>
      </c>
      <c r="AS75" s="136">
        <f t="shared" si="4"/>
        <v>1158.7088991260503</v>
      </c>
      <c r="AT75" s="136">
        <f t="shared" si="4"/>
        <v>1148.266952980397</v>
      </c>
      <c r="AU75" s="136">
        <f t="shared" si="4"/>
        <v>1138.6373869891836</v>
      </c>
      <c r="AV75" s="136">
        <f t="shared" si="4"/>
        <v>1128.8447668761496</v>
      </c>
      <c r="AW75" s="136">
        <f t="shared" si="4"/>
        <v>1119.3008942160031</v>
      </c>
      <c r="AX75" s="136">
        <f t="shared" si="4"/>
        <v>1109.4498804544403</v>
      </c>
      <c r="AY75" s="136">
        <f t="shared" si="4"/>
        <v>1100.1647082440531</v>
      </c>
      <c r="AZ75" s="136">
        <f t="shared" si="4"/>
        <v>1091.5874329014789</v>
      </c>
      <c r="BA75" s="136">
        <f t="shared" si="4"/>
        <v>1082.9572272960013</v>
      </c>
      <c r="BB75" s="136">
        <f t="shared" si="4"/>
        <v>1074.3636901793273</v>
      </c>
      <c r="BC75" s="136">
        <f t="shared" si="4"/>
        <v>1068.0851699732693</v>
      </c>
      <c r="BD75" s="136">
        <f t="shared" si="4"/>
        <v>1062.2854098002649</v>
      </c>
      <c r="BE75" s="136">
        <f t="shared" si="4"/>
        <v>1056.5001075675191</v>
      </c>
      <c r="BF75" s="136">
        <f t="shared" si="4"/>
        <v>1050.8066510286164</v>
      </c>
      <c r="BG75" s="136">
        <f t="shared" si="4"/>
        <v>1046.3459413754929</v>
      </c>
      <c r="BH75" s="136">
        <f t="shared" si="4"/>
        <v>1041.25006537794</v>
      </c>
      <c r="BI75" s="136">
        <f t="shared" si="4"/>
        <v>1035.7613663511609</v>
      </c>
      <c r="BJ75" s="136">
        <f t="shared" si="4"/>
        <v>1030.2173548518383</v>
      </c>
      <c r="BK75" s="136">
        <f t="shared" si="4"/>
        <v>1024.898375876596</v>
      </c>
      <c r="BL75" s="136">
        <f t="shared" si="4"/>
        <v>1020.0942185816452</v>
      </c>
    </row>
    <row r="77" spans="2:64">
      <c r="B77" s="109" t="s">
        <v>1105</v>
      </c>
      <c r="C77" t="s">
        <v>1095</v>
      </c>
      <c r="D77">
        <f t="shared" ref="D77:AI77" si="5">D12-D75*GWP_CH4_AR5</f>
        <v>33688.641932382809</v>
      </c>
      <c r="E77">
        <f t="shared" si="5"/>
        <v>34435.874526663836</v>
      </c>
      <c r="F77">
        <f t="shared" si="5"/>
        <v>36256.024995149695</v>
      </c>
      <c r="G77">
        <f t="shared" si="5"/>
        <v>35974.113590119043</v>
      </c>
      <c r="H77">
        <f t="shared" si="5"/>
        <v>36535.60318753832</v>
      </c>
      <c r="I77">
        <f t="shared" si="5"/>
        <v>36239.275701670209</v>
      </c>
      <c r="J77">
        <f t="shared" si="5"/>
        <v>37267.192057168482</v>
      </c>
      <c r="K77">
        <f t="shared" si="5"/>
        <v>37921.593303588728</v>
      </c>
      <c r="L77">
        <f t="shared" si="5"/>
        <v>34319.117965637641</v>
      </c>
      <c r="M77">
        <f t="shared" si="5"/>
        <v>33479.924224569928</v>
      </c>
      <c r="N77">
        <f t="shared" si="5"/>
        <v>34578.667671867523</v>
      </c>
      <c r="O77">
        <f t="shared" si="5"/>
        <v>34816.441707409947</v>
      </c>
      <c r="P77">
        <f t="shared" si="5"/>
        <v>33084.594546287619</v>
      </c>
      <c r="Q77">
        <f t="shared" si="5"/>
        <v>35418.162868243649</v>
      </c>
      <c r="R77">
        <f t="shared" si="5"/>
        <v>38086.400962534826</v>
      </c>
      <c r="S77">
        <f t="shared" si="5"/>
        <v>45745.452504234192</v>
      </c>
      <c r="T77">
        <f t="shared" si="5"/>
        <v>48782.983871884695</v>
      </c>
      <c r="U77">
        <f t="shared" si="5"/>
        <v>53041.285387978278</v>
      </c>
      <c r="V77">
        <f t="shared" si="5"/>
        <v>33136.780621032805</v>
      </c>
      <c r="W77">
        <f t="shared" si="5"/>
        <v>32787.180015429236</v>
      </c>
      <c r="X77">
        <f t="shared" si="5"/>
        <v>33939.831426949284</v>
      </c>
      <c r="Y77">
        <f t="shared" si="5"/>
        <v>32001.742857727571</v>
      </c>
      <c r="Z77">
        <f t="shared" si="5"/>
        <v>35415.558315365728</v>
      </c>
      <c r="AA77">
        <f t="shared" si="5"/>
        <v>37664.655151000152</v>
      </c>
      <c r="AB77">
        <f t="shared" si="5"/>
        <v>34917.8257680557</v>
      </c>
      <c r="AC77">
        <f t="shared" si="5"/>
        <v>33733.073917928181</v>
      </c>
      <c r="AD77">
        <f t="shared" si="5"/>
        <v>32020.420679769486</v>
      </c>
      <c r="AE77">
        <f t="shared" si="5"/>
        <v>33395.297155954948</v>
      </c>
      <c r="AF77">
        <f t="shared" si="5"/>
        <v>34483.718872726393</v>
      </c>
      <c r="AG77">
        <f t="shared" si="5"/>
        <v>39319.812498856569</v>
      </c>
      <c r="AH77">
        <f t="shared" si="5"/>
        <v>36291.151622753256</v>
      </c>
      <c r="AI77">
        <f t="shared" si="5"/>
        <v>38548.807023493966</v>
      </c>
      <c r="AJ77">
        <f t="shared" ref="AJ77:BL77" si="6">AJ12-AJ75*GWP_CH4_AR5</f>
        <v>38730.40249654989</v>
      </c>
      <c r="AK77">
        <f t="shared" si="6"/>
        <v>37982.231223293762</v>
      </c>
      <c r="AL77">
        <f t="shared" si="6"/>
        <v>36954.558409396443</v>
      </c>
      <c r="AM77">
        <f t="shared" si="6"/>
        <v>35027.334488738787</v>
      </c>
      <c r="AN77">
        <f t="shared" si="6"/>
        <v>32255.629602850233</v>
      </c>
      <c r="AO77">
        <f t="shared" si="6"/>
        <v>29969.42303852021</v>
      </c>
      <c r="AP77">
        <f t="shared" si="6"/>
        <v>27211.417805589212</v>
      </c>
      <c r="AQ77">
        <f t="shared" si="6"/>
        <v>25188.612643961664</v>
      </c>
      <c r="AR77">
        <f t="shared" si="6"/>
        <v>22647.435617424897</v>
      </c>
      <c r="AS77">
        <f t="shared" si="6"/>
        <v>20405.119917463657</v>
      </c>
      <c r="AT77">
        <f t="shared" si="6"/>
        <v>18280.023254761662</v>
      </c>
      <c r="AU77">
        <f t="shared" si="6"/>
        <v>16151.125411544577</v>
      </c>
      <c r="AV77">
        <f t="shared" si="6"/>
        <v>14102.781260119242</v>
      </c>
      <c r="AW77">
        <f t="shared" si="6"/>
        <v>11896.440694320976</v>
      </c>
      <c r="AX77">
        <f t="shared" si="6"/>
        <v>9347.205570142658</v>
      </c>
      <c r="AY77">
        <f t="shared" si="6"/>
        <v>6315.0595560384063</v>
      </c>
      <c r="AZ77">
        <f t="shared" si="6"/>
        <v>3937.3668290717178</v>
      </c>
      <c r="BA77">
        <f t="shared" si="6"/>
        <v>1683.1306266737556</v>
      </c>
      <c r="BB77">
        <f t="shared" si="6"/>
        <v>-1342.4084996401871</v>
      </c>
      <c r="BC77">
        <f t="shared" si="6"/>
        <v>-3303.649220639938</v>
      </c>
      <c r="BD77">
        <f t="shared" si="6"/>
        <v>-4870.3856177880989</v>
      </c>
      <c r="BE77">
        <f t="shared" si="6"/>
        <v>-5855.6241834362445</v>
      </c>
      <c r="BF77">
        <f t="shared" si="6"/>
        <v>-6528.4450423503331</v>
      </c>
      <c r="BG77">
        <f t="shared" si="6"/>
        <v>-6899.6499284883466</v>
      </c>
      <c r="BH77">
        <f t="shared" si="6"/>
        <v>-7678.2038918252911</v>
      </c>
      <c r="BI77">
        <f t="shared" si="6"/>
        <v>-8309.2676708386862</v>
      </c>
      <c r="BJ77">
        <f t="shared" si="6"/>
        <v>-8871.5459756193632</v>
      </c>
      <c r="BK77">
        <f t="shared" si="6"/>
        <v>-9314.6433143396825</v>
      </c>
      <c r="BL77">
        <f t="shared" si="6"/>
        <v>-9760.4611977471213</v>
      </c>
    </row>
    <row r="79" spans="2:64">
      <c r="AK79">
        <f>20000/AK77</f>
        <v>0.52656200954656895</v>
      </c>
      <c r="BB79" s="136">
        <f>SUM(BB49,BB52,BB55,BB58,BB61)+BB11</f>
        <v>-8952.4269205753717</v>
      </c>
    </row>
    <row r="81" spans="3:3">
      <c r="C81" t="s">
        <v>1106</v>
      </c>
    </row>
  </sheetData>
  <pageMargins left="0.7" right="0.7" top="0.75" bottom="0.75" header="0.3" footer="0.3"/>
  <pageSetup orientation="portrait"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DB535-50A8-457E-9AB8-54548DC40D0E}">
  <sheetPr codeName="Sheet28">
    <tabColor rgb="FF5BC4BE"/>
  </sheetPr>
  <dimension ref="A1:M41"/>
  <sheetViews>
    <sheetView workbookViewId="0">
      <selection activeCell="J5" sqref="J5"/>
    </sheetView>
  </sheetViews>
  <sheetFormatPr defaultRowHeight="15"/>
  <cols>
    <col min="1" max="1" width="16.28515625" customWidth="1"/>
    <col min="10" max="10" width="23" bestFit="1" customWidth="1"/>
    <col min="12" max="12" width="11.5703125" bestFit="1" customWidth="1"/>
    <col min="13" max="13" width="10.140625" customWidth="1"/>
  </cols>
  <sheetData>
    <row r="1" spans="1:13">
      <c r="A1" t="s">
        <v>1107</v>
      </c>
    </row>
    <row r="2" spans="1:13">
      <c r="A2" s="46" t="s">
        <v>1108</v>
      </c>
      <c r="F2" s="47"/>
    </row>
    <row r="3" spans="1:13">
      <c r="A3" s="46"/>
      <c r="F3">
        <v>1</v>
      </c>
      <c r="G3" t="s">
        <v>1109</v>
      </c>
    </row>
    <row r="5" spans="1:13">
      <c r="B5">
        <v>3</v>
      </c>
      <c r="C5">
        <v>2</v>
      </c>
      <c r="D5">
        <v>1</v>
      </c>
      <c r="J5" t="s">
        <v>1110</v>
      </c>
    </row>
    <row r="6" spans="1:13">
      <c r="B6" t="s">
        <v>1111</v>
      </c>
      <c r="C6" t="s">
        <v>1112</v>
      </c>
      <c r="D6" t="s">
        <v>1113</v>
      </c>
      <c r="E6" t="s">
        <v>1114</v>
      </c>
      <c r="F6" t="s">
        <v>1115</v>
      </c>
      <c r="G6" t="s">
        <v>1116</v>
      </c>
    </row>
    <row r="7" spans="1:13">
      <c r="A7" t="s">
        <v>1117</v>
      </c>
      <c r="B7">
        <v>21</v>
      </c>
      <c r="C7">
        <v>25</v>
      </c>
      <c r="D7">
        <v>28</v>
      </c>
      <c r="F7">
        <f ca="1">IF(G7&gt;0,G7,D7)</f>
        <v>28</v>
      </c>
      <c r="G7">
        <f ca="1">OFFSET(E7,0,-$F$3,1,1)</f>
        <v>28</v>
      </c>
    </row>
    <row r="8" spans="1:13">
      <c r="A8" t="s">
        <v>1118</v>
      </c>
      <c r="B8">
        <v>310</v>
      </c>
      <c r="C8">
        <v>298</v>
      </c>
      <c r="D8">
        <v>265</v>
      </c>
      <c r="E8">
        <v>273</v>
      </c>
      <c r="F8">
        <f t="shared" ref="F8:F41" ca="1" si="0">IF(G8&gt;0,G8,D8)</f>
        <v>265</v>
      </c>
      <c r="G8">
        <f t="shared" ref="G8:G41" ca="1" si="1">OFFSET(E8,0,-$F$3,1,1)</f>
        <v>265</v>
      </c>
      <c r="L8" s="48"/>
      <c r="M8" s="49"/>
    </row>
    <row r="9" spans="1:13">
      <c r="A9" t="s">
        <v>1119</v>
      </c>
      <c r="B9">
        <v>11700</v>
      </c>
      <c r="C9">
        <v>14800</v>
      </c>
      <c r="D9">
        <v>12400</v>
      </c>
      <c r="F9">
        <f t="shared" ca="1" si="0"/>
        <v>12400</v>
      </c>
      <c r="G9">
        <f t="shared" ca="1" si="1"/>
        <v>12400</v>
      </c>
    </row>
    <row r="10" spans="1:13">
      <c r="A10" t="s">
        <v>1120</v>
      </c>
      <c r="B10">
        <v>650</v>
      </c>
      <c r="C10">
        <v>675</v>
      </c>
      <c r="D10">
        <v>677</v>
      </c>
      <c r="E10">
        <v>771</v>
      </c>
      <c r="F10">
        <f t="shared" ca="1" si="0"/>
        <v>677</v>
      </c>
      <c r="G10">
        <f t="shared" ca="1" si="1"/>
        <v>677</v>
      </c>
    </row>
    <row r="11" spans="1:13">
      <c r="A11" t="s">
        <v>1121</v>
      </c>
      <c r="B11">
        <v>150</v>
      </c>
      <c r="C11" s="50"/>
      <c r="D11">
        <v>116</v>
      </c>
      <c r="F11">
        <f t="shared" ca="1" si="0"/>
        <v>116</v>
      </c>
      <c r="G11">
        <f t="shared" ca="1" si="1"/>
        <v>116</v>
      </c>
    </row>
    <row r="12" spans="1:13">
      <c r="A12" t="s">
        <v>1122</v>
      </c>
      <c r="B12">
        <v>1300</v>
      </c>
      <c r="C12">
        <v>1640</v>
      </c>
      <c r="D12">
        <v>1650</v>
      </c>
      <c r="F12">
        <f t="shared" ca="1" si="0"/>
        <v>1650</v>
      </c>
      <c r="G12">
        <f t="shared" ca="1" si="1"/>
        <v>1650</v>
      </c>
    </row>
    <row r="13" spans="1:13">
      <c r="A13" t="s">
        <v>1123</v>
      </c>
      <c r="B13">
        <v>2800</v>
      </c>
      <c r="C13">
        <v>3500</v>
      </c>
      <c r="D13">
        <v>3170</v>
      </c>
      <c r="F13">
        <f t="shared" ca="1" si="0"/>
        <v>3170</v>
      </c>
      <c r="G13">
        <f t="shared" ca="1" si="1"/>
        <v>3170</v>
      </c>
    </row>
    <row r="14" spans="1:13">
      <c r="A14" t="s">
        <v>1124</v>
      </c>
      <c r="B14">
        <v>1000</v>
      </c>
      <c r="C14" s="50"/>
      <c r="D14">
        <v>1120</v>
      </c>
      <c r="F14">
        <f t="shared" ca="1" si="0"/>
        <v>1120</v>
      </c>
      <c r="G14">
        <f t="shared" ca="1" si="1"/>
        <v>1120</v>
      </c>
    </row>
    <row r="15" spans="1:13">
      <c r="A15" t="s">
        <v>1125</v>
      </c>
      <c r="B15">
        <v>1300</v>
      </c>
      <c r="C15">
        <v>1430</v>
      </c>
      <c r="D15">
        <v>1300</v>
      </c>
      <c r="E15">
        <v>1526</v>
      </c>
      <c r="F15">
        <f t="shared" ca="1" si="0"/>
        <v>1300</v>
      </c>
      <c r="G15">
        <f t="shared" ca="1" si="1"/>
        <v>1300</v>
      </c>
    </row>
    <row r="16" spans="1:13">
      <c r="A16" t="s">
        <v>1126</v>
      </c>
      <c r="B16">
        <v>300</v>
      </c>
      <c r="C16" s="50"/>
      <c r="D16">
        <v>328</v>
      </c>
      <c r="F16">
        <f t="shared" ca="1" si="0"/>
        <v>328</v>
      </c>
      <c r="G16">
        <f t="shared" ca="1" si="1"/>
        <v>328</v>
      </c>
    </row>
    <row r="17" spans="1:7">
      <c r="A17" t="s">
        <v>1127</v>
      </c>
      <c r="B17">
        <v>3800</v>
      </c>
      <c r="C17">
        <v>4470</v>
      </c>
      <c r="D17">
        <v>4800</v>
      </c>
      <c r="F17">
        <f t="shared" ca="1" si="0"/>
        <v>4800</v>
      </c>
      <c r="G17">
        <f t="shared" ca="1" si="1"/>
        <v>4800</v>
      </c>
    </row>
    <row r="18" spans="1:7">
      <c r="A18" t="s">
        <v>1128</v>
      </c>
      <c r="D18">
        <v>16</v>
      </c>
      <c r="F18">
        <f t="shared" ca="1" si="0"/>
        <v>16</v>
      </c>
      <c r="G18">
        <f t="shared" ca="1" si="1"/>
        <v>16</v>
      </c>
    </row>
    <row r="19" spans="1:7">
      <c r="A19" t="s">
        <v>1129</v>
      </c>
      <c r="B19">
        <v>140</v>
      </c>
      <c r="C19">
        <v>124</v>
      </c>
      <c r="D19">
        <v>138</v>
      </c>
      <c r="F19">
        <f t="shared" ca="1" si="0"/>
        <v>138</v>
      </c>
      <c r="G19">
        <f t="shared" ca="1" si="1"/>
        <v>138</v>
      </c>
    </row>
    <row r="20" spans="1:7">
      <c r="A20" t="s">
        <v>1130</v>
      </c>
      <c r="D20">
        <v>4</v>
      </c>
      <c r="F20" s="138">
        <f t="shared" ca="1" si="0"/>
        <v>4</v>
      </c>
      <c r="G20">
        <f t="shared" ca="1" si="1"/>
        <v>4</v>
      </c>
    </row>
    <row r="21" spans="1:7">
      <c r="A21" t="s">
        <v>1131</v>
      </c>
      <c r="B21">
        <v>2900</v>
      </c>
      <c r="C21">
        <v>3220</v>
      </c>
      <c r="D21">
        <v>3350</v>
      </c>
      <c r="F21">
        <f t="shared" ca="1" si="0"/>
        <v>3350</v>
      </c>
      <c r="G21">
        <f t="shared" ca="1" si="1"/>
        <v>3350</v>
      </c>
    </row>
    <row r="22" spans="1:7">
      <c r="A22" t="s">
        <v>1132</v>
      </c>
      <c r="D22">
        <v>1210</v>
      </c>
      <c r="F22">
        <f t="shared" ca="1" si="0"/>
        <v>1210</v>
      </c>
      <c r="G22">
        <f t="shared" ca="1" si="1"/>
        <v>1210</v>
      </c>
    </row>
    <row r="23" spans="1:7">
      <c r="A23" t="s">
        <v>1133</v>
      </c>
      <c r="D23">
        <v>1330</v>
      </c>
      <c r="F23">
        <f t="shared" ca="1" si="0"/>
        <v>1330</v>
      </c>
      <c r="G23">
        <f t="shared" ca="1" si="1"/>
        <v>1330</v>
      </c>
    </row>
    <row r="24" spans="1:7">
      <c r="A24" t="s">
        <v>1134</v>
      </c>
      <c r="B24">
        <v>6300</v>
      </c>
      <c r="C24">
        <v>9810</v>
      </c>
      <c r="D24">
        <v>8060</v>
      </c>
      <c r="F24">
        <f t="shared" ca="1" si="0"/>
        <v>8060</v>
      </c>
      <c r="G24">
        <f t="shared" ca="1" si="1"/>
        <v>8060</v>
      </c>
    </row>
    <row r="25" spans="1:7">
      <c r="A25" t="s">
        <v>1135</v>
      </c>
      <c r="B25">
        <v>560</v>
      </c>
      <c r="C25" s="50"/>
      <c r="D25">
        <v>716</v>
      </c>
      <c r="F25">
        <f t="shared" ca="1" si="0"/>
        <v>716</v>
      </c>
      <c r="G25">
        <f t="shared" ca="1" si="1"/>
        <v>716</v>
      </c>
    </row>
    <row r="26" spans="1:7">
      <c r="A26" t="s">
        <v>1136</v>
      </c>
      <c r="C26">
        <v>1030</v>
      </c>
      <c r="D26">
        <v>858</v>
      </c>
      <c r="F26">
        <f t="shared" ca="1" si="0"/>
        <v>858</v>
      </c>
      <c r="G26">
        <f t="shared" ca="1" si="1"/>
        <v>858</v>
      </c>
    </row>
    <row r="27" spans="1:7">
      <c r="A27" t="s">
        <v>1137</v>
      </c>
      <c r="C27">
        <v>794</v>
      </c>
      <c r="D27">
        <v>804</v>
      </c>
      <c r="F27">
        <f t="shared" ca="1" si="0"/>
        <v>804</v>
      </c>
      <c r="G27">
        <f t="shared" ca="1" si="1"/>
        <v>804</v>
      </c>
    </row>
    <row r="28" spans="1:7">
      <c r="A28" t="s">
        <v>1138</v>
      </c>
      <c r="E28">
        <v>29.8</v>
      </c>
      <c r="F28">
        <f t="shared" ca="1" si="0"/>
        <v>0</v>
      </c>
      <c r="G28">
        <f t="shared" ca="1" si="1"/>
        <v>0</v>
      </c>
    </row>
    <row r="29" spans="1:7">
      <c r="A29" t="s">
        <v>1139</v>
      </c>
      <c r="E29">
        <v>27</v>
      </c>
      <c r="F29">
        <f t="shared" ca="1" si="0"/>
        <v>0</v>
      </c>
      <c r="G29">
        <f t="shared" ca="1" si="1"/>
        <v>0</v>
      </c>
    </row>
    <row r="30" spans="1:7">
      <c r="A30" t="s">
        <v>1140</v>
      </c>
      <c r="B30">
        <v>6500</v>
      </c>
      <c r="C30">
        <v>7390</v>
      </c>
      <c r="D30">
        <v>6630</v>
      </c>
      <c r="E30">
        <v>7380</v>
      </c>
      <c r="F30">
        <f t="shared" ca="1" si="0"/>
        <v>6630</v>
      </c>
      <c r="G30">
        <f t="shared" ca="1" si="1"/>
        <v>6630</v>
      </c>
    </row>
    <row r="31" spans="1:7">
      <c r="A31" t="s">
        <v>1141</v>
      </c>
      <c r="B31">
        <v>9200</v>
      </c>
      <c r="C31">
        <v>12200</v>
      </c>
      <c r="D31">
        <v>11100</v>
      </c>
      <c r="F31">
        <f t="shared" ca="1" si="0"/>
        <v>11100</v>
      </c>
      <c r="G31">
        <f t="shared" ca="1" si="1"/>
        <v>11100</v>
      </c>
    </row>
    <row r="32" spans="1:7">
      <c r="A32" t="s">
        <v>1142</v>
      </c>
      <c r="B32">
        <v>7000</v>
      </c>
      <c r="C32">
        <v>8830</v>
      </c>
      <c r="D32">
        <v>8900</v>
      </c>
      <c r="F32">
        <f t="shared" ca="1" si="0"/>
        <v>8900</v>
      </c>
      <c r="G32">
        <f t="shared" ca="1" si="1"/>
        <v>8900</v>
      </c>
    </row>
    <row r="33" spans="1:7">
      <c r="A33" t="s">
        <v>1143</v>
      </c>
      <c r="B33">
        <v>7000</v>
      </c>
      <c r="C33">
        <v>8860</v>
      </c>
      <c r="D33">
        <v>9200</v>
      </c>
      <c r="F33">
        <f t="shared" ca="1" si="0"/>
        <v>9200</v>
      </c>
      <c r="G33">
        <f t="shared" ca="1" si="1"/>
        <v>9200</v>
      </c>
    </row>
    <row r="34" spans="1:7">
      <c r="A34" t="s">
        <v>1144</v>
      </c>
      <c r="B34">
        <v>8700</v>
      </c>
      <c r="C34">
        <v>10300</v>
      </c>
      <c r="D34">
        <v>9540</v>
      </c>
      <c r="F34">
        <f t="shared" ca="1" si="0"/>
        <v>9540</v>
      </c>
      <c r="G34">
        <f t="shared" ca="1" si="1"/>
        <v>9540</v>
      </c>
    </row>
    <row r="35" spans="1:7">
      <c r="A35" t="s">
        <v>1145</v>
      </c>
      <c r="B35">
        <v>7500</v>
      </c>
      <c r="C35">
        <v>9160</v>
      </c>
      <c r="D35">
        <v>8550</v>
      </c>
      <c r="F35">
        <f t="shared" ca="1" si="0"/>
        <v>8550</v>
      </c>
      <c r="G35">
        <f t="shared" ca="1" si="1"/>
        <v>8550</v>
      </c>
    </row>
    <row r="36" spans="1:7">
      <c r="A36" t="s">
        <v>1146</v>
      </c>
      <c r="B36">
        <v>7400</v>
      </c>
      <c r="C36">
        <v>9300</v>
      </c>
      <c r="D36">
        <v>7910</v>
      </c>
      <c r="F36">
        <f t="shared" ca="1" si="0"/>
        <v>7910</v>
      </c>
      <c r="G36">
        <f t="shared" ca="1" si="1"/>
        <v>7910</v>
      </c>
    </row>
    <row r="37" spans="1:7">
      <c r="A37" t="s">
        <v>1147</v>
      </c>
      <c r="C37">
        <v>7500</v>
      </c>
      <c r="D37">
        <v>7190</v>
      </c>
      <c r="E37" t="s">
        <v>1148</v>
      </c>
      <c r="F37">
        <f t="shared" ca="1" si="0"/>
        <v>7190</v>
      </c>
      <c r="G37">
        <f t="shared" ca="1" si="1"/>
        <v>7190</v>
      </c>
    </row>
    <row r="38" spans="1:7">
      <c r="A38" t="s">
        <v>1149</v>
      </c>
      <c r="D38">
        <v>9200</v>
      </c>
      <c r="F38">
        <f t="shared" ca="1" si="0"/>
        <v>9200</v>
      </c>
      <c r="G38">
        <f t="shared" ca="1" si="1"/>
        <v>9200</v>
      </c>
    </row>
    <row r="39" spans="1:7">
      <c r="F39">
        <f t="shared" ca="1" si="0"/>
        <v>0</v>
      </c>
      <c r="G39">
        <f t="shared" ca="1" si="1"/>
        <v>0</v>
      </c>
    </row>
    <row r="40" spans="1:7">
      <c r="F40">
        <f t="shared" ca="1" si="0"/>
        <v>0</v>
      </c>
      <c r="G40">
        <f t="shared" ca="1" si="1"/>
        <v>0</v>
      </c>
    </row>
    <row r="41" spans="1:7">
      <c r="A41" t="s">
        <v>1150</v>
      </c>
      <c r="B41">
        <v>23900</v>
      </c>
      <c r="C41">
        <v>22800</v>
      </c>
      <c r="D41">
        <v>23500</v>
      </c>
      <c r="F41">
        <f t="shared" ca="1" si="0"/>
        <v>23500</v>
      </c>
      <c r="G41">
        <f t="shared" ca="1" si="1"/>
        <v>23500</v>
      </c>
    </row>
  </sheetData>
  <hyperlinks>
    <hyperlink ref="A2" r:id="rId1" xr:uid="{45F7C126-E435-4D9C-A7A7-07E75D7195EC}"/>
  </hyperlinks>
  <pageMargins left="0.7" right="0.7" top="0.75" bottom="0.75" header="0.3" footer="0.3"/>
  <pageSetup paperSize="9" orientation="portrait"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95E230-4321-4E0F-976B-6C9B4CA05561}">
  <sheetPr codeName="Sheet30">
    <tabColor theme="7" tint="0.79998168889431442"/>
  </sheetPr>
  <dimension ref="A1:AD109"/>
  <sheetViews>
    <sheetView zoomScaleNormal="100" workbookViewId="0">
      <pane ySplit="1" topLeftCell="A2" activePane="bottomLeft" state="frozen"/>
      <selection pane="bottomLeft" activeCell="B98" sqref="B98"/>
      <selection activeCell="P95" sqref="P95"/>
    </sheetView>
  </sheetViews>
  <sheetFormatPr defaultColWidth="9.140625" defaultRowHeight="15.75"/>
  <cols>
    <col min="1" max="1" width="9.140625" style="27"/>
    <col min="2" max="2" width="36.42578125" style="27" customWidth="1"/>
    <col min="3" max="15" width="9.140625" style="27"/>
    <col min="16" max="16" width="11.5703125" style="27" bestFit="1" customWidth="1"/>
    <col min="17" max="16384" width="9.140625" style="27"/>
  </cols>
  <sheetData>
    <row r="1" spans="1:30">
      <c r="A1" s="27" t="s">
        <v>193</v>
      </c>
      <c r="B1" s="27" t="s">
        <v>194</v>
      </c>
      <c r="C1" s="27" t="s">
        <v>195</v>
      </c>
      <c r="D1" s="27" t="s">
        <v>64</v>
      </c>
      <c r="E1" s="27" t="s">
        <v>65</v>
      </c>
      <c r="F1" s="27">
        <v>2000</v>
      </c>
      <c r="G1" s="27">
        <v>2005</v>
      </c>
      <c r="H1" s="27">
        <v>2010</v>
      </c>
      <c r="I1" s="27">
        <v>2015</v>
      </c>
      <c r="J1" s="27">
        <v>2020</v>
      </c>
      <c r="K1" s="27">
        <v>2021</v>
      </c>
      <c r="L1" s="27">
        <v>2022</v>
      </c>
      <c r="M1" s="27">
        <v>2023</v>
      </c>
      <c r="N1" s="27">
        <v>2024</v>
      </c>
      <c r="O1" s="27">
        <v>2025</v>
      </c>
      <c r="P1" s="27">
        <v>2030</v>
      </c>
      <c r="Q1" s="27">
        <v>2035</v>
      </c>
      <c r="R1" s="27">
        <v>2040</v>
      </c>
      <c r="S1" s="27">
        <v>2045</v>
      </c>
      <c r="T1" s="27">
        <v>2050</v>
      </c>
      <c r="U1" s="27">
        <v>2055</v>
      </c>
      <c r="V1" s="27">
        <v>2060</v>
      </c>
      <c r="W1" s="27">
        <v>2065</v>
      </c>
      <c r="X1" s="27">
        <v>2070</v>
      </c>
      <c r="Y1" s="27">
        <v>2075</v>
      </c>
      <c r="Z1" s="27">
        <v>2080</v>
      </c>
      <c r="AA1" s="27">
        <v>2085</v>
      </c>
      <c r="AB1" s="27">
        <v>2090</v>
      </c>
      <c r="AC1" s="27">
        <v>2095</v>
      </c>
      <c r="AD1" s="27">
        <v>2100</v>
      </c>
    </row>
    <row r="2" spans="1:30">
      <c r="A2" s="27" t="s">
        <v>196</v>
      </c>
      <c r="B2" s="27" t="s">
        <v>197</v>
      </c>
      <c r="C2" s="27" t="s">
        <v>198</v>
      </c>
      <c r="D2" s="27" t="s">
        <v>1151</v>
      </c>
      <c r="E2" s="27" t="s">
        <v>75</v>
      </c>
      <c r="F2" s="27" t="s">
        <v>200</v>
      </c>
      <c r="G2" s="27">
        <v>33402.863100000002</v>
      </c>
      <c r="H2" s="27">
        <v>36880.116300000002</v>
      </c>
      <c r="I2" s="27">
        <v>38550.176700000004</v>
      </c>
      <c r="J2" s="27">
        <v>39262.8459</v>
      </c>
      <c r="K2" s="27" t="s">
        <v>200</v>
      </c>
      <c r="L2" s="27" t="s">
        <v>200</v>
      </c>
      <c r="M2" s="27" t="s">
        <v>200</v>
      </c>
      <c r="N2" s="27" t="s">
        <v>200</v>
      </c>
      <c r="O2" s="27">
        <v>30291.2209</v>
      </c>
      <c r="P2" s="201">
        <v>22732.963599999999</v>
      </c>
      <c r="Q2" s="27">
        <v>16658.023799999999</v>
      </c>
      <c r="R2" s="27">
        <v>12382.804</v>
      </c>
      <c r="S2" s="27">
        <v>8522.0501999999997</v>
      </c>
      <c r="T2" s="27">
        <v>4352.8027000000002</v>
      </c>
      <c r="U2" s="27">
        <v>1502.83</v>
      </c>
      <c r="V2" s="27">
        <v>-646.83879999999999</v>
      </c>
      <c r="W2" s="27" t="s">
        <v>200</v>
      </c>
      <c r="X2" s="27">
        <v>-3768.7204000000002</v>
      </c>
      <c r="Y2" s="27" t="s">
        <v>200</v>
      </c>
      <c r="Z2" s="27">
        <v>-7967.3425999999999</v>
      </c>
      <c r="AA2" s="27" t="s">
        <v>200</v>
      </c>
      <c r="AB2" s="27">
        <v>-12663.712100000001</v>
      </c>
      <c r="AC2" s="27" t="s">
        <v>200</v>
      </c>
      <c r="AD2" s="27">
        <v>-15656.314899999999</v>
      </c>
    </row>
    <row r="3" spans="1:30">
      <c r="A3" s="27" t="s">
        <v>196</v>
      </c>
      <c r="B3" s="27" t="s">
        <v>201</v>
      </c>
      <c r="C3" s="27" t="s">
        <v>198</v>
      </c>
      <c r="D3" s="27" t="s">
        <v>1151</v>
      </c>
      <c r="E3" s="27" t="s">
        <v>75</v>
      </c>
      <c r="F3" s="27" t="s">
        <v>200</v>
      </c>
      <c r="G3" s="27" t="s">
        <v>200</v>
      </c>
      <c r="H3" s="27">
        <v>37155.0959</v>
      </c>
      <c r="I3" s="27">
        <v>39283.612800000003</v>
      </c>
      <c r="J3" s="27">
        <v>39860.860500000003</v>
      </c>
      <c r="K3" s="27" t="s">
        <v>200</v>
      </c>
      <c r="L3" s="27" t="s">
        <v>200</v>
      </c>
      <c r="M3" s="27" t="s">
        <v>200</v>
      </c>
      <c r="N3" s="27" t="s">
        <v>200</v>
      </c>
      <c r="O3" s="27">
        <v>29041.9738</v>
      </c>
      <c r="P3" s="27">
        <v>19052.595600000001</v>
      </c>
      <c r="Q3" s="27">
        <v>12582.2683</v>
      </c>
      <c r="R3" s="27">
        <v>7663.1894000000002</v>
      </c>
      <c r="S3" s="27">
        <v>3806.8609000000001</v>
      </c>
      <c r="T3" s="27">
        <v>940.96799999999996</v>
      </c>
      <c r="U3" s="27">
        <v>-523.03729999999996</v>
      </c>
      <c r="V3" s="27">
        <v>-1110.9074000000001</v>
      </c>
      <c r="W3" s="27" t="s">
        <v>200</v>
      </c>
      <c r="X3" s="27">
        <v>-1248.2173</v>
      </c>
      <c r="Y3" s="27" t="s">
        <v>200</v>
      </c>
      <c r="Z3" s="27">
        <v>-1013.034</v>
      </c>
      <c r="AA3" s="27" t="s">
        <v>200</v>
      </c>
      <c r="AB3" s="27">
        <v>-848.07709999999997</v>
      </c>
      <c r="AC3" s="27" t="s">
        <v>200</v>
      </c>
      <c r="AD3" s="27">
        <v>-956.95659999999998</v>
      </c>
    </row>
    <row r="4" spans="1:30">
      <c r="A4" s="27" t="s">
        <v>196</v>
      </c>
      <c r="B4" s="27" t="s">
        <v>202</v>
      </c>
      <c r="C4" s="27" t="s">
        <v>198</v>
      </c>
      <c r="D4" s="27" t="s">
        <v>1151</v>
      </c>
      <c r="E4" s="27" t="s">
        <v>75</v>
      </c>
      <c r="F4" s="27" t="s">
        <v>200</v>
      </c>
      <c r="G4" s="27">
        <v>33399.798600000002</v>
      </c>
      <c r="H4" s="27">
        <v>36959.633900000001</v>
      </c>
      <c r="I4" s="27">
        <v>38487.101000000002</v>
      </c>
      <c r="J4" s="27">
        <v>37367.816700000003</v>
      </c>
      <c r="K4" s="27" t="s">
        <v>200</v>
      </c>
      <c r="L4" s="27" t="s">
        <v>200</v>
      </c>
      <c r="M4" s="27" t="s">
        <v>200</v>
      </c>
      <c r="N4" s="27" t="s">
        <v>200</v>
      </c>
      <c r="O4" s="27">
        <v>28048.8881</v>
      </c>
      <c r="P4" s="27">
        <v>21440.711899999998</v>
      </c>
      <c r="Q4" s="27">
        <v>15864.360699999999</v>
      </c>
      <c r="R4" s="27">
        <v>12017.9103</v>
      </c>
      <c r="S4" s="27">
        <v>8478.7296999999999</v>
      </c>
      <c r="T4" s="27">
        <v>4471.116</v>
      </c>
      <c r="U4" s="27">
        <v>1672.7806</v>
      </c>
      <c r="V4" s="27">
        <v>89.446799999999996</v>
      </c>
      <c r="W4" s="27" t="s">
        <v>200</v>
      </c>
      <c r="X4" s="27">
        <v>-113.2333</v>
      </c>
      <c r="Y4" s="27" t="s">
        <v>200</v>
      </c>
      <c r="Z4" s="27">
        <v>22.2242</v>
      </c>
      <c r="AA4" s="27" t="s">
        <v>200</v>
      </c>
      <c r="AB4" s="27">
        <v>-18.097100000000001</v>
      </c>
      <c r="AC4" s="27" t="s">
        <v>200</v>
      </c>
      <c r="AD4" s="27">
        <v>83.298500000000004</v>
      </c>
    </row>
    <row r="5" spans="1:30">
      <c r="A5" s="27" t="s">
        <v>203</v>
      </c>
      <c r="B5" s="27" t="s">
        <v>204</v>
      </c>
      <c r="C5" s="27" t="s">
        <v>198</v>
      </c>
      <c r="D5" s="27" t="s">
        <v>1151</v>
      </c>
      <c r="E5" s="27" t="s">
        <v>75</v>
      </c>
      <c r="F5" s="27" t="s">
        <v>200</v>
      </c>
      <c r="G5" s="27">
        <v>34278.4908</v>
      </c>
      <c r="H5" s="27">
        <v>37322.5936</v>
      </c>
      <c r="I5" s="27">
        <v>38825.638800000001</v>
      </c>
      <c r="J5" s="27">
        <v>39074.5141</v>
      </c>
      <c r="K5" s="27" t="s">
        <v>200</v>
      </c>
      <c r="L5" s="27" t="s">
        <v>200</v>
      </c>
      <c r="M5" s="27" t="s">
        <v>200</v>
      </c>
      <c r="N5" s="27" t="s">
        <v>200</v>
      </c>
      <c r="O5" s="27">
        <v>29993.1489</v>
      </c>
      <c r="P5" s="27">
        <v>22365.2981</v>
      </c>
      <c r="Q5" s="27">
        <v>16048.2634</v>
      </c>
      <c r="R5" s="27">
        <v>11014.4987</v>
      </c>
      <c r="S5" s="27">
        <v>6662.2107999999998</v>
      </c>
      <c r="T5" s="27">
        <v>1960.5378000000001</v>
      </c>
      <c r="U5" s="27">
        <v>-1756.0671</v>
      </c>
      <c r="V5" s="27">
        <v>-4667.1157000000003</v>
      </c>
      <c r="W5" s="27" t="s">
        <v>200</v>
      </c>
      <c r="X5" s="27">
        <v>-9029.7515000000003</v>
      </c>
      <c r="Y5" s="27" t="s">
        <v>200</v>
      </c>
      <c r="Z5" s="27">
        <v>-11691.134700000001</v>
      </c>
      <c r="AA5" s="27" t="s">
        <v>200</v>
      </c>
      <c r="AB5" s="27">
        <v>-13387.915000000001</v>
      </c>
      <c r="AC5" s="27" t="s">
        <v>200</v>
      </c>
      <c r="AD5" s="27">
        <v>-15256.5491</v>
      </c>
    </row>
    <row r="6" spans="1:30">
      <c r="A6" s="27" t="s">
        <v>205</v>
      </c>
      <c r="B6" s="27" t="s">
        <v>206</v>
      </c>
      <c r="C6" s="27" t="s">
        <v>198</v>
      </c>
      <c r="D6" s="27" t="s">
        <v>1151</v>
      </c>
      <c r="E6" s="27" t="s">
        <v>75</v>
      </c>
      <c r="F6" s="27" t="s">
        <v>200</v>
      </c>
      <c r="G6" s="27">
        <v>33397.199999999997</v>
      </c>
      <c r="H6" s="27">
        <v>36978.6</v>
      </c>
      <c r="I6" s="27">
        <v>39863.9</v>
      </c>
      <c r="J6" s="27">
        <v>39194.800000000003</v>
      </c>
      <c r="K6" s="27" t="s">
        <v>200</v>
      </c>
      <c r="L6" s="27" t="s">
        <v>200</v>
      </c>
      <c r="M6" s="27" t="s">
        <v>200</v>
      </c>
      <c r="N6" s="27" t="s">
        <v>200</v>
      </c>
      <c r="O6" s="27">
        <v>38613.199999999997</v>
      </c>
      <c r="P6" s="27">
        <v>22216.6</v>
      </c>
      <c r="Q6" s="27">
        <v>10364.5</v>
      </c>
      <c r="R6" s="27">
        <v>3219.1</v>
      </c>
      <c r="S6" s="27">
        <v>-828.78100000000029</v>
      </c>
      <c r="T6" s="27">
        <v>-3010.2</v>
      </c>
      <c r="U6" s="27">
        <v>-3936.59</v>
      </c>
      <c r="V6" s="27">
        <v>-3960.21</v>
      </c>
      <c r="W6" s="27">
        <v>-3839.24</v>
      </c>
      <c r="X6" s="27">
        <v>-3683.52</v>
      </c>
      <c r="Y6" s="27">
        <v>-3509.14</v>
      </c>
      <c r="Z6" s="27">
        <v>-3328.08</v>
      </c>
      <c r="AA6" s="27">
        <v>-3147.93</v>
      </c>
      <c r="AB6" s="27">
        <v>-2971.81</v>
      </c>
      <c r="AC6" s="27">
        <v>-2801.65</v>
      </c>
      <c r="AD6" s="27">
        <v>-2638.63</v>
      </c>
    </row>
    <row r="7" spans="1:30">
      <c r="A7" s="27" t="s">
        <v>207</v>
      </c>
      <c r="B7" s="27" t="s">
        <v>208</v>
      </c>
      <c r="C7" s="27" t="s">
        <v>198</v>
      </c>
      <c r="D7" s="27" t="s">
        <v>1151</v>
      </c>
      <c r="E7" s="27" t="s">
        <v>75</v>
      </c>
      <c r="F7" s="27">
        <v>32281.145000257049</v>
      </c>
      <c r="G7" s="27">
        <v>36621.789087825673</v>
      </c>
      <c r="H7" s="27">
        <v>39410.654713591597</v>
      </c>
      <c r="I7" s="27">
        <v>43281.865512491539</v>
      </c>
      <c r="J7" s="27">
        <v>43627.90616719667</v>
      </c>
      <c r="K7" s="27" t="s">
        <v>200</v>
      </c>
      <c r="L7" s="27" t="s">
        <v>200</v>
      </c>
      <c r="M7" s="27" t="s">
        <v>200</v>
      </c>
      <c r="N7" s="27" t="s">
        <v>200</v>
      </c>
      <c r="O7" s="27">
        <v>29306.425680878059</v>
      </c>
      <c r="P7" s="27">
        <v>18609.380594224331</v>
      </c>
      <c r="Q7" s="27">
        <v>13313.19077653543</v>
      </c>
      <c r="R7" s="27">
        <v>9533.1880666451816</v>
      </c>
      <c r="S7" s="27">
        <v>6368.9639971122233</v>
      </c>
      <c r="T7" s="27">
        <v>3985.846326703519</v>
      </c>
      <c r="U7" s="27">
        <v>2429.420669683434</v>
      </c>
      <c r="V7" s="27">
        <v>1191.3726217146771</v>
      </c>
      <c r="W7" s="27" t="s">
        <v>200</v>
      </c>
      <c r="X7" s="27">
        <v>-6.3192906031870005E-4</v>
      </c>
      <c r="Y7" s="27" t="s">
        <v>200</v>
      </c>
      <c r="Z7" s="27">
        <v>-2.3968214009070001E-4</v>
      </c>
      <c r="AA7" s="27" t="s">
        <v>200</v>
      </c>
      <c r="AB7" s="27">
        <v>-3.2391825598097001E-3</v>
      </c>
      <c r="AC7" s="27" t="s">
        <v>200</v>
      </c>
      <c r="AD7" s="27">
        <v>-5.4526051803799997E-4</v>
      </c>
    </row>
    <row r="8" spans="1:30">
      <c r="A8" s="27" t="s">
        <v>209</v>
      </c>
      <c r="B8" s="27" t="s">
        <v>210</v>
      </c>
      <c r="C8" s="27" t="s">
        <v>198</v>
      </c>
      <c r="D8" s="27" t="s">
        <v>1151</v>
      </c>
      <c r="E8" s="27" t="s">
        <v>75</v>
      </c>
      <c r="F8" s="27" t="s">
        <v>200</v>
      </c>
      <c r="G8" s="27" t="s">
        <v>200</v>
      </c>
      <c r="H8" s="27">
        <v>35827.9692</v>
      </c>
      <c r="I8" s="27">
        <v>37971.17839999999</v>
      </c>
      <c r="J8" s="27">
        <v>41205.934500000003</v>
      </c>
      <c r="K8" s="27" t="s">
        <v>200</v>
      </c>
      <c r="L8" s="27" t="s">
        <v>200</v>
      </c>
      <c r="M8" s="27" t="s">
        <v>200</v>
      </c>
      <c r="N8" s="27" t="s">
        <v>200</v>
      </c>
      <c r="O8" s="27">
        <v>32038.043799999999</v>
      </c>
      <c r="P8" s="27">
        <v>23736.8547</v>
      </c>
      <c r="Q8" s="27">
        <v>14622.1109</v>
      </c>
      <c r="R8" s="27">
        <v>7044.4929000000011</v>
      </c>
      <c r="S8" s="27">
        <v>3660.5812000000001</v>
      </c>
      <c r="T8" s="27">
        <v>1717.8597</v>
      </c>
      <c r="U8" s="27">
        <v>-1133.2962</v>
      </c>
      <c r="V8" s="27">
        <v>-3729.0356000000002</v>
      </c>
      <c r="W8" s="27">
        <v>-6391.7153999999991</v>
      </c>
      <c r="X8" s="27">
        <v>-6407.3865000000014</v>
      </c>
      <c r="Y8" s="27">
        <v>-6421.4535000000014</v>
      </c>
      <c r="Z8" s="27">
        <v>-7418.592599999999</v>
      </c>
      <c r="AA8" s="27">
        <v>-7428.2635999999993</v>
      </c>
      <c r="AB8" s="27">
        <v>-7439.9558999999999</v>
      </c>
      <c r="AC8" s="27">
        <v>-7450.6285000000016</v>
      </c>
      <c r="AD8" s="27">
        <v>-7459.0432000000001</v>
      </c>
    </row>
    <row r="9" spans="1:30">
      <c r="A9" s="27" t="s">
        <v>211</v>
      </c>
      <c r="B9" s="27" t="s">
        <v>212</v>
      </c>
      <c r="C9" s="27" t="s">
        <v>198</v>
      </c>
      <c r="D9" s="27" t="s">
        <v>1151</v>
      </c>
      <c r="E9" s="27" t="s">
        <v>75</v>
      </c>
      <c r="F9" s="27">
        <v>33061.586610158301</v>
      </c>
      <c r="G9" s="27">
        <v>37547.034504890398</v>
      </c>
      <c r="H9" s="27">
        <v>40094.788285255403</v>
      </c>
      <c r="I9" s="27" t="s">
        <v>200</v>
      </c>
      <c r="J9" s="27">
        <v>41037.408336957298</v>
      </c>
      <c r="K9" s="27" t="s">
        <v>200</v>
      </c>
      <c r="L9" s="27" t="s">
        <v>200</v>
      </c>
      <c r="M9" s="27" t="s">
        <v>200</v>
      </c>
      <c r="N9" s="27" t="s">
        <v>200</v>
      </c>
      <c r="O9" s="27" t="s">
        <v>200</v>
      </c>
      <c r="P9" s="27">
        <v>15744.3794578336</v>
      </c>
      <c r="Q9" s="27" t="s">
        <v>200</v>
      </c>
      <c r="R9" s="27">
        <v>6340.0932504167104</v>
      </c>
      <c r="S9" s="27" t="s">
        <v>200</v>
      </c>
      <c r="T9" s="27">
        <v>-523.13594544349201</v>
      </c>
      <c r="U9" s="27" t="s">
        <v>200</v>
      </c>
      <c r="V9" s="27">
        <v>-8790.3228012705586</v>
      </c>
      <c r="W9" s="27" t="s">
        <v>200</v>
      </c>
      <c r="X9" s="27">
        <v>-10828.029571274899</v>
      </c>
      <c r="Y9" s="27" t="s">
        <v>200</v>
      </c>
      <c r="Z9" s="27">
        <v>-12677.776426004</v>
      </c>
      <c r="AA9" s="27" t="s">
        <v>200</v>
      </c>
      <c r="AB9" s="27">
        <v>-13738.5994049164</v>
      </c>
      <c r="AC9" s="27" t="s">
        <v>200</v>
      </c>
      <c r="AD9" s="27">
        <v>-14214.5411382611</v>
      </c>
    </row>
    <row r="10" spans="1:30">
      <c r="A10" s="27" t="s">
        <v>196</v>
      </c>
      <c r="B10" s="27" t="s">
        <v>213</v>
      </c>
      <c r="C10" s="27" t="s">
        <v>198</v>
      </c>
      <c r="D10" s="27" t="s">
        <v>1151</v>
      </c>
      <c r="E10" s="27" t="s">
        <v>75</v>
      </c>
      <c r="F10" s="27" t="s">
        <v>200</v>
      </c>
      <c r="G10" s="27">
        <v>33403.968399999998</v>
      </c>
      <c r="H10" s="27">
        <v>36877.948400000001</v>
      </c>
      <c r="I10" s="27">
        <v>38547.826800000003</v>
      </c>
      <c r="J10" s="27">
        <v>39240.891499999998</v>
      </c>
      <c r="K10" s="27" t="s">
        <v>200</v>
      </c>
      <c r="L10" s="27" t="s">
        <v>200</v>
      </c>
      <c r="M10" s="27" t="s">
        <v>200</v>
      </c>
      <c r="N10" s="27" t="s">
        <v>200</v>
      </c>
      <c r="O10" s="27">
        <v>30526.272799999999</v>
      </c>
      <c r="P10" s="27">
        <v>23790.754400000002</v>
      </c>
      <c r="Q10" s="27">
        <v>17645.487700000001</v>
      </c>
      <c r="R10" s="27">
        <v>13253.857</v>
      </c>
      <c r="S10" s="27">
        <v>9532.7415999999994</v>
      </c>
      <c r="T10" s="27">
        <v>6081.4462999999996</v>
      </c>
      <c r="U10" s="27">
        <v>4064.6923999999999</v>
      </c>
      <c r="V10" s="27">
        <v>2299.2548000000002</v>
      </c>
      <c r="W10" s="27" t="s">
        <v>200</v>
      </c>
      <c r="X10" s="27">
        <v>-540.23509999999999</v>
      </c>
      <c r="Y10" s="27" t="s">
        <v>200</v>
      </c>
      <c r="Z10" s="27">
        <v>-2086.7302</v>
      </c>
      <c r="AA10" s="27" t="s">
        <v>200</v>
      </c>
      <c r="AB10" s="27">
        <v>-2822.3177000000001</v>
      </c>
      <c r="AC10" s="27" t="s">
        <v>200</v>
      </c>
      <c r="AD10" s="27">
        <v>-3601.9425999999999</v>
      </c>
    </row>
    <row r="11" spans="1:30">
      <c r="A11" s="27" t="s">
        <v>214</v>
      </c>
      <c r="B11" s="27" t="s">
        <v>215</v>
      </c>
      <c r="C11" s="27" t="s">
        <v>198</v>
      </c>
      <c r="D11" s="27" t="s">
        <v>1151</v>
      </c>
      <c r="E11" s="27" t="s">
        <v>75</v>
      </c>
      <c r="F11" s="27" t="s">
        <v>200</v>
      </c>
      <c r="G11" s="27">
        <v>31887.314669969001</v>
      </c>
      <c r="H11" s="27">
        <v>35775.431715410101</v>
      </c>
      <c r="I11" s="27" t="s">
        <v>200</v>
      </c>
      <c r="J11" s="27">
        <v>37684.359728552903</v>
      </c>
      <c r="K11" s="27" t="s">
        <v>200</v>
      </c>
      <c r="L11" s="27" t="s">
        <v>200</v>
      </c>
      <c r="M11" s="27" t="s">
        <v>200</v>
      </c>
      <c r="N11" s="27" t="s">
        <v>200</v>
      </c>
      <c r="O11" s="27" t="s">
        <v>200</v>
      </c>
      <c r="P11" s="27">
        <v>19308.132581919101</v>
      </c>
      <c r="Q11" s="27" t="s">
        <v>200</v>
      </c>
      <c r="R11" s="27">
        <v>10579.887310398601</v>
      </c>
      <c r="S11" s="27" t="s">
        <v>200</v>
      </c>
      <c r="T11" s="27">
        <v>3262.7044009011502</v>
      </c>
      <c r="U11" s="27" t="s">
        <v>200</v>
      </c>
      <c r="V11" s="27">
        <v>-633.59965904181797</v>
      </c>
      <c r="W11" s="27" t="s">
        <v>200</v>
      </c>
      <c r="X11" s="27">
        <v>-4335.4414357420301</v>
      </c>
      <c r="Y11" s="27" t="s">
        <v>200</v>
      </c>
      <c r="Z11" s="27">
        <v>-8420.9830750889796</v>
      </c>
      <c r="AA11" s="27" t="s">
        <v>200</v>
      </c>
      <c r="AB11" s="27">
        <v>-12963.8287969501</v>
      </c>
      <c r="AC11" s="27" t="s">
        <v>200</v>
      </c>
      <c r="AD11" s="27">
        <v>-17674.1664086323</v>
      </c>
    </row>
    <row r="12" spans="1:30">
      <c r="A12" s="27" t="s">
        <v>216</v>
      </c>
      <c r="B12" s="27" t="s">
        <v>217</v>
      </c>
      <c r="C12" s="27" t="s">
        <v>198</v>
      </c>
      <c r="D12" s="27" t="s">
        <v>1151</v>
      </c>
      <c r="E12" s="27" t="s">
        <v>75</v>
      </c>
      <c r="F12" s="27">
        <v>32281.145000257002</v>
      </c>
      <c r="G12" s="27">
        <v>36621.789087825702</v>
      </c>
      <c r="H12" s="27">
        <v>39410.654713591597</v>
      </c>
      <c r="I12" s="27">
        <v>43281.865512491502</v>
      </c>
      <c r="J12" s="27">
        <v>41367.370131995202</v>
      </c>
      <c r="K12" s="27">
        <v>38770.006604609203</v>
      </c>
      <c r="L12" s="27">
        <v>35433.256925022601</v>
      </c>
      <c r="M12" s="27">
        <v>32956.0125944338</v>
      </c>
      <c r="N12" s="27">
        <v>30759.812050636101</v>
      </c>
      <c r="O12" s="27">
        <v>29353.598214219201</v>
      </c>
      <c r="P12" s="27">
        <v>17545.525969105602</v>
      </c>
      <c r="Q12" s="27">
        <v>11560.555991716399</v>
      </c>
      <c r="R12" s="27">
        <v>7267.9199162831901</v>
      </c>
      <c r="S12" s="27">
        <v>4042.7039963336101</v>
      </c>
      <c r="T12" s="27">
        <v>1479.9665161897301</v>
      </c>
      <c r="U12" s="27">
        <v>7.7924634365440001E-4</v>
      </c>
      <c r="V12" s="27">
        <v>-0.21901382638213801</v>
      </c>
      <c r="W12" s="27" t="s">
        <v>200</v>
      </c>
      <c r="X12" s="27">
        <v>1.25946189327874</v>
      </c>
      <c r="Y12" s="27" t="s">
        <v>200</v>
      </c>
      <c r="Z12" s="27">
        <v>1.23635072971751</v>
      </c>
      <c r="AA12" s="27" t="s">
        <v>200</v>
      </c>
      <c r="AB12" s="27">
        <v>-7.5602112497099997E-4</v>
      </c>
      <c r="AC12" s="27" t="s">
        <v>200</v>
      </c>
      <c r="AD12" s="27">
        <v>2.8075291743330001E-4</v>
      </c>
    </row>
    <row r="13" spans="1:30">
      <c r="A13" s="27" t="s">
        <v>218</v>
      </c>
      <c r="B13" s="27" t="s">
        <v>219</v>
      </c>
      <c r="C13" s="27" t="s">
        <v>198</v>
      </c>
      <c r="D13" s="27" t="s">
        <v>1151</v>
      </c>
      <c r="E13" s="27" t="s">
        <v>75</v>
      </c>
      <c r="F13" s="27" t="s">
        <v>200</v>
      </c>
      <c r="G13" s="27">
        <v>36193.637900000002</v>
      </c>
      <c r="H13" s="27">
        <v>40127.095200000003</v>
      </c>
      <c r="I13" s="27">
        <v>45416.179400000001</v>
      </c>
      <c r="J13" s="27">
        <v>45912.145299999996</v>
      </c>
      <c r="K13" s="27" t="s">
        <v>200</v>
      </c>
      <c r="L13" s="27" t="s">
        <v>200</v>
      </c>
      <c r="M13" s="27" t="s">
        <v>200</v>
      </c>
      <c r="N13" s="27" t="s">
        <v>200</v>
      </c>
      <c r="O13" s="27">
        <v>34806.82</v>
      </c>
      <c r="P13" s="27">
        <v>21833.63</v>
      </c>
      <c r="Q13" s="27">
        <v>9872.6679999999997</v>
      </c>
      <c r="R13" s="27">
        <v>2026.83</v>
      </c>
      <c r="S13" s="27">
        <v>-2386.0419999999999</v>
      </c>
      <c r="T13" s="27">
        <v>-4138.433</v>
      </c>
      <c r="U13" s="27">
        <v>-5355.9459999999999</v>
      </c>
      <c r="V13" s="27">
        <v>-6649.1369999999997</v>
      </c>
      <c r="W13" s="27" t="s">
        <v>200</v>
      </c>
      <c r="X13" s="27">
        <v>-9079.0370000000003</v>
      </c>
      <c r="Y13" s="27" t="s">
        <v>200</v>
      </c>
      <c r="Z13" s="27">
        <v>-10585.01</v>
      </c>
      <c r="AA13" s="27" t="s">
        <v>200</v>
      </c>
      <c r="AB13" s="27">
        <v>-11120.81</v>
      </c>
      <c r="AC13" s="27" t="s">
        <v>200</v>
      </c>
      <c r="AD13" s="27">
        <v>-11338.93</v>
      </c>
    </row>
    <row r="14" spans="1:30">
      <c r="A14" s="27" t="s">
        <v>220</v>
      </c>
      <c r="B14" s="27" t="s">
        <v>221</v>
      </c>
      <c r="C14" s="27" t="s">
        <v>198</v>
      </c>
      <c r="D14" s="27" t="s">
        <v>1151</v>
      </c>
      <c r="E14" s="27" t="s">
        <v>75</v>
      </c>
      <c r="F14" s="27" t="s">
        <v>200</v>
      </c>
      <c r="G14" s="27">
        <v>31922.044353861202</v>
      </c>
      <c r="H14" s="27">
        <v>35303.387759762001</v>
      </c>
      <c r="I14" s="27" t="s">
        <v>200</v>
      </c>
      <c r="J14" s="27">
        <v>39253.0014906949</v>
      </c>
      <c r="K14" s="27" t="s">
        <v>200</v>
      </c>
      <c r="L14" s="27" t="s">
        <v>200</v>
      </c>
      <c r="M14" s="27" t="s">
        <v>200</v>
      </c>
      <c r="N14" s="27" t="s">
        <v>200</v>
      </c>
      <c r="O14" s="27" t="s">
        <v>200</v>
      </c>
      <c r="P14" s="27">
        <v>12740.211952387899</v>
      </c>
      <c r="Q14" s="27" t="s">
        <v>200</v>
      </c>
      <c r="R14" s="27">
        <v>9285.9841879037504</v>
      </c>
      <c r="S14" s="27" t="s">
        <v>200</v>
      </c>
      <c r="T14" s="27">
        <v>4192.56193177157</v>
      </c>
      <c r="U14" s="27" t="s">
        <v>200</v>
      </c>
      <c r="V14" s="27">
        <v>-184.16791397351011</v>
      </c>
      <c r="W14" s="27" t="s">
        <v>200</v>
      </c>
      <c r="X14" s="27">
        <v>-3538.62954672054</v>
      </c>
      <c r="Y14" s="27" t="s">
        <v>200</v>
      </c>
      <c r="Z14" s="27">
        <v>-7245.6664753955592</v>
      </c>
      <c r="AA14" s="27" t="s">
        <v>200</v>
      </c>
      <c r="AB14" s="27">
        <v>-9358.9838325066794</v>
      </c>
      <c r="AC14" s="27" t="s">
        <v>200</v>
      </c>
      <c r="AD14" s="27">
        <v>-10801.623721255</v>
      </c>
    </row>
    <row r="15" spans="1:30">
      <c r="A15" s="27" t="s">
        <v>222</v>
      </c>
      <c r="B15" s="27" t="s">
        <v>223</v>
      </c>
      <c r="C15" s="27" t="s">
        <v>198</v>
      </c>
      <c r="D15" s="27" t="s">
        <v>1151</v>
      </c>
      <c r="E15" s="27" t="s">
        <v>75</v>
      </c>
      <c r="F15" s="27" t="s">
        <v>200</v>
      </c>
      <c r="G15" s="27">
        <v>33205.426399999997</v>
      </c>
      <c r="H15" s="27">
        <v>37640.729399999997</v>
      </c>
      <c r="I15" s="27">
        <v>40369.946799999998</v>
      </c>
      <c r="J15" s="27">
        <v>42883.990700000002</v>
      </c>
      <c r="K15" s="27" t="s">
        <v>200</v>
      </c>
      <c r="L15" s="27" t="s">
        <v>200</v>
      </c>
      <c r="M15" s="27" t="s">
        <v>200</v>
      </c>
      <c r="N15" s="27" t="s">
        <v>200</v>
      </c>
      <c r="O15" s="27">
        <v>31826.951799999999</v>
      </c>
      <c r="P15" s="27">
        <v>20170.559399999998</v>
      </c>
      <c r="Q15" s="27">
        <v>13519.938</v>
      </c>
      <c r="R15" s="27">
        <v>8468.9326000000001</v>
      </c>
      <c r="S15" s="27">
        <v>4583.7033000000001</v>
      </c>
      <c r="T15" s="27">
        <v>2324.0504000000001</v>
      </c>
      <c r="U15" s="27">
        <v>885.0317</v>
      </c>
      <c r="V15" s="27">
        <v>-64.941500000000005</v>
      </c>
      <c r="W15" s="27" t="s">
        <v>200</v>
      </c>
      <c r="X15" s="27">
        <v>-945.24030000000005</v>
      </c>
      <c r="Y15" s="27" t="s">
        <v>200</v>
      </c>
      <c r="Z15" s="27">
        <v>-1269.17</v>
      </c>
      <c r="AA15" s="27" t="s">
        <v>200</v>
      </c>
      <c r="AB15" s="27">
        <v>-1572.1362999999999</v>
      </c>
      <c r="AC15" s="27" t="s">
        <v>200</v>
      </c>
      <c r="AD15" s="27">
        <v>-1711.9883</v>
      </c>
    </row>
    <row r="16" spans="1:30">
      <c r="A16" s="27" t="s">
        <v>196</v>
      </c>
      <c r="B16" s="27" t="s">
        <v>224</v>
      </c>
      <c r="C16" s="27" t="s">
        <v>198</v>
      </c>
      <c r="D16" s="27" t="s">
        <v>1151</v>
      </c>
      <c r="E16" s="27" t="s">
        <v>75</v>
      </c>
      <c r="F16" s="27" t="s">
        <v>200</v>
      </c>
      <c r="G16" s="27">
        <v>33402.863100000002</v>
      </c>
      <c r="H16" s="27">
        <v>36880.116300000002</v>
      </c>
      <c r="I16" s="27">
        <v>38550.176700000004</v>
      </c>
      <c r="J16" s="27">
        <v>39262.8459</v>
      </c>
      <c r="K16" s="27" t="s">
        <v>200</v>
      </c>
      <c r="L16" s="27" t="s">
        <v>200</v>
      </c>
      <c r="M16" s="27" t="s">
        <v>200</v>
      </c>
      <c r="N16" s="27" t="s">
        <v>200</v>
      </c>
      <c r="O16" s="27">
        <v>30968.970499999999</v>
      </c>
      <c r="P16" s="27">
        <v>23639.188200000001</v>
      </c>
      <c r="Q16" s="27">
        <v>17449.512500000001</v>
      </c>
      <c r="R16" s="27">
        <v>13284.094800000001</v>
      </c>
      <c r="S16" s="27">
        <v>9590.4850999999999</v>
      </c>
      <c r="T16" s="27">
        <v>5389.4309999999996</v>
      </c>
      <c r="U16" s="27">
        <v>2433.6405</v>
      </c>
      <c r="V16" s="27">
        <v>285.02839999999998</v>
      </c>
      <c r="W16" s="27" t="s">
        <v>200</v>
      </c>
      <c r="X16" s="27">
        <v>-2557.5922999999998</v>
      </c>
      <c r="Y16" s="27" t="s">
        <v>200</v>
      </c>
      <c r="Z16" s="27">
        <v>-5767.1251000000002</v>
      </c>
      <c r="AA16" s="27" t="s">
        <v>200</v>
      </c>
      <c r="AB16" s="27">
        <v>-10555.043799999999</v>
      </c>
      <c r="AC16" s="27" t="s">
        <v>200</v>
      </c>
      <c r="AD16" s="27">
        <v>-14599.9912</v>
      </c>
    </row>
    <row r="17" spans="1:30">
      <c r="A17" s="27" t="s">
        <v>207</v>
      </c>
      <c r="B17" s="27" t="s">
        <v>225</v>
      </c>
      <c r="C17" s="27" t="s">
        <v>198</v>
      </c>
      <c r="D17" s="27" t="s">
        <v>1151</v>
      </c>
      <c r="E17" s="27" t="s">
        <v>75</v>
      </c>
      <c r="F17" s="27">
        <v>32281.145000257049</v>
      </c>
      <c r="G17" s="27">
        <v>36621.789087825673</v>
      </c>
      <c r="H17" s="27">
        <v>39410.654713591597</v>
      </c>
      <c r="I17" s="27">
        <v>43281.865512491539</v>
      </c>
      <c r="J17" s="27">
        <v>43640.196315084941</v>
      </c>
      <c r="K17" s="27" t="s">
        <v>200</v>
      </c>
      <c r="L17" s="27" t="s">
        <v>200</v>
      </c>
      <c r="M17" s="27" t="s">
        <v>200</v>
      </c>
      <c r="N17" s="27" t="s">
        <v>200</v>
      </c>
      <c r="O17" s="27">
        <v>29518.584397404611</v>
      </c>
      <c r="P17" s="27">
        <v>19006.86385583943</v>
      </c>
      <c r="Q17" s="27">
        <v>13684.826477050719</v>
      </c>
      <c r="R17" s="27">
        <v>9828.4422976873448</v>
      </c>
      <c r="S17" s="27">
        <v>6418.6054800444981</v>
      </c>
      <c r="T17" s="27">
        <v>3662.119689276919</v>
      </c>
      <c r="U17" s="27">
        <v>1992.412235782605</v>
      </c>
      <c r="V17" s="27">
        <v>819.37444423919305</v>
      </c>
      <c r="W17" s="27" t="s">
        <v>200</v>
      </c>
      <c r="X17" s="27">
        <v>-9.1673284850909997E-4</v>
      </c>
      <c r="Y17" s="27" t="s">
        <v>200</v>
      </c>
      <c r="Z17" s="27">
        <v>5.515851612472E-4</v>
      </c>
      <c r="AA17" s="27" t="s">
        <v>200</v>
      </c>
      <c r="AB17" s="27">
        <v>-2.4384327878123999E-3</v>
      </c>
      <c r="AC17" s="27" t="s">
        <v>200</v>
      </c>
      <c r="AD17" s="27">
        <v>-1.7232989681815501E-2</v>
      </c>
    </row>
    <row r="18" spans="1:30">
      <c r="A18" s="27" t="s">
        <v>226</v>
      </c>
      <c r="B18" s="27" t="s">
        <v>227</v>
      </c>
      <c r="C18" s="27" t="s">
        <v>198</v>
      </c>
      <c r="D18" s="27" t="s">
        <v>1151</v>
      </c>
      <c r="E18" s="27" t="s">
        <v>75</v>
      </c>
      <c r="F18" s="27" t="s">
        <v>200</v>
      </c>
      <c r="G18" s="27">
        <v>34962.244700000003</v>
      </c>
      <c r="H18" s="27">
        <v>38805.883300000001</v>
      </c>
      <c r="I18" s="27">
        <v>43619.625899999999</v>
      </c>
      <c r="J18" s="27">
        <v>44547.864000000001</v>
      </c>
      <c r="K18" s="27" t="s">
        <v>200</v>
      </c>
      <c r="L18" s="27" t="s">
        <v>200</v>
      </c>
      <c r="M18" s="27" t="s">
        <v>200</v>
      </c>
      <c r="N18" s="27" t="s">
        <v>200</v>
      </c>
      <c r="O18" s="27">
        <v>36227.868499999997</v>
      </c>
      <c r="P18" s="27">
        <v>27596.771499999999</v>
      </c>
      <c r="Q18" s="27">
        <v>18929.705099999999</v>
      </c>
      <c r="R18" s="27">
        <v>12376.5167</v>
      </c>
      <c r="S18" s="27">
        <v>7316.9053000000004</v>
      </c>
      <c r="T18" s="27">
        <v>4061.7082999999998</v>
      </c>
      <c r="U18" s="27">
        <v>1706.5323000000001</v>
      </c>
      <c r="V18" s="27">
        <v>351.59019999999998</v>
      </c>
      <c r="W18" s="27" t="s">
        <v>200</v>
      </c>
      <c r="X18" s="27">
        <v>-1047.4187999999999</v>
      </c>
      <c r="Y18" s="27" t="s">
        <v>200</v>
      </c>
      <c r="Z18" s="27">
        <v>-686.73320000000001</v>
      </c>
      <c r="AA18" s="27" t="s">
        <v>200</v>
      </c>
      <c r="AB18" s="27">
        <v>-169.04169999999999</v>
      </c>
      <c r="AC18" s="27" t="s">
        <v>200</v>
      </c>
      <c r="AD18" s="27">
        <v>-259.59440000000001</v>
      </c>
    </row>
    <row r="19" spans="1:30">
      <c r="A19" s="27" t="s">
        <v>226</v>
      </c>
      <c r="B19" s="27" t="s">
        <v>228</v>
      </c>
      <c r="C19" s="27" t="s">
        <v>198</v>
      </c>
      <c r="D19" s="27" t="s">
        <v>1151</v>
      </c>
      <c r="E19" s="27" t="s">
        <v>75</v>
      </c>
      <c r="F19" s="27" t="s">
        <v>200</v>
      </c>
      <c r="G19" s="27">
        <v>34957.946799999998</v>
      </c>
      <c r="H19" s="27">
        <v>38627.517899999999</v>
      </c>
      <c r="I19" s="27">
        <v>43133.892899999999</v>
      </c>
      <c r="J19" s="27">
        <v>44188.269</v>
      </c>
      <c r="K19" s="27" t="s">
        <v>200</v>
      </c>
      <c r="L19" s="27" t="s">
        <v>200</v>
      </c>
      <c r="M19" s="27" t="s">
        <v>200</v>
      </c>
      <c r="N19" s="27" t="s">
        <v>200</v>
      </c>
      <c r="O19" s="27">
        <v>36201.450499999999</v>
      </c>
      <c r="P19" s="27">
        <v>27483.37</v>
      </c>
      <c r="Q19" s="27">
        <v>18529.026099999999</v>
      </c>
      <c r="R19" s="27">
        <v>11296.4087</v>
      </c>
      <c r="S19" s="27">
        <v>4756.8433000000005</v>
      </c>
      <c r="T19" s="27">
        <v>-263.60860000000002</v>
      </c>
      <c r="U19" s="27">
        <v>-4521.5073000000002</v>
      </c>
      <c r="V19" s="27">
        <v>-7671.076</v>
      </c>
      <c r="W19" s="27" t="s">
        <v>200</v>
      </c>
      <c r="X19" s="27">
        <v>-11747.720799999999</v>
      </c>
      <c r="Y19" s="27" t="s">
        <v>200</v>
      </c>
      <c r="Z19" s="27">
        <v>-13608.9593</v>
      </c>
      <c r="AA19" s="27" t="s">
        <v>200</v>
      </c>
      <c r="AB19" s="27">
        <v>-14450.632600000001</v>
      </c>
      <c r="AC19" s="27" t="s">
        <v>200</v>
      </c>
      <c r="AD19" s="27">
        <v>-15504.237499999999</v>
      </c>
    </row>
    <row r="20" spans="1:30">
      <c r="A20" s="27" t="s">
        <v>207</v>
      </c>
      <c r="B20" s="27" t="s">
        <v>229</v>
      </c>
      <c r="C20" s="27" t="s">
        <v>198</v>
      </c>
      <c r="D20" s="27" t="s">
        <v>1151</v>
      </c>
      <c r="E20" s="27" t="s">
        <v>75</v>
      </c>
      <c r="F20" s="27">
        <v>32281.145000257049</v>
      </c>
      <c r="G20" s="27">
        <v>36621.789087825673</v>
      </c>
      <c r="H20" s="27">
        <v>39410.654713591597</v>
      </c>
      <c r="I20" s="27">
        <v>43281.865512491539</v>
      </c>
      <c r="J20" s="27">
        <v>43669.039824083316</v>
      </c>
      <c r="K20" s="27" t="s">
        <v>200</v>
      </c>
      <c r="L20" s="27" t="s">
        <v>200</v>
      </c>
      <c r="M20" s="27" t="s">
        <v>200</v>
      </c>
      <c r="N20" s="27" t="s">
        <v>200</v>
      </c>
      <c r="O20" s="27">
        <v>29779.39987524147</v>
      </c>
      <c r="P20" s="27">
        <v>19370.36110415823</v>
      </c>
      <c r="Q20" s="27">
        <v>13788.793435666759</v>
      </c>
      <c r="R20" s="27">
        <v>9928.5213829812128</v>
      </c>
      <c r="S20" s="27">
        <v>6383.5543358941504</v>
      </c>
      <c r="T20" s="27">
        <v>3524.9076942892698</v>
      </c>
      <c r="U20" s="27">
        <v>1725.0452285604399</v>
      </c>
      <c r="V20" s="27">
        <v>426.84579546106829</v>
      </c>
      <c r="W20" s="27" t="s">
        <v>200</v>
      </c>
      <c r="X20" s="27">
        <v>-1.0588963370885269</v>
      </c>
      <c r="Y20" s="27" t="s">
        <v>200</v>
      </c>
      <c r="Z20" s="27">
        <v>5.9379292805715501E-2</v>
      </c>
      <c r="AA20" s="27" t="s">
        <v>200</v>
      </c>
      <c r="AB20" s="27">
        <v>-1.4093328275066E-3</v>
      </c>
      <c r="AC20" s="27" t="s">
        <v>200</v>
      </c>
      <c r="AD20" s="27">
        <v>1.522086972727E-4</v>
      </c>
    </row>
    <row r="21" spans="1:30">
      <c r="A21" s="27" t="s">
        <v>207</v>
      </c>
      <c r="B21" s="27" t="s">
        <v>230</v>
      </c>
      <c r="C21" s="27" t="s">
        <v>198</v>
      </c>
      <c r="D21" s="27" t="s">
        <v>1151</v>
      </c>
      <c r="E21" s="27" t="s">
        <v>75</v>
      </c>
      <c r="F21" s="27">
        <v>32281.145000257049</v>
      </c>
      <c r="G21" s="27">
        <v>36621.789087825673</v>
      </c>
      <c r="H21" s="27">
        <v>39410.654713591597</v>
      </c>
      <c r="I21" s="27">
        <v>43281.865512491539</v>
      </c>
      <c r="J21" s="27">
        <v>43966.419851096012</v>
      </c>
      <c r="K21" s="27" t="s">
        <v>200</v>
      </c>
      <c r="L21" s="27" t="s">
        <v>200</v>
      </c>
      <c r="M21" s="27" t="s">
        <v>200</v>
      </c>
      <c r="N21" s="27" t="s">
        <v>200</v>
      </c>
      <c r="O21" s="27">
        <v>26347.12457419957</v>
      </c>
      <c r="P21" s="27">
        <v>14236.61751170268</v>
      </c>
      <c r="Q21" s="27">
        <v>8755.7872250621313</v>
      </c>
      <c r="R21" s="27">
        <v>4584.3888110789503</v>
      </c>
      <c r="S21" s="27">
        <v>1825.6022226747209</v>
      </c>
      <c r="T21" s="27">
        <v>-0.26057543510785308</v>
      </c>
      <c r="U21" s="27">
        <v>-6.7850204409071466</v>
      </c>
      <c r="V21" s="27">
        <v>-17.37301136048757</v>
      </c>
      <c r="W21" s="27" t="s">
        <v>200</v>
      </c>
      <c r="X21" s="27">
        <v>22.065474068460158</v>
      </c>
      <c r="Y21" s="27" t="s">
        <v>200</v>
      </c>
      <c r="Z21" s="27">
        <v>6.1394697579000876</v>
      </c>
      <c r="AA21" s="27" t="s">
        <v>200</v>
      </c>
      <c r="AB21" s="27">
        <v>5.1866644670453752</v>
      </c>
      <c r="AC21" s="27" t="s">
        <v>200</v>
      </c>
      <c r="AD21" s="27">
        <v>-4.2318673338140798</v>
      </c>
    </row>
    <row r="22" spans="1:30">
      <c r="A22" s="27" t="s">
        <v>231</v>
      </c>
      <c r="B22" s="27" t="s">
        <v>232</v>
      </c>
      <c r="C22" s="27" t="s">
        <v>198</v>
      </c>
      <c r="D22" s="27" t="s">
        <v>1151</v>
      </c>
      <c r="E22" s="27" t="s">
        <v>75</v>
      </c>
      <c r="F22" s="27" t="s">
        <v>200</v>
      </c>
      <c r="G22" s="27">
        <v>31425.841505781002</v>
      </c>
      <c r="H22" s="27">
        <v>36026.159183053402</v>
      </c>
      <c r="I22" s="27">
        <v>38629.646532412298</v>
      </c>
      <c r="J22" s="27">
        <v>39923.669693854601</v>
      </c>
      <c r="K22" s="27" t="s">
        <v>200</v>
      </c>
      <c r="L22" s="27" t="s">
        <v>200</v>
      </c>
      <c r="M22" s="27" t="s">
        <v>200</v>
      </c>
      <c r="N22" s="27" t="s">
        <v>200</v>
      </c>
      <c r="O22" s="27">
        <v>23076.7133687776</v>
      </c>
      <c r="P22" s="27">
        <v>7538.3873338882604</v>
      </c>
      <c r="Q22" s="27">
        <v>-8000.0031685068898</v>
      </c>
      <c r="R22" s="27">
        <v>-8000.0049681345899</v>
      </c>
      <c r="S22" s="27">
        <v>-8000.00055849614</v>
      </c>
      <c r="T22" s="27">
        <v>-8000.00258752027</v>
      </c>
      <c r="U22" s="27">
        <v>-8000.0140764292801</v>
      </c>
      <c r="V22" s="27">
        <v>-7999.96205023122</v>
      </c>
      <c r="W22" s="27">
        <v>-7999.9971007884496</v>
      </c>
      <c r="X22" s="27">
        <v>-8000.0534450661498</v>
      </c>
      <c r="Y22" s="27">
        <v>-7999.9994962349401</v>
      </c>
      <c r="Z22" s="27">
        <v>-8000.0064412450001</v>
      </c>
      <c r="AA22" s="27">
        <v>-8000.0410903300199</v>
      </c>
      <c r="AB22" s="27">
        <v>-7999.6836458297303</v>
      </c>
      <c r="AC22" s="27">
        <v>-8000.0839209918704</v>
      </c>
      <c r="AD22" s="27">
        <v>-8000.0045247222897</v>
      </c>
    </row>
    <row r="23" spans="1:30">
      <c r="A23" s="27" t="s">
        <v>233</v>
      </c>
      <c r="B23" s="27" t="s">
        <v>224</v>
      </c>
      <c r="C23" s="27" t="s">
        <v>198</v>
      </c>
      <c r="D23" s="27" t="s">
        <v>1151</v>
      </c>
      <c r="E23" s="27" t="s">
        <v>75</v>
      </c>
      <c r="F23" s="27" t="s">
        <v>200</v>
      </c>
      <c r="G23" s="27" t="s">
        <v>200</v>
      </c>
      <c r="H23" s="27">
        <v>34180.32677521334</v>
      </c>
      <c r="I23" s="27">
        <v>36958.048730520073</v>
      </c>
      <c r="J23" s="27">
        <v>37176.406751892602</v>
      </c>
      <c r="K23" s="27" t="s">
        <v>200</v>
      </c>
      <c r="L23" s="27" t="s">
        <v>200</v>
      </c>
      <c r="M23" s="27" t="s">
        <v>200</v>
      </c>
      <c r="N23" s="27" t="s">
        <v>200</v>
      </c>
      <c r="O23" s="27">
        <v>23345.107519262259</v>
      </c>
      <c r="P23" s="27">
        <v>18166.919047285031</v>
      </c>
      <c r="Q23" s="27">
        <v>13936.150410573329</v>
      </c>
      <c r="R23" s="27">
        <v>11220.41793459108</v>
      </c>
      <c r="S23" s="27">
        <v>7866.2744090018232</v>
      </c>
      <c r="T23" s="27">
        <v>4981.1473499566191</v>
      </c>
      <c r="U23" s="27">
        <v>2584.208071527607</v>
      </c>
      <c r="V23" s="27">
        <v>195.93697440426189</v>
      </c>
      <c r="W23" s="27">
        <v>-1515.1518126914671</v>
      </c>
      <c r="X23" s="27">
        <v>-3636.5628898631348</v>
      </c>
      <c r="Y23" s="27">
        <v>-6295.1206988540089</v>
      </c>
      <c r="Z23" s="27">
        <v>-8313.2716814279374</v>
      </c>
      <c r="AA23" s="27">
        <v>-9563.6245113443292</v>
      </c>
      <c r="AB23" s="27">
        <v>-11030.6849245741</v>
      </c>
      <c r="AC23" s="27">
        <v>-12332.08342606903</v>
      </c>
      <c r="AD23" s="27">
        <v>-13774.379909224141</v>
      </c>
    </row>
    <row r="24" spans="1:30">
      <c r="A24" s="27" t="s">
        <v>220</v>
      </c>
      <c r="B24" s="27" t="s">
        <v>215</v>
      </c>
      <c r="C24" s="27" t="s">
        <v>198</v>
      </c>
      <c r="D24" s="27" t="s">
        <v>1151</v>
      </c>
      <c r="E24" s="27" t="s">
        <v>75</v>
      </c>
      <c r="F24" s="27" t="s">
        <v>200</v>
      </c>
      <c r="G24" s="27">
        <v>31922.044353861202</v>
      </c>
      <c r="H24" s="27">
        <v>35303.387759762001</v>
      </c>
      <c r="I24" s="27" t="s">
        <v>200</v>
      </c>
      <c r="J24" s="27">
        <v>37312.307112596201</v>
      </c>
      <c r="K24" s="27" t="s">
        <v>200</v>
      </c>
      <c r="L24" s="27" t="s">
        <v>200</v>
      </c>
      <c r="M24" s="27" t="s">
        <v>200</v>
      </c>
      <c r="N24" s="27" t="s">
        <v>200</v>
      </c>
      <c r="O24" s="27" t="s">
        <v>200</v>
      </c>
      <c r="P24" s="27">
        <v>10560.008459885799</v>
      </c>
      <c r="Q24" s="27" t="s">
        <v>200</v>
      </c>
      <c r="R24" s="27">
        <v>7435.9349865936802</v>
      </c>
      <c r="S24" s="27" t="s">
        <v>200</v>
      </c>
      <c r="T24" s="27">
        <v>3099.9369790353899</v>
      </c>
      <c r="U24" s="27" t="s">
        <v>200</v>
      </c>
      <c r="V24" s="27">
        <v>-695.74462866030103</v>
      </c>
      <c r="W24" s="27" t="s">
        <v>200</v>
      </c>
      <c r="X24" s="27">
        <v>-3765.2072795941599</v>
      </c>
      <c r="Y24" s="27" t="s">
        <v>200</v>
      </c>
      <c r="Z24" s="27">
        <v>-7221.5939772011698</v>
      </c>
      <c r="AA24" s="27" t="s">
        <v>200</v>
      </c>
      <c r="AB24" s="27">
        <v>-9246.6031928794</v>
      </c>
      <c r="AC24" s="27" t="s">
        <v>200</v>
      </c>
      <c r="AD24" s="27">
        <v>-9648.3434422179707</v>
      </c>
    </row>
    <row r="25" spans="1:30">
      <c r="A25" s="27" t="s">
        <v>226</v>
      </c>
      <c r="B25" s="27" t="s">
        <v>234</v>
      </c>
      <c r="C25" s="27" t="s">
        <v>198</v>
      </c>
      <c r="D25" s="27" t="s">
        <v>1151</v>
      </c>
      <c r="E25" s="27" t="s">
        <v>75</v>
      </c>
      <c r="F25" s="27" t="s">
        <v>200</v>
      </c>
      <c r="G25" s="27">
        <v>34962.244700000003</v>
      </c>
      <c r="H25" s="27">
        <v>38805.883300000001</v>
      </c>
      <c r="I25" s="27">
        <v>43619.625899999999</v>
      </c>
      <c r="J25" s="27">
        <v>44195.281600000002</v>
      </c>
      <c r="K25" s="27" t="s">
        <v>200</v>
      </c>
      <c r="L25" s="27" t="s">
        <v>200</v>
      </c>
      <c r="M25" s="27" t="s">
        <v>200</v>
      </c>
      <c r="N25" s="27" t="s">
        <v>200</v>
      </c>
      <c r="O25" s="27">
        <v>30958.151000000002</v>
      </c>
      <c r="P25" s="27">
        <v>16357.957200000001</v>
      </c>
      <c r="Q25" s="27">
        <v>4916.0645000000004</v>
      </c>
      <c r="R25" s="27">
        <v>-1858.1185</v>
      </c>
      <c r="S25" s="27">
        <v>-4689.9197000000004</v>
      </c>
      <c r="T25" s="27">
        <v>-5472.1127999999999</v>
      </c>
      <c r="U25" s="27">
        <v>-5760.4368999999997</v>
      </c>
      <c r="V25" s="27">
        <v>-6068.5288</v>
      </c>
      <c r="W25" s="27" t="s">
        <v>200</v>
      </c>
      <c r="X25" s="27">
        <v>-6270.6202999999996</v>
      </c>
      <c r="Y25" s="27" t="s">
        <v>200</v>
      </c>
      <c r="Z25" s="27">
        <v>-5805.5464000000002</v>
      </c>
      <c r="AA25" s="27" t="s">
        <v>200</v>
      </c>
      <c r="AB25" s="27">
        <v>-6003.9195</v>
      </c>
      <c r="AC25" s="27" t="s">
        <v>200</v>
      </c>
      <c r="AD25" s="27">
        <v>-5647.3634000000002</v>
      </c>
    </row>
    <row r="26" spans="1:30">
      <c r="A26" s="27" t="s">
        <v>216</v>
      </c>
      <c r="B26" s="27" t="s">
        <v>235</v>
      </c>
      <c r="C26" s="27" t="s">
        <v>198</v>
      </c>
      <c r="D26" s="27" t="s">
        <v>1151</v>
      </c>
      <c r="E26" s="27" t="s">
        <v>75</v>
      </c>
      <c r="F26" s="27">
        <v>32281.145000257002</v>
      </c>
      <c r="G26" s="27">
        <v>36621.789087825702</v>
      </c>
      <c r="H26" s="27">
        <v>39410.654713591597</v>
      </c>
      <c r="I26" s="27">
        <v>43281.865512491502</v>
      </c>
      <c r="J26" s="27">
        <v>41431.720860408197</v>
      </c>
      <c r="K26" s="27">
        <v>38362.418281917599</v>
      </c>
      <c r="L26" s="27">
        <v>34897.2196114443</v>
      </c>
      <c r="M26" s="27">
        <v>32376.201503574401</v>
      </c>
      <c r="N26" s="27">
        <v>30134.927733126598</v>
      </c>
      <c r="O26" s="27">
        <v>28741.622805072901</v>
      </c>
      <c r="P26" s="27">
        <v>17416.870768677501</v>
      </c>
      <c r="Q26" s="27">
        <v>11637.011467620499</v>
      </c>
      <c r="R26" s="27">
        <v>7446.9556025612701</v>
      </c>
      <c r="S26" s="27">
        <v>4258.9925587366497</v>
      </c>
      <c r="T26" s="27">
        <v>1645.1425803565101</v>
      </c>
      <c r="U26" s="27">
        <v>-3.691470047897E-4</v>
      </c>
      <c r="V26" s="27">
        <v>0.28650129575442002</v>
      </c>
      <c r="W26" s="27" t="s">
        <v>200</v>
      </c>
      <c r="X26" s="27">
        <v>1.8430523130182299</v>
      </c>
      <c r="Y26" s="27" t="s">
        <v>200</v>
      </c>
      <c r="Z26" s="27">
        <v>1.9395450128677101</v>
      </c>
      <c r="AA26" s="27" t="s">
        <v>200</v>
      </c>
      <c r="AB26" s="27">
        <v>-0.330381532459114</v>
      </c>
      <c r="AC26" s="27" t="s">
        <v>200</v>
      </c>
      <c r="AD26" s="27">
        <v>3.8128414007579999E-4</v>
      </c>
    </row>
    <row r="27" spans="1:30">
      <c r="A27" s="27" t="s">
        <v>196</v>
      </c>
      <c r="B27" s="27" t="s">
        <v>236</v>
      </c>
      <c r="C27" s="27" t="s">
        <v>198</v>
      </c>
      <c r="D27" s="27" t="s">
        <v>1151</v>
      </c>
      <c r="E27" s="27" t="s">
        <v>75</v>
      </c>
      <c r="F27" s="27" t="s">
        <v>200</v>
      </c>
      <c r="G27" s="27" t="s">
        <v>200</v>
      </c>
      <c r="H27" s="27">
        <v>37155.151700000002</v>
      </c>
      <c r="I27" s="27">
        <v>39273.000800000002</v>
      </c>
      <c r="J27" s="27">
        <v>39802.999199999998</v>
      </c>
      <c r="K27" s="27" t="s">
        <v>200</v>
      </c>
      <c r="L27" s="27" t="s">
        <v>200</v>
      </c>
      <c r="M27" s="27" t="s">
        <v>200</v>
      </c>
      <c r="N27" s="27" t="s">
        <v>200</v>
      </c>
      <c r="O27" s="27">
        <v>27946.063999999998</v>
      </c>
      <c r="P27" s="27">
        <v>17806.9643</v>
      </c>
      <c r="Q27" s="27">
        <v>11796.0404</v>
      </c>
      <c r="R27" s="27">
        <v>7259.4418999999998</v>
      </c>
      <c r="S27" s="27">
        <v>3516.5416</v>
      </c>
      <c r="T27" s="27">
        <v>706.33989999999994</v>
      </c>
      <c r="U27" s="27">
        <v>-801.56470000000002</v>
      </c>
      <c r="V27" s="27">
        <v>-1458.0291</v>
      </c>
      <c r="W27" s="27" t="s">
        <v>200</v>
      </c>
      <c r="X27" s="27">
        <v>-1731.4902999999999</v>
      </c>
      <c r="Y27" s="27" t="s">
        <v>200</v>
      </c>
      <c r="Z27" s="27">
        <v>-1674.4835</v>
      </c>
      <c r="AA27" s="27" t="s">
        <v>200</v>
      </c>
      <c r="AB27" s="27">
        <v>-1686.6447000000001</v>
      </c>
      <c r="AC27" s="27" t="s">
        <v>200</v>
      </c>
      <c r="AD27" s="27">
        <v>-2031.7085</v>
      </c>
    </row>
    <row r="28" spans="1:30">
      <c r="A28" s="27" t="s">
        <v>231</v>
      </c>
      <c r="B28" s="27" t="s">
        <v>237</v>
      </c>
      <c r="C28" s="27" t="s">
        <v>198</v>
      </c>
      <c r="D28" s="27" t="s">
        <v>1151</v>
      </c>
      <c r="E28" s="27" t="s">
        <v>75</v>
      </c>
      <c r="F28" s="27" t="s">
        <v>200</v>
      </c>
      <c r="G28" s="27">
        <v>31425.841388995999</v>
      </c>
      <c r="H28" s="27">
        <v>36026.158941751099</v>
      </c>
      <c r="I28" s="27">
        <v>38629.645441817898</v>
      </c>
      <c r="J28" s="27">
        <v>39923.664284789498</v>
      </c>
      <c r="K28" s="27" t="s">
        <v>200</v>
      </c>
      <c r="L28" s="27" t="s">
        <v>200</v>
      </c>
      <c r="M28" s="27" t="s">
        <v>200</v>
      </c>
      <c r="N28" s="27" t="s">
        <v>200</v>
      </c>
      <c r="O28" s="27">
        <v>29292.058851680202</v>
      </c>
      <c r="P28" s="27">
        <v>19969.030927296</v>
      </c>
      <c r="Q28" s="27">
        <v>10646.0173805348</v>
      </c>
      <c r="R28" s="27">
        <v>1323.0070688943599</v>
      </c>
      <c r="S28" s="27">
        <v>-8000.00119872297</v>
      </c>
      <c r="T28" s="27">
        <v>-8000.0061852650297</v>
      </c>
      <c r="U28" s="27">
        <v>-8000.0012064051598</v>
      </c>
      <c r="V28" s="27">
        <v>-8000.02113140448</v>
      </c>
      <c r="W28" s="27">
        <v>-8000.0047783236696</v>
      </c>
      <c r="X28" s="27">
        <v>-8000.0140038279796</v>
      </c>
      <c r="Y28" s="27">
        <v>-8000.0014810942303</v>
      </c>
      <c r="Z28" s="27">
        <v>-8000.00983713198</v>
      </c>
      <c r="AA28" s="27">
        <v>-7999.8679732864002</v>
      </c>
      <c r="AB28" s="27">
        <v>-8000.0021118571103</v>
      </c>
      <c r="AC28" s="27">
        <v>-8000.0047994017204</v>
      </c>
      <c r="AD28" s="27">
        <v>-8000.01128909214</v>
      </c>
    </row>
    <row r="29" spans="1:30">
      <c r="A29" s="27" t="s">
        <v>233</v>
      </c>
      <c r="B29" s="27" t="s">
        <v>238</v>
      </c>
      <c r="C29" s="27" t="s">
        <v>198</v>
      </c>
      <c r="D29" s="27" t="s">
        <v>1151</v>
      </c>
      <c r="E29" s="27" t="s">
        <v>75</v>
      </c>
      <c r="F29" s="27" t="s">
        <v>200</v>
      </c>
      <c r="G29" s="27" t="s">
        <v>200</v>
      </c>
      <c r="H29" s="27">
        <v>34180.32677521334</v>
      </c>
      <c r="I29" s="27">
        <v>36958.048730520073</v>
      </c>
      <c r="J29" s="27">
        <v>37176.406751892602</v>
      </c>
      <c r="K29" s="27" t="s">
        <v>200</v>
      </c>
      <c r="L29" s="27" t="s">
        <v>200</v>
      </c>
      <c r="M29" s="27" t="s">
        <v>200</v>
      </c>
      <c r="N29" s="27" t="s">
        <v>200</v>
      </c>
      <c r="O29" s="27">
        <v>23696.353210419518</v>
      </c>
      <c r="P29" s="27">
        <v>18572.45958516248</v>
      </c>
      <c r="Q29" s="27">
        <v>14568.911010482119</v>
      </c>
      <c r="R29" s="27">
        <v>12068.09395260782</v>
      </c>
      <c r="S29" s="27">
        <v>8638.0875341063893</v>
      </c>
      <c r="T29" s="27">
        <v>5678.3580128058247</v>
      </c>
      <c r="U29" s="27">
        <v>3245.1352174840699</v>
      </c>
      <c r="V29" s="27">
        <v>899.04800749203832</v>
      </c>
      <c r="W29" s="27">
        <v>-936.71535671057165</v>
      </c>
      <c r="X29" s="27">
        <v>-2971.4533363116961</v>
      </c>
      <c r="Y29" s="27">
        <v>-5423.493893957876</v>
      </c>
      <c r="Z29" s="27">
        <v>-7642.8012698355087</v>
      </c>
      <c r="AA29" s="27">
        <v>-8977.3087678442043</v>
      </c>
      <c r="AB29" s="27">
        <v>-10423.411072400229</v>
      </c>
      <c r="AC29" s="27">
        <v>-11732.84122717414</v>
      </c>
      <c r="AD29" s="27">
        <v>-13194.46115905529</v>
      </c>
    </row>
    <row r="30" spans="1:30">
      <c r="A30" s="27" t="s">
        <v>239</v>
      </c>
      <c r="B30" s="27" t="s">
        <v>240</v>
      </c>
      <c r="C30" s="27" t="s">
        <v>198</v>
      </c>
      <c r="D30" s="27" t="s">
        <v>1151</v>
      </c>
      <c r="E30" s="27" t="s">
        <v>75</v>
      </c>
      <c r="F30" s="27" t="s">
        <v>200</v>
      </c>
      <c r="G30" s="27">
        <v>35090</v>
      </c>
      <c r="H30" s="27">
        <v>37010</v>
      </c>
      <c r="I30" s="27" t="s">
        <v>200</v>
      </c>
      <c r="J30" s="27">
        <v>42310</v>
      </c>
      <c r="K30" s="27" t="s">
        <v>200</v>
      </c>
      <c r="L30" s="27" t="s">
        <v>200</v>
      </c>
      <c r="M30" s="27" t="s">
        <v>200</v>
      </c>
      <c r="N30" s="27" t="s">
        <v>200</v>
      </c>
      <c r="O30" s="27" t="s">
        <v>200</v>
      </c>
      <c r="P30" s="27">
        <v>31110</v>
      </c>
      <c r="Q30" s="27" t="s">
        <v>200</v>
      </c>
      <c r="R30" s="27">
        <v>8623</v>
      </c>
      <c r="S30" s="27" t="s">
        <v>200</v>
      </c>
      <c r="T30" s="27">
        <v>-7250</v>
      </c>
      <c r="U30" s="27" t="s">
        <v>200</v>
      </c>
      <c r="V30" s="27">
        <v>-10480</v>
      </c>
      <c r="W30" s="27" t="s">
        <v>200</v>
      </c>
      <c r="X30" s="27">
        <v>-12620</v>
      </c>
      <c r="Y30" s="27" t="s">
        <v>200</v>
      </c>
      <c r="Z30" s="27">
        <v>-13640</v>
      </c>
      <c r="AA30" s="27" t="s">
        <v>200</v>
      </c>
      <c r="AB30" s="27">
        <v>-13240</v>
      </c>
      <c r="AC30" s="27" t="s">
        <v>200</v>
      </c>
      <c r="AD30" s="27">
        <v>-14180</v>
      </c>
    </row>
    <row r="31" spans="1:30">
      <c r="A31" s="27" t="s">
        <v>207</v>
      </c>
      <c r="B31" s="27" t="s">
        <v>241</v>
      </c>
      <c r="C31" s="27" t="s">
        <v>198</v>
      </c>
      <c r="D31" s="27" t="s">
        <v>1151</v>
      </c>
      <c r="E31" s="27" t="s">
        <v>75</v>
      </c>
      <c r="F31" s="27">
        <v>32281.145000257049</v>
      </c>
      <c r="G31" s="27">
        <v>36621.789087825673</v>
      </c>
      <c r="H31" s="27">
        <v>39410.654713591597</v>
      </c>
      <c r="I31" s="27">
        <v>43281.865512491539</v>
      </c>
      <c r="J31" s="27">
        <v>43830.920626346793</v>
      </c>
      <c r="K31" s="27" t="s">
        <v>200</v>
      </c>
      <c r="L31" s="27" t="s">
        <v>200</v>
      </c>
      <c r="M31" s="27" t="s">
        <v>200</v>
      </c>
      <c r="N31" s="27" t="s">
        <v>200</v>
      </c>
      <c r="O31" s="27">
        <v>30107.844118162509</v>
      </c>
      <c r="P31" s="27">
        <v>19750.520319820549</v>
      </c>
      <c r="Q31" s="27">
        <v>13886.73683229746</v>
      </c>
      <c r="R31" s="27">
        <v>9926.1745340771304</v>
      </c>
      <c r="S31" s="27">
        <v>6270.5024701898901</v>
      </c>
      <c r="T31" s="27">
        <v>3351.397656984876</v>
      </c>
      <c r="U31" s="27">
        <v>1397.713502993166</v>
      </c>
      <c r="V31" s="27">
        <v>36.754407914674182</v>
      </c>
      <c r="W31" s="27" t="s">
        <v>200</v>
      </c>
      <c r="X31" s="27">
        <v>8.1052408910945815</v>
      </c>
      <c r="Y31" s="27" t="s">
        <v>200</v>
      </c>
      <c r="Z31" s="27">
        <v>0.76182875327617694</v>
      </c>
      <c r="AA31" s="27" t="s">
        <v>200</v>
      </c>
      <c r="AB31" s="27">
        <v>0.80656947520924405</v>
      </c>
      <c r="AC31" s="27" t="s">
        <v>200</v>
      </c>
      <c r="AD31" s="27">
        <v>-6.3527424799758592E-5</v>
      </c>
    </row>
    <row r="32" spans="1:30">
      <c r="A32" s="27" t="s">
        <v>242</v>
      </c>
      <c r="B32" s="27" t="s">
        <v>243</v>
      </c>
      <c r="C32" s="27" t="s">
        <v>198</v>
      </c>
      <c r="D32" s="27" t="s">
        <v>1151</v>
      </c>
      <c r="E32" s="27" t="s">
        <v>75</v>
      </c>
      <c r="F32" s="27" t="s">
        <v>200</v>
      </c>
      <c r="G32" s="27">
        <v>32849.436598367502</v>
      </c>
      <c r="H32" s="27">
        <v>35674.1208033488</v>
      </c>
      <c r="I32" s="27">
        <v>37811.007455315397</v>
      </c>
      <c r="J32" s="27">
        <v>40656.526540407998</v>
      </c>
      <c r="K32" s="27" t="s">
        <v>200</v>
      </c>
      <c r="L32" s="27" t="s">
        <v>200</v>
      </c>
      <c r="M32" s="27" t="s">
        <v>200</v>
      </c>
      <c r="N32" s="27" t="s">
        <v>200</v>
      </c>
      <c r="O32" s="27">
        <v>25252.111186898001</v>
      </c>
      <c r="P32" s="27">
        <v>15430.841043934301</v>
      </c>
      <c r="Q32" s="27">
        <v>10880.2962299057</v>
      </c>
      <c r="R32" s="27">
        <v>7508.6248503247807</v>
      </c>
      <c r="S32" s="27">
        <v>4230.1147503213706</v>
      </c>
      <c r="T32" s="27">
        <v>1743.38637785419</v>
      </c>
      <c r="U32" s="27" t="s">
        <v>200</v>
      </c>
      <c r="V32" s="27">
        <v>-2903.3745166092299</v>
      </c>
      <c r="W32" s="27" t="s">
        <v>200</v>
      </c>
      <c r="X32" s="27">
        <v>-6157.6066705230296</v>
      </c>
      <c r="Y32" s="27" t="s">
        <v>200</v>
      </c>
      <c r="Z32" s="27">
        <v>-10988.8936325091</v>
      </c>
      <c r="AA32" s="27" t="s">
        <v>200</v>
      </c>
      <c r="AB32" s="27">
        <v>-14723.049290463499</v>
      </c>
      <c r="AC32" s="27" t="s">
        <v>200</v>
      </c>
      <c r="AD32" s="27">
        <v>-14222.971414596999</v>
      </c>
    </row>
    <row r="33" spans="1:30">
      <c r="A33" s="27" t="s">
        <v>244</v>
      </c>
      <c r="B33" s="27" t="s">
        <v>202</v>
      </c>
      <c r="C33" s="27" t="s">
        <v>198</v>
      </c>
      <c r="D33" s="27" t="s">
        <v>1151</v>
      </c>
      <c r="E33" s="27" t="s">
        <v>75</v>
      </c>
      <c r="F33" s="27" t="s">
        <v>200</v>
      </c>
      <c r="G33" s="27" t="s">
        <v>200</v>
      </c>
      <c r="H33" s="27" t="s">
        <v>200</v>
      </c>
      <c r="I33" s="27">
        <v>41182.21494919034</v>
      </c>
      <c r="J33" s="27">
        <v>39696.827487298717</v>
      </c>
      <c r="K33" s="27" t="s">
        <v>200</v>
      </c>
      <c r="L33" s="27" t="s">
        <v>200</v>
      </c>
      <c r="M33" s="27" t="s">
        <v>200</v>
      </c>
      <c r="N33" s="27" t="s">
        <v>200</v>
      </c>
      <c r="O33" s="27">
        <v>31486.675133828929</v>
      </c>
      <c r="P33" s="27">
        <v>23649.219519538001</v>
      </c>
      <c r="Q33" s="27">
        <v>16708.991196607909</v>
      </c>
      <c r="R33" s="27">
        <v>10555.589448090041</v>
      </c>
      <c r="S33" s="27">
        <v>4853.0048442308535</v>
      </c>
      <c r="T33" s="27">
        <v>1217.3598128062999</v>
      </c>
      <c r="U33" s="27">
        <v>0.37676350403535253</v>
      </c>
      <c r="V33" s="27">
        <v>0.17151840123688089</v>
      </c>
      <c r="W33" s="27">
        <v>-1.57321781639439E-2</v>
      </c>
      <c r="X33" s="27">
        <v>4.3066617849944998E-2</v>
      </c>
      <c r="Y33" s="27">
        <v>0.47092624161723501</v>
      </c>
      <c r="Z33" s="27">
        <v>0.46063915717604681</v>
      </c>
      <c r="AA33" s="27">
        <v>0.57912060444868985</v>
      </c>
      <c r="AB33" s="27">
        <v>0.50301349613891944</v>
      </c>
      <c r="AC33" s="27">
        <v>0.3337327565723171</v>
      </c>
      <c r="AD33" s="27">
        <v>-3.3235435975257098E-2</v>
      </c>
    </row>
    <row r="34" spans="1:30">
      <c r="A34" s="27" t="s">
        <v>242</v>
      </c>
      <c r="B34" s="27" t="s">
        <v>245</v>
      </c>
      <c r="C34" s="27" t="s">
        <v>198</v>
      </c>
      <c r="D34" s="27" t="s">
        <v>1151</v>
      </c>
      <c r="E34" s="27" t="s">
        <v>75</v>
      </c>
      <c r="F34" s="27" t="s">
        <v>200</v>
      </c>
      <c r="G34" s="27">
        <v>32849.436598367502</v>
      </c>
      <c r="H34" s="27">
        <v>35674.1208033488</v>
      </c>
      <c r="I34" s="27">
        <v>37811.007455315397</v>
      </c>
      <c r="J34" s="27">
        <v>40656.526540407998</v>
      </c>
      <c r="K34" s="27" t="s">
        <v>200</v>
      </c>
      <c r="L34" s="27" t="s">
        <v>200</v>
      </c>
      <c r="M34" s="27" t="s">
        <v>200</v>
      </c>
      <c r="N34" s="27" t="s">
        <v>200</v>
      </c>
      <c r="O34" s="27">
        <v>28166.957611075199</v>
      </c>
      <c r="P34" s="27">
        <v>20765.699745100799</v>
      </c>
      <c r="Q34" s="27">
        <v>17849.432920152001</v>
      </c>
      <c r="R34" s="27">
        <v>15379.198824642501</v>
      </c>
      <c r="S34" s="27">
        <v>12687.0362807275</v>
      </c>
      <c r="T34" s="27">
        <v>10330.7850030961</v>
      </c>
      <c r="U34" s="27" t="s">
        <v>200</v>
      </c>
      <c r="V34" s="27">
        <v>4908.6294464564899</v>
      </c>
      <c r="W34" s="27" t="s">
        <v>200</v>
      </c>
      <c r="X34" s="27">
        <v>1820.0060290645099</v>
      </c>
      <c r="Y34" s="27" t="s">
        <v>200</v>
      </c>
      <c r="Z34" s="27">
        <v>-1909.8020314493399</v>
      </c>
      <c r="AA34" s="27" t="s">
        <v>200</v>
      </c>
      <c r="AB34" s="27">
        <v>-5802.1188736448203</v>
      </c>
      <c r="AC34" s="27" t="s">
        <v>200</v>
      </c>
      <c r="AD34" s="27">
        <v>-8298.1427669079512</v>
      </c>
    </row>
    <row r="35" spans="1:30">
      <c r="A35" s="27" t="s">
        <v>246</v>
      </c>
      <c r="B35" s="27" t="s">
        <v>243</v>
      </c>
      <c r="C35" s="27" t="s">
        <v>198</v>
      </c>
      <c r="D35" s="27" t="s">
        <v>1151</v>
      </c>
      <c r="E35" s="27" t="s">
        <v>75</v>
      </c>
      <c r="F35" s="27" t="s">
        <v>200</v>
      </c>
      <c r="G35" s="27">
        <v>32974.898500000003</v>
      </c>
      <c r="H35" s="27">
        <v>33910.33</v>
      </c>
      <c r="I35" s="27">
        <v>36077.260699999999</v>
      </c>
      <c r="J35" s="27">
        <v>38682.763599999998</v>
      </c>
      <c r="K35" s="27" t="s">
        <v>200</v>
      </c>
      <c r="L35" s="27" t="s">
        <v>200</v>
      </c>
      <c r="M35" s="27" t="s">
        <v>200</v>
      </c>
      <c r="N35" s="27" t="s">
        <v>200</v>
      </c>
      <c r="O35" s="27">
        <v>29352.4509</v>
      </c>
      <c r="P35" s="27">
        <v>21604.8704</v>
      </c>
      <c r="Q35" s="27">
        <v>13371.3932</v>
      </c>
      <c r="R35" s="27">
        <v>6795.0826999999999</v>
      </c>
      <c r="S35" s="27">
        <v>-279.43150000000003</v>
      </c>
      <c r="T35" s="27">
        <v>-4957.6403</v>
      </c>
      <c r="U35" s="27">
        <v>-6502.5316000000003</v>
      </c>
      <c r="V35" s="27">
        <v>-7023.2802000000001</v>
      </c>
      <c r="W35" s="27">
        <v>-7010.6706000000004</v>
      </c>
      <c r="X35" s="27">
        <v>-7004.2178000000004</v>
      </c>
      <c r="Y35" s="27">
        <v>-6977.6580000000004</v>
      </c>
      <c r="Z35" s="27">
        <v>-6913.2912999999999</v>
      </c>
      <c r="AA35" s="27">
        <v>-6879.2390000000014</v>
      </c>
      <c r="AB35" s="27">
        <v>-6773.2305999999999</v>
      </c>
      <c r="AC35" s="27">
        <v>-6846.3809000000001</v>
      </c>
      <c r="AD35" s="27">
        <v>-6818.7646000000004</v>
      </c>
    </row>
    <row r="36" spans="1:30">
      <c r="A36" s="27" t="s">
        <v>247</v>
      </c>
      <c r="B36" s="27" t="s">
        <v>248</v>
      </c>
      <c r="C36" s="27" t="s">
        <v>198</v>
      </c>
      <c r="D36" s="27" t="s">
        <v>1151</v>
      </c>
      <c r="E36" s="27" t="s">
        <v>75</v>
      </c>
      <c r="F36" s="27">
        <v>26158.984375</v>
      </c>
      <c r="G36" s="27">
        <v>30911.814453125</v>
      </c>
      <c r="H36" s="27">
        <v>34045.15625</v>
      </c>
      <c r="I36" s="27" t="s">
        <v>200</v>
      </c>
      <c r="J36" s="27">
        <v>38510.7109375</v>
      </c>
      <c r="K36" s="27" t="s">
        <v>200</v>
      </c>
      <c r="L36" s="27" t="s">
        <v>200</v>
      </c>
      <c r="M36" s="27" t="s">
        <v>200</v>
      </c>
      <c r="N36" s="27" t="s">
        <v>200</v>
      </c>
      <c r="O36" s="27" t="s">
        <v>200</v>
      </c>
      <c r="P36" s="27">
        <v>22789.46484375</v>
      </c>
      <c r="Q36" s="27" t="s">
        <v>200</v>
      </c>
      <c r="R36" s="27">
        <v>15612.4599609375</v>
      </c>
      <c r="S36" s="27" t="s">
        <v>200</v>
      </c>
      <c r="T36" s="27">
        <v>8516.4521484375</v>
      </c>
      <c r="U36" s="27" t="s">
        <v>200</v>
      </c>
      <c r="V36" s="27">
        <v>1735.38500976562</v>
      </c>
      <c r="W36" s="27" t="s">
        <v>200</v>
      </c>
      <c r="X36" s="27">
        <v>-2380.53369140625</v>
      </c>
      <c r="Y36" s="27" t="s">
        <v>200</v>
      </c>
      <c r="Z36" s="27">
        <v>-4734.6826171875</v>
      </c>
      <c r="AA36" s="27" t="s">
        <v>200</v>
      </c>
      <c r="AB36" s="27">
        <v>-6094.37841796875</v>
      </c>
      <c r="AC36" s="27" t="s">
        <v>200</v>
      </c>
      <c r="AD36" s="27">
        <v>-7806.62255859375</v>
      </c>
    </row>
    <row r="37" spans="1:30">
      <c r="A37" s="27" t="s">
        <v>203</v>
      </c>
      <c r="B37" s="27" t="s">
        <v>249</v>
      </c>
      <c r="C37" s="27" t="s">
        <v>198</v>
      </c>
      <c r="D37" s="27" t="s">
        <v>1151</v>
      </c>
      <c r="E37" s="27" t="s">
        <v>75</v>
      </c>
      <c r="F37" s="27" t="s">
        <v>200</v>
      </c>
      <c r="G37" s="27">
        <v>34278.4908</v>
      </c>
      <c r="H37" s="27">
        <v>37322.5936</v>
      </c>
      <c r="I37" s="27">
        <v>38825.638800000001</v>
      </c>
      <c r="J37" s="27">
        <v>39074.5141</v>
      </c>
      <c r="K37" s="27" t="s">
        <v>200</v>
      </c>
      <c r="L37" s="27" t="s">
        <v>200</v>
      </c>
      <c r="M37" s="27" t="s">
        <v>200</v>
      </c>
      <c r="N37" s="27" t="s">
        <v>200</v>
      </c>
      <c r="O37" s="27">
        <v>30944.272700000001</v>
      </c>
      <c r="P37" s="27">
        <v>23685.537199999999</v>
      </c>
      <c r="Q37" s="27">
        <v>16106.4925</v>
      </c>
      <c r="R37" s="27">
        <v>9889.9043000000001</v>
      </c>
      <c r="S37" s="27">
        <v>5131.7061000000003</v>
      </c>
      <c r="T37" s="27">
        <v>1412.8967</v>
      </c>
      <c r="U37" s="27">
        <v>0</v>
      </c>
      <c r="V37" s="27">
        <v>0</v>
      </c>
      <c r="W37" s="27" t="s">
        <v>200</v>
      </c>
      <c r="X37" s="27">
        <v>0</v>
      </c>
      <c r="Y37" s="27" t="s">
        <v>200</v>
      </c>
      <c r="Z37" s="27">
        <v>-27.6311</v>
      </c>
      <c r="AA37" s="27" t="s">
        <v>200</v>
      </c>
      <c r="AB37" s="27">
        <v>27.6311</v>
      </c>
      <c r="AC37" s="27" t="s">
        <v>200</v>
      </c>
      <c r="AD37" s="27">
        <v>0</v>
      </c>
    </row>
    <row r="38" spans="1:30">
      <c r="A38" s="27" t="s">
        <v>196</v>
      </c>
      <c r="B38" s="27" t="s">
        <v>250</v>
      </c>
      <c r="C38" s="27" t="s">
        <v>198</v>
      </c>
      <c r="D38" s="27" t="s">
        <v>1151</v>
      </c>
      <c r="E38" s="27" t="s">
        <v>75</v>
      </c>
      <c r="F38" s="27" t="s">
        <v>200</v>
      </c>
      <c r="G38" s="27">
        <v>34222.184800000003</v>
      </c>
      <c r="H38" s="27">
        <v>37480.914299999997</v>
      </c>
      <c r="I38" s="27">
        <v>39112.964899999999</v>
      </c>
      <c r="J38" s="27">
        <v>39325.758900000001</v>
      </c>
      <c r="K38" s="27" t="s">
        <v>200</v>
      </c>
      <c r="L38" s="27" t="s">
        <v>200</v>
      </c>
      <c r="M38" s="27" t="s">
        <v>200</v>
      </c>
      <c r="N38" s="27" t="s">
        <v>200</v>
      </c>
      <c r="O38" s="27">
        <v>30922.0609</v>
      </c>
      <c r="P38" s="27">
        <v>25046.2961</v>
      </c>
      <c r="Q38" s="27">
        <v>17336.896100000002</v>
      </c>
      <c r="R38" s="27">
        <v>9058.9737999999998</v>
      </c>
      <c r="S38" s="27">
        <v>3434.2093</v>
      </c>
      <c r="T38" s="27">
        <v>879.23800000000006</v>
      </c>
      <c r="U38" s="27">
        <v>-580.30650000000003</v>
      </c>
      <c r="V38" s="27">
        <v>-1204.7492999999999</v>
      </c>
      <c r="W38" s="27" t="s">
        <v>200</v>
      </c>
      <c r="X38" s="27">
        <v>-2111.1444999999999</v>
      </c>
      <c r="Y38" s="27" t="s">
        <v>200</v>
      </c>
      <c r="Z38" s="27">
        <v>-2185.9569999999999</v>
      </c>
      <c r="AA38" s="27" t="s">
        <v>200</v>
      </c>
      <c r="AB38" s="27">
        <v>-2096.1599000000001</v>
      </c>
      <c r="AC38" s="27" t="s">
        <v>200</v>
      </c>
      <c r="AD38" s="27">
        <v>-2541.9173999999998</v>
      </c>
    </row>
    <row r="39" spans="1:30">
      <c r="A39" s="27" t="s">
        <v>203</v>
      </c>
      <c r="B39" s="27" t="s">
        <v>251</v>
      </c>
      <c r="C39" s="27" t="s">
        <v>198</v>
      </c>
      <c r="D39" s="27" t="s">
        <v>1151</v>
      </c>
      <c r="E39" s="27" t="s">
        <v>75</v>
      </c>
      <c r="F39" s="27" t="s">
        <v>200</v>
      </c>
      <c r="G39" s="27">
        <v>34278.4908</v>
      </c>
      <c r="H39" s="27">
        <v>37322.5936</v>
      </c>
      <c r="I39" s="27">
        <v>38825.638800000001</v>
      </c>
      <c r="J39" s="27">
        <v>39074.5141</v>
      </c>
      <c r="K39" s="27" t="s">
        <v>200</v>
      </c>
      <c r="L39" s="27" t="s">
        <v>200</v>
      </c>
      <c r="M39" s="27" t="s">
        <v>200</v>
      </c>
      <c r="N39" s="27" t="s">
        <v>200</v>
      </c>
      <c r="O39" s="27">
        <v>30581.2896</v>
      </c>
      <c r="P39" s="27">
        <v>23333.672999999999</v>
      </c>
      <c r="Q39" s="27">
        <v>16232.377399999999</v>
      </c>
      <c r="R39" s="27">
        <v>10603.491</v>
      </c>
      <c r="S39" s="27">
        <v>5892.0751</v>
      </c>
      <c r="T39" s="27">
        <v>899.45479999999998</v>
      </c>
      <c r="U39" s="27">
        <v>-3172.7815999999998</v>
      </c>
      <c r="V39" s="27">
        <v>-6537.3269</v>
      </c>
      <c r="W39" s="27" t="s">
        <v>200</v>
      </c>
      <c r="X39" s="27">
        <v>-11541.18</v>
      </c>
      <c r="Y39" s="27" t="s">
        <v>200</v>
      </c>
      <c r="Z39" s="27">
        <v>-13957.495699999999</v>
      </c>
      <c r="AA39" s="27" t="s">
        <v>200</v>
      </c>
      <c r="AB39" s="27">
        <v>-15446.438700000001</v>
      </c>
      <c r="AC39" s="27" t="s">
        <v>200</v>
      </c>
      <c r="AD39" s="27">
        <v>-16662.300200000001</v>
      </c>
    </row>
    <row r="40" spans="1:30">
      <c r="A40" s="27" t="s">
        <v>205</v>
      </c>
      <c r="B40" s="27" t="s">
        <v>252</v>
      </c>
      <c r="C40" s="27" t="s">
        <v>198</v>
      </c>
      <c r="D40" s="27" t="s">
        <v>1151</v>
      </c>
      <c r="E40" s="27" t="s">
        <v>75</v>
      </c>
      <c r="F40" s="27" t="s">
        <v>200</v>
      </c>
      <c r="G40" s="27">
        <v>33397.199999999997</v>
      </c>
      <c r="H40" s="27">
        <v>36978.6</v>
      </c>
      <c r="I40" s="27">
        <v>39863.9</v>
      </c>
      <c r="J40" s="27">
        <v>39059</v>
      </c>
      <c r="K40" s="27" t="s">
        <v>200</v>
      </c>
      <c r="L40" s="27" t="s">
        <v>200</v>
      </c>
      <c r="M40" s="27" t="s">
        <v>200</v>
      </c>
      <c r="N40" s="27" t="s">
        <v>200</v>
      </c>
      <c r="O40" s="27">
        <v>30369.4</v>
      </c>
      <c r="P40" s="27">
        <v>13439</v>
      </c>
      <c r="Q40" s="27">
        <v>1990.06</v>
      </c>
      <c r="R40" s="27">
        <v>-4832.83</v>
      </c>
      <c r="S40" s="27">
        <v>-8666.59</v>
      </c>
      <c r="T40" s="27">
        <v>-10558.9</v>
      </c>
      <c r="U40" s="27">
        <v>-10925.6</v>
      </c>
      <c r="V40" s="27">
        <v>-10555.5</v>
      </c>
      <c r="W40" s="27">
        <v>-9927.43</v>
      </c>
      <c r="X40" s="27">
        <v>-9135.24</v>
      </c>
      <c r="Y40" s="27">
        <v>-8237.1</v>
      </c>
      <c r="Z40" s="27">
        <v>-7287.48</v>
      </c>
      <c r="AA40" s="27">
        <v>-6324.64</v>
      </c>
      <c r="AB40" s="27">
        <v>-5377.61</v>
      </c>
      <c r="AC40" s="27">
        <v>-4468.1899999999996</v>
      </c>
      <c r="AD40" s="27">
        <v>-3612.11</v>
      </c>
    </row>
    <row r="41" spans="1:30">
      <c r="A41" s="27" t="s">
        <v>205</v>
      </c>
      <c r="B41" s="27" t="s">
        <v>253</v>
      </c>
      <c r="C41" s="27" t="s">
        <v>198</v>
      </c>
      <c r="D41" s="27" t="s">
        <v>1151</v>
      </c>
      <c r="E41" s="27" t="s">
        <v>75</v>
      </c>
      <c r="F41" s="27" t="s">
        <v>200</v>
      </c>
      <c r="G41" s="27">
        <v>33397.199999999997</v>
      </c>
      <c r="H41" s="27">
        <v>36978.6</v>
      </c>
      <c r="I41" s="27">
        <v>39863.9</v>
      </c>
      <c r="J41" s="27">
        <v>39144.6</v>
      </c>
      <c r="K41" s="27" t="s">
        <v>200</v>
      </c>
      <c r="L41" s="27" t="s">
        <v>200</v>
      </c>
      <c r="M41" s="27" t="s">
        <v>200</v>
      </c>
      <c r="N41" s="27" t="s">
        <v>200</v>
      </c>
      <c r="O41" s="27">
        <v>29339.5</v>
      </c>
      <c r="P41" s="27">
        <v>11412.3</v>
      </c>
      <c r="Q41" s="27">
        <v>1876.43</v>
      </c>
      <c r="R41" s="27">
        <v>-2552.4299999999998</v>
      </c>
      <c r="S41" s="27">
        <v>-4249.1499999999996</v>
      </c>
      <c r="T41" s="27">
        <v>-4328.97</v>
      </c>
      <c r="U41" s="27">
        <v>-4242.53</v>
      </c>
      <c r="V41" s="27">
        <v>-4092.55</v>
      </c>
      <c r="W41" s="27">
        <v>-3913.43</v>
      </c>
      <c r="X41" s="27">
        <v>-3723.95</v>
      </c>
      <c r="Y41" s="27">
        <v>-3531.87</v>
      </c>
      <c r="Z41" s="27">
        <v>-3341.67</v>
      </c>
      <c r="AA41" s="27">
        <v>-3156.03</v>
      </c>
      <c r="AB41" s="27">
        <v>-2976.62</v>
      </c>
      <c r="AC41" s="27">
        <v>-2804.5</v>
      </c>
      <c r="AD41" s="27">
        <v>-2640.32</v>
      </c>
    </row>
    <row r="42" spans="1:30">
      <c r="A42" s="27" t="s">
        <v>216</v>
      </c>
      <c r="B42" s="27" t="s">
        <v>254</v>
      </c>
      <c r="C42" s="27" t="s">
        <v>198</v>
      </c>
      <c r="D42" s="27" t="s">
        <v>1151</v>
      </c>
      <c r="E42" s="27" t="s">
        <v>75</v>
      </c>
      <c r="F42" s="27">
        <v>32281.145000257002</v>
      </c>
      <c r="G42" s="27">
        <v>36621.789087825702</v>
      </c>
      <c r="H42" s="27">
        <v>39410.654713591597</v>
      </c>
      <c r="I42" s="27">
        <v>43281.865512491502</v>
      </c>
      <c r="J42" s="27">
        <v>44656.6529500549</v>
      </c>
      <c r="K42" s="27">
        <v>40368.215140720698</v>
      </c>
      <c r="L42" s="27">
        <v>37176.8195650138</v>
      </c>
      <c r="M42" s="27">
        <v>34286.504978359502</v>
      </c>
      <c r="N42" s="27">
        <v>31719.783095503299</v>
      </c>
      <c r="O42" s="27">
        <v>29874.120950648801</v>
      </c>
      <c r="P42" s="27">
        <v>16958.689239800999</v>
      </c>
      <c r="Q42" s="27">
        <v>10900.666133380901</v>
      </c>
      <c r="R42" s="27">
        <v>6302.2272065771904</v>
      </c>
      <c r="S42" s="27">
        <v>3263.0831389271102</v>
      </c>
      <c r="T42" s="27">
        <v>983.44099642618801</v>
      </c>
      <c r="U42" s="27">
        <v>-2.8026509994560901E-5</v>
      </c>
      <c r="V42" s="27">
        <v>-9.2064268926378603E-2</v>
      </c>
      <c r="W42" s="27" t="s">
        <v>200</v>
      </c>
      <c r="X42" s="27">
        <v>0.93500849830638799</v>
      </c>
      <c r="Y42" s="27" t="s">
        <v>200</v>
      </c>
      <c r="Z42" s="27">
        <v>-0.28821203529855699</v>
      </c>
      <c r="AA42" s="27" t="s">
        <v>200</v>
      </c>
      <c r="AB42" s="27">
        <v>-0.104009087006489</v>
      </c>
      <c r="AC42" s="27" t="s">
        <v>200</v>
      </c>
      <c r="AD42" s="27">
        <v>-1.4483197219306001E-5</v>
      </c>
    </row>
    <row r="43" spans="1:30">
      <c r="A43" s="27" t="s">
        <v>255</v>
      </c>
      <c r="B43" s="27" t="s">
        <v>256</v>
      </c>
      <c r="C43" s="27" t="s">
        <v>198</v>
      </c>
      <c r="D43" s="27" t="s">
        <v>1151</v>
      </c>
      <c r="E43" s="27" t="s">
        <v>75</v>
      </c>
      <c r="F43" s="27" t="s">
        <v>200</v>
      </c>
      <c r="G43" s="27">
        <v>31803.054250000001</v>
      </c>
      <c r="H43" s="27">
        <v>34853.411375000003</v>
      </c>
      <c r="I43" s="27">
        <v>37830.047124999997</v>
      </c>
      <c r="J43" s="27">
        <v>41831.620875000001</v>
      </c>
      <c r="K43" s="27" t="s">
        <v>200</v>
      </c>
      <c r="L43" s="27" t="s">
        <v>200</v>
      </c>
      <c r="M43" s="27" t="s">
        <v>200</v>
      </c>
      <c r="N43" s="27" t="s">
        <v>200</v>
      </c>
      <c r="O43" s="27">
        <v>35792.794125</v>
      </c>
      <c r="P43" s="27">
        <v>24388.624</v>
      </c>
      <c r="Q43" s="27">
        <v>14716.666125</v>
      </c>
      <c r="R43" s="27">
        <v>8563.6867500000008</v>
      </c>
      <c r="S43" s="27">
        <v>3560.850625</v>
      </c>
      <c r="T43" s="27">
        <v>-283.07331249999999</v>
      </c>
      <c r="U43" s="27">
        <v>-3155.4715624999999</v>
      </c>
      <c r="V43" s="27">
        <v>-5721.4331874999998</v>
      </c>
      <c r="W43" s="27">
        <v>-7925.230125</v>
      </c>
      <c r="X43" s="27">
        <v>-9214.8021250000002</v>
      </c>
      <c r="Y43" s="27">
        <v>-10806.903375</v>
      </c>
      <c r="Z43" s="27">
        <v>-12170.509937500001</v>
      </c>
      <c r="AA43" s="27">
        <v>-14642.43475</v>
      </c>
      <c r="AB43" s="27">
        <v>-15359.8398125</v>
      </c>
      <c r="AC43" s="27">
        <v>-15618.552187499999</v>
      </c>
      <c r="AD43" s="27">
        <v>-15996.918874999999</v>
      </c>
    </row>
    <row r="44" spans="1:30">
      <c r="A44" s="27" t="s">
        <v>257</v>
      </c>
      <c r="B44" s="27" t="s">
        <v>197</v>
      </c>
      <c r="C44" s="27" t="s">
        <v>198</v>
      </c>
      <c r="D44" s="27" t="s">
        <v>1151</v>
      </c>
      <c r="E44" s="27" t="s">
        <v>75</v>
      </c>
      <c r="F44" s="27" t="s">
        <v>200</v>
      </c>
      <c r="G44" s="27" t="s">
        <v>200</v>
      </c>
      <c r="H44" s="27">
        <v>36092.875699999997</v>
      </c>
      <c r="I44" s="27">
        <v>38301.2814</v>
      </c>
      <c r="J44" s="27">
        <v>42049.680099999998</v>
      </c>
      <c r="K44" s="27" t="s">
        <v>200</v>
      </c>
      <c r="L44" s="27" t="s">
        <v>200</v>
      </c>
      <c r="M44" s="27" t="s">
        <v>200</v>
      </c>
      <c r="N44" s="27" t="s">
        <v>200</v>
      </c>
      <c r="O44" s="27">
        <v>32300.2104</v>
      </c>
      <c r="P44" s="27">
        <v>24044.9182</v>
      </c>
      <c r="Q44" s="27">
        <v>17409.867600000001</v>
      </c>
      <c r="R44" s="27">
        <v>13992.4571</v>
      </c>
      <c r="S44" s="27">
        <v>9354.1062000000002</v>
      </c>
      <c r="T44" s="27">
        <v>4112.7795999999998</v>
      </c>
      <c r="U44" s="27">
        <v>-582.07119999999998</v>
      </c>
      <c r="V44" s="27">
        <v>-4452.9848000000002</v>
      </c>
      <c r="W44" s="27">
        <v>-7525.6583000000001</v>
      </c>
      <c r="X44" s="27">
        <v>-9348.6546999999991</v>
      </c>
      <c r="Y44" s="27">
        <v>-9889.0653000000002</v>
      </c>
      <c r="Z44" s="27">
        <v>-10000</v>
      </c>
      <c r="AA44" s="27">
        <v>-10000</v>
      </c>
      <c r="AB44" s="27">
        <v>-10000</v>
      </c>
      <c r="AC44" s="27">
        <v>-10000</v>
      </c>
      <c r="AD44" s="27">
        <v>-10000</v>
      </c>
    </row>
    <row r="45" spans="1:30">
      <c r="A45" s="27" t="s">
        <v>196</v>
      </c>
      <c r="B45" s="27" t="s">
        <v>258</v>
      </c>
      <c r="C45" s="27" t="s">
        <v>198</v>
      </c>
      <c r="D45" s="27" t="s">
        <v>1151</v>
      </c>
      <c r="E45" s="27" t="s">
        <v>75</v>
      </c>
      <c r="F45" s="27" t="s">
        <v>200</v>
      </c>
      <c r="G45" s="27">
        <v>33399.798600000002</v>
      </c>
      <c r="H45" s="27">
        <v>36959.633900000001</v>
      </c>
      <c r="I45" s="27">
        <v>38487.101000000002</v>
      </c>
      <c r="J45" s="27">
        <v>37367.816700000003</v>
      </c>
      <c r="K45" s="27" t="s">
        <v>200</v>
      </c>
      <c r="L45" s="27" t="s">
        <v>200</v>
      </c>
      <c r="M45" s="27" t="s">
        <v>200</v>
      </c>
      <c r="N45" s="27" t="s">
        <v>200</v>
      </c>
      <c r="O45" s="27">
        <v>29799.228299999999</v>
      </c>
      <c r="P45" s="27">
        <v>24872.434099999999</v>
      </c>
      <c r="Q45" s="27">
        <v>19261.543099999999</v>
      </c>
      <c r="R45" s="27">
        <v>15194.4859</v>
      </c>
      <c r="S45" s="27">
        <v>11753.0661</v>
      </c>
      <c r="T45" s="27">
        <v>8147.9336000000003</v>
      </c>
      <c r="U45" s="27">
        <v>4858.0586000000003</v>
      </c>
      <c r="V45" s="27">
        <v>2386.0317</v>
      </c>
      <c r="W45" s="27" t="s">
        <v>200</v>
      </c>
      <c r="X45" s="27">
        <v>-1108.4069999999999</v>
      </c>
      <c r="Y45" s="27" t="s">
        <v>200</v>
      </c>
      <c r="Z45" s="27">
        <v>-3113.9987000000001</v>
      </c>
      <c r="AA45" s="27" t="s">
        <v>200</v>
      </c>
      <c r="AB45" s="27">
        <v>-4862.9233999999997</v>
      </c>
      <c r="AC45" s="27" t="s">
        <v>200</v>
      </c>
      <c r="AD45" s="27">
        <v>-7305.0898999999999</v>
      </c>
    </row>
    <row r="46" spans="1:30">
      <c r="A46" s="27" t="s">
        <v>247</v>
      </c>
      <c r="B46" s="27" t="s">
        <v>259</v>
      </c>
      <c r="C46" s="27" t="s">
        <v>198</v>
      </c>
      <c r="D46" s="27" t="s">
        <v>1151</v>
      </c>
      <c r="E46" s="27" t="s">
        <v>75</v>
      </c>
      <c r="F46" s="27">
        <v>26158.984375</v>
      </c>
      <c r="G46" s="27">
        <v>30911.814453125</v>
      </c>
      <c r="H46" s="27">
        <v>34045.15625</v>
      </c>
      <c r="I46" s="27" t="s">
        <v>200</v>
      </c>
      <c r="J46" s="27">
        <v>38513.0859375</v>
      </c>
      <c r="K46" s="27" t="s">
        <v>200</v>
      </c>
      <c r="L46" s="27" t="s">
        <v>200</v>
      </c>
      <c r="M46" s="27" t="s">
        <v>200</v>
      </c>
      <c r="N46" s="27" t="s">
        <v>200</v>
      </c>
      <c r="O46" s="27" t="s">
        <v>200</v>
      </c>
      <c r="P46" s="27">
        <v>23245.150390625</v>
      </c>
      <c r="Q46" s="27" t="s">
        <v>200</v>
      </c>
      <c r="R46" s="27">
        <v>16038.7763671875</v>
      </c>
      <c r="S46" s="27" t="s">
        <v>200</v>
      </c>
      <c r="T46" s="27">
        <v>8652.8583984375</v>
      </c>
      <c r="U46" s="27" t="s">
        <v>200</v>
      </c>
      <c r="V46" s="27">
        <v>1838.08728027344</v>
      </c>
      <c r="W46" s="27" t="s">
        <v>200</v>
      </c>
      <c r="X46" s="27">
        <v>-2308.44140625</v>
      </c>
      <c r="Y46" s="27" t="s">
        <v>200</v>
      </c>
      <c r="Z46" s="27">
        <v>-4869.13232421875</v>
      </c>
      <c r="AA46" s="27" t="s">
        <v>200</v>
      </c>
      <c r="AB46" s="27">
        <v>-6160.59326171875</v>
      </c>
      <c r="AC46" s="27" t="s">
        <v>200</v>
      </c>
      <c r="AD46" s="27">
        <v>-7997.75048828125</v>
      </c>
    </row>
    <row r="47" spans="1:30">
      <c r="A47" s="27" t="s">
        <v>233</v>
      </c>
      <c r="B47" s="27" t="s">
        <v>260</v>
      </c>
      <c r="C47" s="27" t="s">
        <v>198</v>
      </c>
      <c r="D47" s="27" t="s">
        <v>1151</v>
      </c>
      <c r="E47" s="27" t="s">
        <v>75</v>
      </c>
      <c r="F47" s="27" t="s">
        <v>200</v>
      </c>
      <c r="G47" s="27" t="s">
        <v>200</v>
      </c>
      <c r="H47" s="27">
        <v>34180.32677521334</v>
      </c>
      <c r="I47" s="27">
        <v>36958.048730520073</v>
      </c>
      <c r="J47" s="27">
        <v>37176.406751892602</v>
      </c>
      <c r="K47" s="27" t="s">
        <v>200</v>
      </c>
      <c r="L47" s="27" t="s">
        <v>200</v>
      </c>
      <c r="M47" s="27" t="s">
        <v>200</v>
      </c>
      <c r="N47" s="27" t="s">
        <v>200</v>
      </c>
      <c r="O47" s="27">
        <v>24211.29490415514</v>
      </c>
      <c r="P47" s="27">
        <v>19053.28123519455</v>
      </c>
      <c r="Q47" s="27">
        <v>15154.19176160085</v>
      </c>
      <c r="R47" s="27">
        <v>12752.62602795382</v>
      </c>
      <c r="S47" s="27">
        <v>9598.0909588084232</v>
      </c>
      <c r="T47" s="27">
        <v>6543.715548315834</v>
      </c>
      <c r="U47" s="27">
        <v>3972.4775471449238</v>
      </c>
      <c r="V47" s="27">
        <v>1533.101104100135</v>
      </c>
      <c r="W47" s="27">
        <v>-344.11016561300158</v>
      </c>
      <c r="X47" s="27">
        <v>-2396.5756216531458</v>
      </c>
      <c r="Y47" s="27">
        <v>-4809.3464558340438</v>
      </c>
      <c r="Z47" s="27">
        <v>-6758.819676733925</v>
      </c>
      <c r="AA47" s="27">
        <v>-8403.539179421452</v>
      </c>
      <c r="AB47" s="27">
        <v>-9911.9145245490163</v>
      </c>
      <c r="AC47" s="27">
        <v>-11229.57115345648</v>
      </c>
      <c r="AD47" s="27">
        <v>-12677.944406425429</v>
      </c>
    </row>
    <row r="48" spans="1:30">
      <c r="A48" s="27" t="s">
        <v>261</v>
      </c>
      <c r="B48" s="27" t="s">
        <v>262</v>
      </c>
      <c r="C48" s="27" t="s">
        <v>198</v>
      </c>
      <c r="D48" s="27" t="s">
        <v>1151</v>
      </c>
      <c r="E48" s="27" t="s">
        <v>75</v>
      </c>
      <c r="F48" s="27" t="s">
        <v>200</v>
      </c>
      <c r="G48" s="27">
        <v>33151.71549780546</v>
      </c>
      <c r="H48" s="27">
        <v>38151.555667530833</v>
      </c>
      <c r="I48" s="27">
        <v>39261.968428048443</v>
      </c>
      <c r="J48" s="27">
        <v>39951.341149465283</v>
      </c>
      <c r="K48" s="27" t="s">
        <v>200</v>
      </c>
      <c r="L48" s="27" t="s">
        <v>200</v>
      </c>
      <c r="M48" s="27" t="s">
        <v>200</v>
      </c>
      <c r="N48" s="27" t="s">
        <v>200</v>
      </c>
      <c r="O48" s="27">
        <v>37733.190433117787</v>
      </c>
      <c r="P48" s="27">
        <v>24867.347658510669</v>
      </c>
      <c r="Q48" s="27">
        <v>16389.905112167071</v>
      </c>
      <c r="R48" s="27">
        <v>10233.311280227181</v>
      </c>
      <c r="S48" s="27">
        <v>4703.7026778364634</v>
      </c>
      <c r="T48" s="27">
        <v>457.84383650809349</v>
      </c>
      <c r="U48" s="27">
        <v>-1214.735178739988</v>
      </c>
      <c r="V48" s="27">
        <v>-2383.294393120309</v>
      </c>
      <c r="W48" s="27">
        <v>-3289.7893272847491</v>
      </c>
      <c r="X48" s="27">
        <v>-4031.1441654055302</v>
      </c>
      <c r="Y48" s="27">
        <v>-3525.1472984975512</v>
      </c>
      <c r="Z48" s="27">
        <v>-5043.3057459011907</v>
      </c>
      <c r="AA48" s="27">
        <v>-5369.9031580402561</v>
      </c>
      <c r="AB48" s="27">
        <v>-5995.6637782143307</v>
      </c>
      <c r="AC48" s="27">
        <v>-5575.1630864443332</v>
      </c>
      <c r="AD48" s="27">
        <v>-5914.81717989969</v>
      </c>
    </row>
    <row r="49" spans="1:30">
      <c r="A49" s="27" t="s">
        <v>218</v>
      </c>
      <c r="B49" s="27" t="s">
        <v>263</v>
      </c>
      <c r="C49" s="27" t="s">
        <v>198</v>
      </c>
      <c r="D49" s="27" t="s">
        <v>1151</v>
      </c>
      <c r="E49" s="27" t="s">
        <v>75</v>
      </c>
      <c r="F49" s="27" t="s">
        <v>200</v>
      </c>
      <c r="G49" s="27">
        <v>36193.637900000002</v>
      </c>
      <c r="H49" s="27">
        <v>40127.095200000003</v>
      </c>
      <c r="I49" s="27">
        <v>45416.179400000001</v>
      </c>
      <c r="J49" s="27">
        <v>45912.145299999996</v>
      </c>
      <c r="K49" s="27" t="s">
        <v>200</v>
      </c>
      <c r="L49" s="27" t="s">
        <v>200</v>
      </c>
      <c r="M49" s="27" t="s">
        <v>200</v>
      </c>
      <c r="N49" s="27" t="s">
        <v>200</v>
      </c>
      <c r="O49" s="27">
        <v>37382.51</v>
      </c>
      <c r="P49" s="27">
        <v>26709.88</v>
      </c>
      <c r="Q49" s="27">
        <v>18082.96</v>
      </c>
      <c r="R49" s="27">
        <v>11858.97</v>
      </c>
      <c r="S49" s="27">
        <v>6267.9639999999999</v>
      </c>
      <c r="T49" s="27">
        <v>1169.867</v>
      </c>
      <c r="U49" s="27">
        <v>-3775.2779999999998</v>
      </c>
      <c r="V49" s="27">
        <v>-7935.232</v>
      </c>
      <c r="W49" s="27" t="s">
        <v>200</v>
      </c>
      <c r="X49" s="27">
        <v>-13286.6</v>
      </c>
      <c r="Y49" s="27" t="s">
        <v>200</v>
      </c>
      <c r="Z49" s="27">
        <v>-15240</v>
      </c>
      <c r="AA49" s="27" t="s">
        <v>200</v>
      </c>
      <c r="AB49" s="27">
        <v>-17402.060000000001</v>
      </c>
      <c r="AC49" s="27" t="s">
        <v>200</v>
      </c>
      <c r="AD49" s="27">
        <v>-18831.12</v>
      </c>
    </row>
    <row r="50" spans="1:30">
      <c r="A50" s="27" t="s">
        <v>196</v>
      </c>
      <c r="B50" s="27" t="s">
        <v>264</v>
      </c>
      <c r="C50" s="27" t="s">
        <v>198</v>
      </c>
      <c r="D50" s="27" t="s">
        <v>1151</v>
      </c>
      <c r="E50" s="27" t="s">
        <v>75</v>
      </c>
      <c r="F50" s="27" t="s">
        <v>200</v>
      </c>
      <c r="G50" s="27">
        <v>34225.848599999998</v>
      </c>
      <c r="H50" s="27">
        <v>37150.298300000002</v>
      </c>
      <c r="I50" s="27">
        <v>38856.756800000003</v>
      </c>
      <c r="J50" s="27">
        <v>38852.1558</v>
      </c>
      <c r="K50" s="27" t="s">
        <v>200</v>
      </c>
      <c r="L50" s="27" t="s">
        <v>200</v>
      </c>
      <c r="M50" s="27" t="s">
        <v>200</v>
      </c>
      <c r="N50" s="27" t="s">
        <v>200</v>
      </c>
      <c r="O50" s="27">
        <v>29883.7523</v>
      </c>
      <c r="P50" s="27">
        <v>24408.2736</v>
      </c>
      <c r="Q50" s="27">
        <v>17882.543300000001</v>
      </c>
      <c r="R50" s="27">
        <v>10445.593999999999</v>
      </c>
      <c r="S50" s="27">
        <v>3946.91</v>
      </c>
      <c r="T50" s="27">
        <v>1366.0605</v>
      </c>
      <c r="U50" s="27">
        <v>-182.50880000000001</v>
      </c>
      <c r="V50" s="27">
        <v>-1374.1668</v>
      </c>
      <c r="W50" s="27" t="s">
        <v>200</v>
      </c>
      <c r="X50" s="27">
        <v>-3180.1794</v>
      </c>
      <c r="Y50" s="27" t="s">
        <v>200</v>
      </c>
      <c r="Z50" s="27">
        <v>-4100.5628999999999</v>
      </c>
      <c r="AA50" s="27" t="s">
        <v>200</v>
      </c>
      <c r="AB50" s="27">
        <v>-4617.4453999999996</v>
      </c>
      <c r="AC50" s="27" t="s">
        <v>200</v>
      </c>
      <c r="AD50" s="27">
        <v>-5037.1063999999997</v>
      </c>
    </row>
    <row r="51" spans="1:30">
      <c r="A51" s="27" t="s">
        <v>218</v>
      </c>
      <c r="B51" s="27" t="s">
        <v>265</v>
      </c>
      <c r="C51" s="27" t="s">
        <v>198</v>
      </c>
      <c r="D51" s="27" t="s">
        <v>1151</v>
      </c>
      <c r="E51" s="27" t="s">
        <v>75</v>
      </c>
      <c r="F51" s="27" t="s">
        <v>200</v>
      </c>
      <c r="G51" s="27">
        <v>36193.637900000002</v>
      </c>
      <c r="H51" s="27">
        <v>40127.095200000003</v>
      </c>
      <c r="I51" s="27">
        <v>45416.179400000001</v>
      </c>
      <c r="J51" s="27">
        <v>45912.145299999996</v>
      </c>
      <c r="K51" s="27" t="s">
        <v>200</v>
      </c>
      <c r="L51" s="27" t="s">
        <v>200</v>
      </c>
      <c r="M51" s="27" t="s">
        <v>200</v>
      </c>
      <c r="N51" s="27" t="s">
        <v>200</v>
      </c>
      <c r="O51" s="27">
        <v>37196.519999999997</v>
      </c>
      <c r="P51" s="27">
        <v>26642.66</v>
      </c>
      <c r="Q51" s="27">
        <v>18770.45</v>
      </c>
      <c r="R51" s="27">
        <v>13448.18</v>
      </c>
      <c r="S51" s="27">
        <v>9154.8580000000002</v>
      </c>
      <c r="T51" s="27">
        <v>6221.8280000000004</v>
      </c>
      <c r="U51" s="27">
        <v>4256.1670000000004</v>
      </c>
      <c r="V51" s="27">
        <v>2551.6930000000002</v>
      </c>
      <c r="W51" s="27" t="s">
        <v>200</v>
      </c>
      <c r="X51" s="27">
        <v>-463.55889999999999</v>
      </c>
      <c r="Y51" s="27" t="s">
        <v>200</v>
      </c>
      <c r="Z51" s="27">
        <v>-3086.297</v>
      </c>
      <c r="AA51" s="27" t="s">
        <v>200</v>
      </c>
      <c r="AB51" s="27">
        <v>-5997.72</v>
      </c>
      <c r="AC51" s="27" t="s">
        <v>200</v>
      </c>
      <c r="AD51" s="27">
        <v>-7094.5280000000002</v>
      </c>
    </row>
    <row r="52" spans="1:30">
      <c r="A52" s="27" t="s">
        <v>226</v>
      </c>
      <c r="B52" s="27" t="s">
        <v>243</v>
      </c>
      <c r="C52" s="27" t="s">
        <v>198</v>
      </c>
      <c r="D52" s="27" t="s">
        <v>1151</v>
      </c>
      <c r="E52" s="27" t="s">
        <v>75</v>
      </c>
      <c r="F52" s="27" t="s">
        <v>200</v>
      </c>
      <c r="G52" s="27">
        <v>33799.581299999998</v>
      </c>
      <c r="H52" s="27">
        <v>36445.891300000003</v>
      </c>
      <c r="I52" s="27">
        <v>40425.1103</v>
      </c>
      <c r="J52" s="27">
        <v>41856.077799999999</v>
      </c>
      <c r="K52" s="27" t="s">
        <v>200</v>
      </c>
      <c r="L52" s="27" t="s">
        <v>200</v>
      </c>
      <c r="M52" s="27" t="s">
        <v>200</v>
      </c>
      <c r="N52" s="27" t="s">
        <v>200</v>
      </c>
      <c r="O52" s="27">
        <v>33555.170299999998</v>
      </c>
      <c r="P52" s="27">
        <v>24570.549299999999</v>
      </c>
      <c r="Q52" s="27">
        <v>16512.5609</v>
      </c>
      <c r="R52" s="27">
        <v>10060.4881</v>
      </c>
      <c r="S52" s="27">
        <v>4619.2232000000004</v>
      </c>
      <c r="T52" s="27">
        <v>94.588499999999996</v>
      </c>
      <c r="U52" s="27">
        <v>-4090.2975999999999</v>
      </c>
      <c r="V52" s="27">
        <v>-7360.4691000000003</v>
      </c>
      <c r="W52" s="27" t="s">
        <v>200</v>
      </c>
      <c r="X52" s="27">
        <v>-11298.743700000001</v>
      </c>
      <c r="Y52" s="27" t="s">
        <v>200</v>
      </c>
      <c r="Z52" s="27">
        <v>-13138.914000000001</v>
      </c>
      <c r="AA52" s="27" t="s">
        <v>200</v>
      </c>
      <c r="AB52" s="27">
        <v>-14203.1937</v>
      </c>
      <c r="AC52" s="27" t="s">
        <v>200</v>
      </c>
      <c r="AD52" s="27">
        <v>-15378.92</v>
      </c>
    </row>
    <row r="53" spans="1:30">
      <c r="A53" s="27" t="s">
        <v>231</v>
      </c>
      <c r="B53" s="27" t="s">
        <v>266</v>
      </c>
      <c r="C53" s="27" t="s">
        <v>198</v>
      </c>
      <c r="D53" s="27" t="s">
        <v>1151</v>
      </c>
      <c r="E53" s="27" t="s">
        <v>75</v>
      </c>
      <c r="F53" s="27" t="s">
        <v>200</v>
      </c>
      <c r="G53" s="27">
        <v>31425.841505781002</v>
      </c>
      <c r="H53" s="27">
        <v>36026.159170802603</v>
      </c>
      <c r="I53" s="27">
        <v>38629.646248977398</v>
      </c>
      <c r="J53" s="27">
        <v>39923.666508082097</v>
      </c>
      <c r="K53" s="27" t="s">
        <v>200</v>
      </c>
      <c r="L53" s="27" t="s">
        <v>200</v>
      </c>
      <c r="M53" s="27" t="s">
        <v>200</v>
      </c>
      <c r="N53" s="27" t="s">
        <v>200</v>
      </c>
      <c r="O53" s="27">
        <v>26961.284694602298</v>
      </c>
      <c r="P53" s="27">
        <v>15307.531898281</v>
      </c>
      <c r="Q53" s="27">
        <v>3651.8899685285901</v>
      </c>
      <c r="R53" s="27">
        <v>-8000.0039486375499</v>
      </c>
      <c r="S53" s="27">
        <v>-8000.0009871579896</v>
      </c>
      <c r="T53" s="27">
        <v>-7999.9936254700997</v>
      </c>
      <c r="U53" s="27">
        <v>-8000.0059625814802</v>
      </c>
      <c r="V53" s="27">
        <v>-8000.0976600288795</v>
      </c>
      <c r="W53" s="27">
        <v>-8000.00295355247</v>
      </c>
      <c r="X53" s="27">
        <v>-8000.0059607169296</v>
      </c>
      <c r="Y53" s="27">
        <v>-8000.06060777937</v>
      </c>
      <c r="Z53" s="27">
        <v>-7999.5795816280897</v>
      </c>
      <c r="AA53" s="27">
        <v>-8000.0100815368396</v>
      </c>
      <c r="AB53" s="27">
        <v>-8000.0379405846197</v>
      </c>
      <c r="AC53" s="27">
        <v>-8000.0077983290703</v>
      </c>
      <c r="AD53" s="27">
        <v>-8000.0108665867201</v>
      </c>
    </row>
    <row r="54" spans="1:30">
      <c r="A54" s="27" t="s">
        <v>233</v>
      </c>
      <c r="B54" s="27" t="s">
        <v>267</v>
      </c>
      <c r="C54" s="27" t="s">
        <v>198</v>
      </c>
      <c r="D54" s="27" t="s">
        <v>1151</v>
      </c>
      <c r="E54" s="27" t="s">
        <v>75</v>
      </c>
      <c r="F54" s="27" t="s">
        <v>200</v>
      </c>
      <c r="G54" s="27" t="s">
        <v>200</v>
      </c>
      <c r="H54" s="27">
        <v>34180.32677521334</v>
      </c>
      <c r="I54" s="27">
        <v>36958.048730520073</v>
      </c>
      <c r="J54" s="27">
        <v>37176.406751892602</v>
      </c>
      <c r="K54" s="27" t="s">
        <v>200</v>
      </c>
      <c r="L54" s="27" t="s">
        <v>200</v>
      </c>
      <c r="M54" s="27" t="s">
        <v>200</v>
      </c>
      <c r="N54" s="27" t="s">
        <v>200</v>
      </c>
      <c r="O54" s="27">
        <v>21904.223346300281</v>
      </c>
      <c r="P54" s="27">
        <v>15657.01220695484</v>
      </c>
      <c r="Q54" s="27">
        <v>9848.8103971476994</v>
      </c>
      <c r="R54" s="27">
        <v>6096.1092369555754</v>
      </c>
      <c r="S54" s="27">
        <v>3276.445849998353</v>
      </c>
      <c r="T54" s="27">
        <v>1057.117682260003</v>
      </c>
      <c r="U54" s="27">
        <v>-850.18059422893054</v>
      </c>
      <c r="V54" s="27">
        <v>-1706.501081011598</v>
      </c>
      <c r="W54" s="27">
        <v>-1739.612360042993</v>
      </c>
      <c r="X54" s="27">
        <v>-1740.7785761807629</v>
      </c>
      <c r="Y54" s="27">
        <v>-1739.3283885190399</v>
      </c>
      <c r="Z54" s="27">
        <v>-1615.9217869884501</v>
      </c>
      <c r="AA54" s="27">
        <v>-1618.7134037660451</v>
      </c>
      <c r="AB54" s="27">
        <v>-1613.3962115184561</v>
      </c>
      <c r="AC54" s="27">
        <v>-1598.632362139786</v>
      </c>
      <c r="AD54" s="27">
        <v>-1576.9703143321869</v>
      </c>
    </row>
    <row r="55" spans="1:30">
      <c r="A55" s="27" t="s">
        <v>196</v>
      </c>
      <c r="B55" s="27" t="s">
        <v>268</v>
      </c>
      <c r="C55" s="27" t="s">
        <v>198</v>
      </c>
      <c r="D55" s="27" t="s">
        <v>1151</v>
      </c>
      <c r="E55" s="27" t="s">
        <v>75</v>
      </c>
      <c r="F55" s="27" t="s">
        <v>200</v>
      </c>
      <c r="G55" s="27">
        <v>33402.863100000002</v>
      </c>
      <c r="H55" s="27">
        <v>36880.116300000002</v>
      </c>
      <c r="I55" s="27">
        <v>38550.176700000004</v>
      </c>
      <c r="J55" s="27">
        <v>39262.8459</v>
      </c>
      <c r="K55" s="27" t="s">
        <v>200</v>
      </c>
      <c r="L55" s="27" t="s">
        <v>200</v>
      </c>
      <c r="M55" s="27" t="s">
        <v>200</v>
      </c>
      <c r="N55" s="27" t="s">
        <v>200</v>
      </c>
      <c r="O55" s="27">
        <v>29835.599999999999</v>
      </c>
      <c r="P55" s="27">
        <v>22046.4457</v>
      </c>
      <c r="Q55" s="27">
        <v>16041.9406</v>
      </c>
      <c r="R55" s="27">
        <v>11651.129800000001</v>
      </c>
      <c r="S55" s="27">
        <v>7633.0083000000004</v>
      </c>
      <c r="T55" s="27">
        <v>3416.2876999999999</v>
      </c>
      <c r="U55" s="27">
        <v>587.80600000000004</v>
      </c>
      <c r="V55" s="27">
        <v>-1684.2261000000001</v>
      </c>
      <c r="W55" s="27" t="s">
        <v>200</v>
      </c>
      <c r="X55" s="27">
        <v>-5650.5451000000003</v>
      </c>
      <c r="Y55" s="27" t="s">
        <v>200</v>
      </c>
      <c r="Z55" s="27">
        <v>-10452.204400000001</v>
      </c>
      <c r="AA55" s="27" t="s">
        <v>200</v>
      </c>
      <c r="AB55" s="27">
        <v>-14545.4187</v>
      </c>
      <c r="AC55" s="27" t="s">
        <v>200</v>
      </c>
      <c r="AD55" s="27">
        <v>-16364.187599999999</v>
      </c>
    </row>
    <row r="56" spans="1:30">
      <c r="A56" s="27" t="s">
        <v>222</v>
      </c>
      <c r="B56" s="27" t="s">
        <v>269</v>
      </c>
      <c r="C56" s="27" t="s">
        <v>198</v>
      </c>
      <c r="D56" s="27" t="s">
        <v>1151</v>
      </c>
      <c r="E56" s="27" t="s">
        <v>75</v>
      </c>
      <c r="F56" s="27" t="s">
        <v>200</v>
      </c>
      <c r="G56" s="27">
        <v>33205.426399999997</v>
      </c>
      <c r="H56" s="27">
        <v>37640.729399999997</v>
      </c>
      <c r="I56" s="27">
        <v>40369.946799999998</v>
      </c>
      <c r="J56" s="27">
        <v>42883.990700000002</v>
      </c>
      <c r="K56" s="27" t="s">
        <v>200</v>
      </c>
      <c r="L56" s="27" t="s">
        <v>200</v>
      </c>
      <c r="M56" s="27" t="s">
        <v>200</v>
      </c>
      <c r="N56" s="27" t="s">
        <v>200</v>
      </c>
      <c r="O56" s="27">
        <v>33388.2696</v>
      </c>
      <c r="P56" s="27">
        <v>22328.708999999999</v>
      </c>
      <c r="Q56" s="27">
        <v>15325.823899999999</v>
      </c>
      <c r="R56" s="27">
        <v>9060.9058999999997</v>
      </c>
      <c r="S56" s="27">
        <v>2837.5805999999998</v>
      </c>
      <c r="T56" s="27">
        <v>-1935.3572999999999</v>
      </c>
      <c r="U56" s="27">
        <v>-4467.8553000000002</v>
      </c>
      <c r="V56" s="27">
        <v>-6322.5784000000003</v>
      </c>
      <c r="W56" s="27" t="s">
        <v>200</v>
      </c>
      <c r="X56" s="27">
        <v>-8710.4485000000004</v>
      </c>
      <c r="Y56" s="27" t="s">
        <v>200</v>
      </c>
      <c r="Z56" s="27">
        <v>-9921.0373</v>
      </c>
      <c r="AA56" s="27" t="s">
        <v>200</v>
      </c>
      <c r="AB56" s="27">
        <v>-10513.9125</v>
      </c>
      <c r="AC56" s="27" t="s">
        <v>200</v>
      </c>
      <c r="AD56" s="27">
        <v>-10863.714900000001</v>
      </c>
    </row>
    <row r="57" spans="1:30">
      <c r="A57" s="27" t="s">
        <v>231</v>
      </c>
      <c r="B57" s="27" t="s">
        <v>270</v>
      </c>
      <c r="C57" s="27" t="s">
        <v>198</v>
      </c>
      <c r="D57" s="27" t="s">
        <v>1151</v>
      </c>
      <c r="E57" s="27" t="s">
        <v>75</v>
      </c>
      <c r="F57" s="27" t="s">
        <v>200</v>
      </c>
      <c r="G57" s="27">
        <v>31425.841360470899</v>
      </c>
      <c r="H57" s="27">
        <v>36026.158258014002</v>
      </c>
      <c r="I57" s="27">
        <v>38629.645000003497</v>
      </c>
      <c r="J57" s="27">
        <v>39923.663356852303</v>
      </c>
      <c r="K57" s="27" t="s">
        <v>200</v>
      </c>
      <c r="L57" s="27" t="s">
        <v>200</v>
      </c>
      <c r="M57" s="27" t="s">
        <v>200</v>
      </c>
      <c r="N57" s="27" t="s">
        <v>200</v>
      </c>
      <c r="O57" s="27">
        <v>30845.854611358802</v>
      </c>
      <c r="P57" s="27">
        <v>23076.672266372501</v>
      </c>
      <c r="Q57" s="27">
        <v>15306.1519096099</v>
      </c>
      <c r="R57" s="27">
        <v>7538.35862483249</v>
      </c>
      <c r="S57" s="27">
        <v>-230.83898496791801</v>
      </c>
      <c r="T57" s="27">
        <v>-8000.0073657583698</v>
      </c>
      <c r="U57" s="27">
        <v>-7999.9973936748502</v>
      </c>
      <c r="V57" s="27">
        <v>-8000.0049749518703</v>
      </c>
      <c r="W57" s="27">
        <v>-8000.0368991608602</v>
      </c>
      <c r="X57" s="27">
        <v>-8000.1328790856196</v>
      </c>
      <c r="Y57" s="27">
        <v>-8000.0187141877796</v>
      </c>
      <c r="Z57" s="27">
        <v>-8000.0041649055902</v>
      </c>
      <c r="AA57" s="27">
        <v>-7999.9960284498002</v>
      </c>
      <c r="AB57" s="27">
        <v>-7999.99784314731</v>
      </c>
      <c r="AC57" s="27">
        <v>-8000.1326484576903</v>
      </c>
      <c r="AD57" s="27">
        <v>-8000.0143958894796</v>
      </c>
    </row>
    <row r="58" spans="1:30">
      <c r="A58" s="27" t="s">
        <v>231</v>
      </c>
      <c r="B58" s="27" t="s">
        <v>271</v>
      </c>
      <c r="C58" s="27" t="s">
        <v>198</v>
      </c>
      <c r="D58" s="27" t="s">
        <v>1151</v>
      </c>
      <c r="E58" s="27" t="s">
        <v>75</v>
      </c>
      <c r="F58" s="27" t="s">
        <v>200</v>
      </c>
      <c r="G58" s="27">
        <v>31425.8416225566</v>
      </c>
      <c r="H58" s="27">
        <v>36026.158753995398</v>
      </c>
      <c r="I58" s="27">
        <v>38629.647251950097</v>
      </c>
      <c r="J58" s="27">
        <v>39923.667557481502</v>
      </c>
      <c r="K58" s="27" t="s">
        <v>200</v>
      </c>
      <c r="L58" s="27" t="s">
        <v>200</v>
      </c>
      <c r="M58" s="27" t="s">
        <v>200</v>
      </c>
      <c r="N58" s="27" t="s">
        <v>200</v>
      </c>
      <c r="O58" s="27">
        <v>19307.4696097284</v>
      </c>
      <c r="P58" s="27">
        <v>-0.367922220799485</v>
      </c>
      <c r="Q58" s="27">
        <v>-0.36709339372494698</v>
      </c>
      <c r="R58" s="27">
        <v>-0.36444725237532299</v>
      </c>
      <c r="S58" s="27">
        <v>-0.365703496632381</v>
      </c>
      <c r="T58" s="27">
        <v>-0.36169570815777702</v>
      </c>
      <c r="U58" s="27">
        <v>-0.37658917616896698</v>
      </c>
      <c r="V58" s="27">
        <v>-0.37639528976973802</v>
      </c>
      <c r="W58" s="27">
        <v>-0.36403644048668798</v>
      </c>
      <c r="X58" s="27">
        <v>-0.36787602843544598</v>
      </c>
      <c r="Y58" s="27">
        <v>-0.36747284429412003</v>
      </c>
      <c r="Z58" s="27">
        <v>-0.370969770203676</v>
      </c>
      <c r="AA58" s="27">
        <v>-0.370512786592256</v>
      </c>
      <c r="AB58" s="27">
        <v>-0.36759992121159901</v>
      </c>
      <c r="AC58" s="27">
        <v>-0.36702160849770699</v>
      </c>
      <c r="AD58" s="27">
        <v>-0.36636346688524102</v>
      </c>
    </row>
    <row r="59" spans="1:30">
      <c r="A59" s="27" t="s">
        <v>216</v>
      </c>
      <c r="B59" s="27" t="s">
        <v>272</v>
      </c>
      <c r="C59" s="27" t="s">
        <v>198</v>
      </c>
      <c r="D59" s="27" t="s">
        <v>1151</v>
      </c>
      <c r="E59" s="27" t="s">
        <v>75</v>
      </c>
      <c r="F59" s="27">
        <v>32281.145000257002</v>
      </c>
      <c r="G59" s="27">
        <v>36621.789087825702</v>
      </c>
      <c r="H59" s="27">
        <v>39410.654713591597</v>
      </c>
      <c r="I59" s="27">
        <v>43281.865512491502</v>
      </c>
      <c r="J59" s="27">
        <v>41454.646867115604</v>
      </c>
      <c r="K59" s="27">
        <v>37112.296070133903</v>
      </c>
      <c r="L59" s="27">
        <v>33773.039804819397</v>
      </c>
      <c r="M59" s="27">
        <v>31367.6439683188</v>
      </c>
      <c r="N59" s="27">
        <v>29246.712048394998</v>
      </c>
      <c r="O59" s="27">
        <v>28035.683796850801</v>
      </c>
      <c r="P59" s="27">
        <v>17487.280971018801</v>
      </c>
      <c r="Q59" s="27">
        <v>11866.4882998052</v>
      </c>
      <c r="R59" s="27">
        <v>7653.3372088547803</v>
      </c>
      <c r="S59" s="27">
        <v>4401.28318618914</v>
      </c>
      <c r="T59" s="27">
        <v>1880.21000035523</v>
      </c>
      <c r="U59" s="27">
        <v>101.615680451785</v>
      </c>
      <c r="V59" s="27">
        <v>1.5208474179160001</v>
      </c>
      <c r="W59" s="27" t="s">
        <v>200</v>
      </c>
      <c r="X59" s="27">
        <v>2.4586613324126998</v>
      </c>
      <c r="Y59" s="27" t="s">
        <v>200</v>
      </c>
      <c r="Z59" s="27">
        <v>1.72015719202318</v>
      </c>
      <c r="AA59" s="27" t="s">
        <v>200</v>
      </c>
      <c r="AB59" s="27">
        <v>0.23843380317884999</v>
      </c>
      <c r="AC59" s="27" t="s">
        <v>200</v>
      </c>
      <c r="AD59" s="27">
        <v>8.9829053740679999E-4</v>
      </c>
    </row>
    <row r="60" spans="1:30">
      <c r="A60" s="27" t="s">
        <v>196</v>
      </c>
      <c r="B60" s="27" t="s">
        <v>273</v>
      </c>
      <c r="C60" s="27" t="s">
        <v>198</v>
      </c>
      <c r="D60" s="27" t="s">
        <v>1151</v>
      </c>
      <c r="E60" s="27" t="s">
        <v>75</v>
      </c>
      <c r="F60" s="27" t="s">
        <v>200</v>
      </c>
      <c r="G60" s="27" t="s">
        <v>200</v>
      </c>
      <c r="H60" s="27">
        <v>37155.0959</v>
      </c>
      <c r="I60" s="27">
        <v>39283.612800000003</v>
      </c>
      <c r="J60" s="27">
        <v>39860.860500000003</v>
      </c>
      <c r="K60" s="27" t="s">
        <v>200</v>
      </c>
      <c r="L60" s="27" t="s">
        <v>200</v>
      </c>
      <c r="M60" s="27" t="s">
        <v>200</v>
      </c>
      <c r="N60" s="27" t="s">
        <v>200</v>
      </c>
      <c r="O60" s="27">
        <v>28935.99</v>
      </c>
      <c r="P60" s="27">
        <v>19112.166799999999</v>
      </c>
      <c r="Q60" s="27">
        <v>12160.9422</v>
      </c>
      <c r="R60" s="27">
        <v>7279.0528000000004</v>
      </c>
      <c r="S60" s="27">
        <v>3902.5821999999998</v>
      </c>
      <c r="T60" s="27">
        <v>1372.9554000000001</v>
      </c>
      <c r="U60" s="27">
        <v>-156.28870000000001</v>
      </c>
      <c r="V60" s="27">
        <v>-1200.2236</v>
      </c>
      <c r="W60" s="27" t="s">
        <v>200</v>
      </c>
      <c r="X60" s="27">
        <v>-2187.7543000000001</v>
      </c>
      <c r="Y60" s="27" t="s">
        <v>200</v>
      </c>
      <c r="Z60" s="27">
        <v>-2554.8512000000001</v>
      </c>
      <c r="AA60" s="27" t="s">
        <v>200</v>
      </c>
      <c r="AB60" s="27">
        <v>-2991.0599000000002</v>
      </c>
      <c r="AC60" s="27" t="s">
        <v>200</v>
      </c>
      <c r="AD60" s="27">
        <v>-3628.0646999999999</v>
      </c>
    </row>
    <row r="61" spans="1:30">
      <c r="A61" s="27" t="s">
        <v>226</v>
      </c>
      <c r="B61" s="27" t="s">
        <v>274</v>
      </c>
      <c r="C61" s="27" t="s">
        <v>198</v>
      </c>
      <c r="D61" s="27" t="s">
        <v>1151</v>
      </c>
      <c r="E61" s="27" t="s">
        <v>75</v>
      </c>
      <c r="F61" s="27" t="s">
        <v>200</v>
      </c>
      <c r="G61" s="27">
        <v>33780.277600000001</v>
      </c>
      <c r="H61" s="27">
        <v>38655.609900000003</v>
      </c>
      <c r="I61" s="27">
        <v>43224.7189</v>
      </c>
      <c r="J61" s="27">
        <v>39878.556700000001</v>
      </c>
      <c r="K61" s="27" t="s">
        <v>200</v>
      </c>
      <c r="L61" s="27" t="s">
        <v>200</v>
      </c>
      <c r="M61" s="27" t="s">
        <v>200</v>
      </c>
      <c r="N61" s="27" t="s">
        <v>200</v>
      </c>
      <c r="O61" s="27">
        <v>33910.577100000002</v>
      </c>
      <c r="P61" s="27">
        <v>29519.789100000002</v>
      </c>
      <c r="Q61" s="27">
        <v>24561.703099999999</v>
      </c>
      <c r="R61" s="27">
        <v>19392.255000000001</v>
      </c>
      <c r="S61" s="27">
        <v>13590.2263</v>
      </c>
      <c r="T61" s="27">
        <v>9046.6967000000004</v>
      </c>
      <c r="U61" s="27">
        <v>5577.2645000000002</v>
      </c>
      <c r="V61" s="27">
        <v>2719.8590000000008</v>
      </c>
      <c r="W61" s="27" t="s">
        <v>200</v>
      </c>
      <c r="X61" s="27">
        <v>-2235.3598999999999</v>
      </c>
      <c r="Y61" s="27" t="s">
        <v>200</v>
      </c>
      <c r="Z61" s="27">
        <v>-5482.0337</v>
      </c>
      <c r="AA61" s="27" t="s">
        <v>200</v>
      </c>
      <c r="AB61" s="27">
        <v>-8024.8509999999997</v>
      </c>
      <c r="AC61" s="27" t="s">
        <v>200</v>
      </c>
      <c r="AD61" s="27">
        <v>-9562.0102000000006</v>
      </c>
    </row>
    <row r="62" spans="1:30">
      <c r="A62" s="27" t="s">
        <v>196</v>
      </c>
      <c r="B62" s="27" t="s">
        <v>275</v>
      </c>
      <c r="C62" s="27" t="s">
        <v>198</v>
      </c>
      <c r="D62" s="27" t="s">
        <v>1151</v>
      </c>
      <c r="E62" s="27" t="s">
        <v>75</v>
      </c>
      <c r="F62" s="27" t="s">
        <v>200</v>
      </c>
      <c r="G62" s="27">
        <v>33403.968399999998</v>
      </c>
      <c r="H62" s="27">
        <v>36877.948400000001</v>
      </c>
      <c r="I62" s="27">
        <v>38547.826800000003</v>
      </c>
      <c r="J62" s="27">
        <v>39240.891499999998</v>
      </c>
      <c r="K62" s="27" t="s">
        <v>200</v>
      </c>
      <c r="L62" s="27" t="s">
        <v>200</v>
      </c>
      <c r="M62" s="27" t="s">
        <v>200</v>
      </c>
      <c r="N62" s="27" t="s">
        <v>200</v>
      </c>
      <c r="O62" s="27">
        <v>30887.671999999999</v>
      </c>
      <c r="P62" s="27">
        <v>23184.8586</v>
      </c>
      <c r="Q62" s="27">
        <v>16052.2418</v>
      </c>
      <c r="R62" s="27">
        <v>10394.817999999999</v>
      </c>
      <c r="S62" s="27">
        <v>5708.8307999999997</v>
      </c>
      <c r="T62" s="27">
        <v>1493.9818</v>
      </c>
      <c r="U62" s="27">
        <v>-885.82180000000005</v>
      </c>
      <c r="V62" s="27">
        <v>-2359.0277999999998</v>
      </c>
      <c r="W62" s="27" t="s">
        <v>200</v>
      </c>
      <c r="X62" s="27">
        <v>-3755.5888</v>
      </c>
      <c r="Y62" s="27" t="s">
        <v>200</v>
      </c>
      <c r="Z62" s="27">
        <v>-4391.6818000000003</v>
      </c>
      <c r="AA62" s="27" t="s">
        <v>200</v>
      </c>
      <c r="AB62" s="27">
        <v>-5403.5357000000004</v>
      </c>
      <c r="AC62" s="27" t="s">
        <v>200</v>
      </c>
      <c r="AD62" s="27">
        <v>-7128.0667999999996</v>
      </c>
    </row>
    <row r="63" spans="1:30">
      <c r="A63" s="27" t="s">
        <v>261</v>
      </c>
      <c r="B63" s="27" t="s">
        <v>276</v>
      </c>
      <c r="C63" s="27" t="s">
        <v>198</v>
      </c>
      <c r="D63" s="27" t="s">
        <v>1151</v>
      </c>
      <c r="E63" s="27" t="s">
        <v>75</v>
      </c>
      <c r="F63" s="27" t="s">
        <v>200</v>
      </c>
      <c r="G63" s="27">
        <v>33038.725588941023</v>
      </c>
      <c r="H63" s="27">
        <v>38000.710289912939</v>
      </c>
      <c r="I63" s="27">
        <v>39093.448571262277</v>
      </c>
      <c r="J63" s="27">
        <v>39760.305667677072</v>
      </c>
      <c r="K63" s="27" t="s">
        <v>200</v>
      </c>
      <c r="L63" s="27" t="s">
        <v>200</v>
      </c>
      <c r="M63" s="27" t="s">
        <v>200</v>
      </c>
      <c r="N63" s="27" t="s">
        <v>200</v>
      </c>
      <c r="O63" s="27">
        <v>36875.154625748117</v>
      </c>
      <c r="P63" s="27">
        <v>21459.435223305019</v>
      </c>
      <c r="Q63" s="27">
        <v>11433.081137107079</v>
      </c>
      <c r="R63" s="27">
        <v>5574.3672693869676</v>
      </c>
      <c r="S63" s="27">
        <v>849.46438097728912</v>
      </c>
      <c r="T63" s="27">
        <v>-2823.185628511862</v>
      </c>
      <c r="U63" s="27">
        <v>-4076.8933516076058</v>
      </c>
      <c r="V63" s="27">
        <v>-3392.154765119576</v>
      </c>
      <c r="W63" s="27">
        <v>-3025.0532636213588</v>
      </c>
      <c r="X63" s="27">
        <v>-2348.7016400247162</v>
      </c>
      <c r="Y63" s="27">
        <v>-1849.7119244031819</v>
      </c>
      <c r="Z63" s="27">
        <v>-2319.3873293124161</v>
      </c>
      <c r="AA63" s="27">
        <v>-2298.4660239719719</v>
      </c>
      <c r="AB63" s="27">
        <v>-2079.7864178323011</v>
      </c>
      <c r="AC63" s="27">
        <v>-2000.601277851144</v>
      </c>
      <c r="AD63" s="27">
        <v>-1798.4695639655811</v>
      </c>
    </row>
    <row r="64" spans="1:30">
      <c r="A64" s="27" t="s">
        <v>218</v>
      </c>
      <c r="B64" s="27" t="s">
        <v>256</v>
      </c>
      <c r="C64" s="27" t="s">
        <v>198</v>
      </c>
      <c r="D64" s="27" t="s">
        <v>1151</v>
      </c>
      <c r="E64" s="27" t="s">
        <v>75</v>
      </c>
      <c r="F64" s="27" t="s">
        <v>200</v>
      </c>
      <c r="G64" s="27">
        <v>36193.637900000002</v>
      </c>
      <c r="H64" s="27">
        <v>38842.928</v>
      </c>
      <c r="I64" s="27">
        <v>42927.371200000001</v>
      </c>
      <c r="J64" s="27">
        <v>45171.882799999999</v>
      </c>
      <c r="K64" s="27" t="s">
        <v>200</v>
      </c>
      <c r="L64" s="27" t="s">
        <v>200</v>
      </c>
      <c r="M64" s="27" t="s">
        <v>200</v>
      </c>
      <c r="N64" s="27" t="s">
        <v>200</v>
      </c>
      <c r="O64" s="27">
        <v>36199.1</v>
      </c>
      <c r="P64" s="27">
        <v>25056.33</v>
      </c>
      <c r="Q64" s="27">
        <v>15186.2</v>
      </c>
      <c r="R64" s="27">
        <v>8161.7169999999996</v>
      </c>
      <c r="S64" s="27">
        <v>2464.797</v>
      </c>
      <c r="T64" s="27">
        <v>-1894.876</v>
      </c>
      <c r="U64" s="27">
        <v>-5689.1169999999966</v>
      </c>
      <c r="V64" s="27">
        <v>-8680.5339999999997</v>
      </c>
      <c r="W64" s="27" t="s">
        <v>200</v>
      </c>
      <c r="X64" s="27">
        <v>-12133.05</v>
      </c>
      <c r="Y64" s="27" t="s">
        <v>200</v>
      </c>
      <c r="Z64" s="27">
        <v>-12884.94</v>
      </c>
      <c r="AA64" s="27" t="s">
        <v>200</v>
      </c>
      <c r="AB64" s="27">
        <v>-12748.99</v>
      </c>
      <c r="AC64" s="27" t="s">
        <v>200</v>
      </c>
      <c r="AD64" s="27">
        <v>-13373.91</v>
      </c>
    </row>
    <row r="65" spans="1:30">
      <c r="A65" s="27" t="s">
        <v>203</v>
      </c>
      <c r="B65" s="27" t="s">
        <v>277</v>
      </c>
      <c r="C65" s="27" t="s">
        <v>198</v>
      </c>
      <c r="D65" s="27" t="s">
        <v>1151</v>
      </c>
      <c r="E65" s="27" t="s">
        <v>75</v>
      </c>
      <c r="F65" s="27" t="s">
        <v>200</v>
      </c>
      <c r="G65" s="27">
        <v>34278.4908</v>
      </c>
      <c r="H65" s="27">
        <v>37322.5936</v>
      </c>
      <c r="I65" s="27">
        <v>38825.638800000001</v>
      </c>
      <c r="J65" s="27">
        <v>39074.5141</v>
      </c>
      <c r="K65" s="27" t="s">
        <v>200</v>
      </c>
      <c r="L65" s="27" t="s">
        <v>200</v>
      </c>
      <c r="M65" s="27" t="s">
        <v>200</v>
      </c>
      <c r="N65" s="27" t="s">
        <v>200</v>
      </c>
      <c r="O65" s="27">
        <v>31483.686300000001</v>
      </c>
      <c r="P65" s="27">
        <v>24624.149000000001</v>
      </c>
      <c r="Q65" s="27">
        <v>17025.4139</v>
      </c>
      <c r="R65" s="27">
        <v>10425.5144</v>
      </c>
      <c r="S65" s="27">
        <v>4634.1134000000002</v>
      </c>
      <c r="T65" s="27">
        <v>-1629.0264999999999</v>
      </c>
      <c r="U65" s="27">
        <v>-6734.4393</v>
      </c>
      <c r="V65" s="27">
        <v>-10477.687</v>
      </c>
      <c r="W65" s="27" t="s">
        <v>200</v>
      </c>
      <c r="X65" s="27">
        <v>-14517.312599999999</v>
      </c>
      <c r="Y65" s="27" t="s">
        <v>200</v>
      </c>
      <c r="Z65" s="27">
        <v>-15960.8534</v>
      </c>
      <c r="AA65" s="27" t="s">
        <v>200</v>
      </c>
      <c r="AB65" s="27">
        <v>-16441.5069</v>
      </c>
      <c r="AC65" s="27" t="s">
        <v>200</v>
      </c>
      <c r="AD65" s="27">
        <v>-16397.2078</v>
      </c>
    </row>
    <row r="66" spans="1:30">
      <c r="A66" s="27" t="s">
        <v>203</v>
      </c>
      <c r="B66" s="27" t="s">
        <v>278</v>
      </c>
      <c r="C66" s="27" t="s">
        <v>198</v>
      </c>
      <c r="D66" s="27" t="s">
        <v>1151</v>
      </c>
      <c r="E66" s="27" t="s">
        <v>75</v>
      </c>
      <c r="F66" s="27" t="s">
        <v>200</v>
      </c>
      <c r="G66" s="27">
        <v>33702.061699999998</v>
      </c>
      <c r="H66" s="27">
        <v>37208.8436</v>
      </c>
      <c r="I66" s="27">
        <v>38909.644</v>
      </c>
      <c r="J66" s="27">
        <v>39302.466500000002</v>
      </c>
      <c r="K66" s="27" t="s">
        <v>200</v>
      </c>
      <c r="L66" s="27" t="s">
        <v>200</v>
      </c>
      <c r="M66" s="27" t="s">
        <v>200</v>
      </c>
      <c r="N66" s="27" t="s">
        <v>200</v>
      </c>
      <c r="O66" s="27">
        <v>30778.191599999998</v>
      </c>
      <c r="P66" s="27">
        <v>25472.569800000001</v>
      </c>
      <c r="Q66" s="27">
        <v>18593.6531</v>
      </c>
      <c r="R66" s="27">
        <v>10155.301799999999</v>
      </c>
      <c r="S66" s="27">
        <v>3367.7258000000002</v>
      </c>
      <c r="T66" s="27">
        <v>-2191.7629999999999</v>
      </c>
      <c r="U66" s="27">
        <v>-4937.8245999999999</v>
      </c>
      <c r="V66" s="27">
        <v>-6392.2034000000003</v>
      </c>
      <c r="W66" s="27" t="s">
        <v>200</v>
      </c>
      <c r="X66" s="27">
        <v>-8329.9168000000009</v>
      </c>
      <c r="Y66" s="27" t="s">
        <v>200</v>
      </c>
      <c r="Z66" s="27">
        <v>-9550.6077000000005</v>
      </c>
      <c r="AA66" s="27" t="s">
        <v>200</v>
      </c>
      <c r="AB66" s="27">
        <v>-10825.4149</v>
      </c>
      <c r="AC66" s="27" t="s">
        <v>200</v>
      </c>
      <c r="AD66" s="27">
        <v>-12099.107599999999</v>
      </c>
    </row>
    <row r="67" spans="1:30">
      <c r="A67" s="27" t="s">
        <v>196</v>
      </c>
      <c r="B67" s="27" t="s">
        <v>279</v>
      </c>
      <c r="C67" s="27" t="s">
        <v>198</v>
      </c>
      <c r="D67" s="27" t="s">
        <v>1151</v>
      </c>
      <c r="E67" s="27" t="s">
        <v>75</v>
      </c>
      <c r="F67" s="27" t="s">
        <v>200</v>
      </c>
      <c r="G67" s="27">
        <v>33403.968399999998</v>
      </c>
      <c r="H67" s="27">
        <v>36877.948400000001</v>
      </c>
      <c r="I67" s="27">
        <v>38547.826800000003</v>
      </c>
      <c r="J67" s="27">
        <v>39240.891499999998</v>
      </c>
      <c r="K67" s="27" t="s">
        <v>200</v>
      </c>
      <c r="L67" s="27" t="s">
        <v>200</v>
      </c>
      <c r="M67" s="27" t="s">
        <v>200</v>
      </c>
      <c r="N67" s="27" t="s">
        <v>200</v>
      </c>
      <c r="O67" s="27">
        <v>29791.688600000001</v>
      </c>
      <c r="P67" s="27">
        <v>22242.9791</v>
      </c>
      <c r="Q67" s="27">
        <v>15955.635200000001</v>
      </c>
      <c r="R67" s="27">
        <v>11025.6078</v>
      </c>
      <c r="S67" s="27">
        <v>6497.7901000000002</v>
      </c>
      <c r="T67" s="27">
        <v>2434.8787000000002</v>
      </c>
      <c r="U67" s="27">
        <v>-229.04249999999999</v>
      </c>
      <c r="V67" s="27">
        <v>-2439.2563</v>
      </c>
      <c r="W67" s="27" t="s">
        <v>200</v>
      </c>
      <c r="X67" s="27">
        <v>-4934.7178000000004</v>
      </c>
      <c r="Y67" s="27" t="s">
        <v>200</v>
      </c>
      <c r="Z67" s="27">
        <v>-6164.8346000000001</v>
      </c>
      <c r="AA67" s="27" t="s">
        <v>200</v>
      </c>
      <c r="AB67" s="27">
        <v>-7198.9070000000002</v>
      </c>
      <c r="AC67" s="27" t="s">
        <v>200</v>
      </c>
      <c r="AD67" s="27">
        <v>-8417.0028999999995</v>
      </c>
    </row>
    <row r="68" spans="1:30">
      <c r="A68" s="27" t="s">
        <v>257</v>
      </c>
      <c r="B68" s="27" t="s">
        <v>280</v>
      </c>
      <c r="C68" s="27" t="s">
        <v>198</v>
      </c>
      <c r="D68" s="27" t="s">
        <v>1151</v>
      </c>
      <c r="E68" s="27" t="s">
        <v>75</v>
      </c>
      <c r="F68" s="27" t="s">
        <v>200</v>
      </c>
      <c r="G68" s="27" t="s">
        <v>200</v>
      </c>
      <c r="H68" s="27">
        <v>36092.875699999997</v>
      </c>
      <c r="I68" s="27">
        <v>38301.2814</v>
      </c>
      <c r="J68" s="27">
        <v>42049.680099999998</v>
      </c>
      <c r="K68" s="27" t="s">
        <v>200</v>
      </c>
      <c r="L68" s="27" t="s">
        <v>200</v>
      </c>
      <c r="M68" s="27" t="s">
        <v>200</v>
      </c>
      <c r="N68" s="27" t="s">
        <v>200</v>
      </c>
      <c r="O68" s="27">
        <v>32300.2104</v>
      </c>
      <c r="P68" s="27">
        <v>24044.9182</v>
      </c>
      <c r="Q68" s="27">
        <v>16504.665400000002</v>
      </c>
      <c r="R68" s="27">
        <v>10367.5515</v>
      </c>
      <c r="S68" s="27">
        <v>4845.7244000000001</v>
      </c>
      <c r="T68" s="27">
        <v>309.44850000000002</v>
      </c>
      <c r="U68" s="27">
        <v>-0.01</v>
      </c>
      <c r="V68" s="27">
        <v>-0.01</v>
      </c>
      <c r="W68" s="27">
        <v>-0.01</v>
      </c>
      <c r="X68" s="27">
        <v>-0.01</v>
      </c>
      <c r="Y68" s="27">
        <v>-0.01</v>
      </c>
      <c r="Z68" s="27">
        <v>-0.01</v>
      </c>
      <c r="AA68" s="27">
        <v>-0.01</v>
      </c>
      <c r="AB68" s="27">
        <v>-0.01</v>
      </c>
      <c r="AC68" s="27">
        <v>-0.01</v>
      </c>
      <c r="AD68" s="27">
        <v>-0.01</v>
      </c>
    </row>
    <row r="69" spans="1:30">
      <c r="A69" s="27" t="s">
        <v>211</v>
      </c>
      <c r="B69" s="27" t="s">
        <v>240</v>
      </c>
      <c r="C69" s="27" t="s">
        <v>198</v>
      </c>
      <c r="D69" s="27" t="s">
        <v>1151</v>
      </c>
      <c r="E69" s="27" t="s">
        <v>75</v>
      </c>
      <c r="F69" s="27" t="s">
        <v>200</v>
      </c>
      <c r="G69" s="27">
        <v>37767.241826447163</v>
      </c>
      <c r="H69" s="27">
        <v>40313.502032572142</v>
      </c>
      <c r="I69" s="27" t="s">
        <v>200</v>
      </c>
      <c r="J69" s="27">
        <v>40931.321736315833</v>
      </c>
      <c r="K69" s="27" t="s">
        <v>200</v>
      </c>
      <c r="L69" s="27" t="s">
        <v>200</v>
      </c>
      <c r="M69" s="27" t="s">
        <v>200</v>
      </c>
      <c r="N69" s="27" t="s">
        <v>200</v>
      </c>
      <c r="O69" s="27" t="s">
        <v>200</v>
      </c>
      <c r="P69" s="27">
        <v>23633.12852901985</v>
      </c>
      <c r="Q69" s="27" t="s">
        <v>200</v>
      </c>
      <c r="R69" s="27">
        <v>11524.1294038417</v>
      </c>
      <c r="S69" s="27" t="s">
        <v>200</v>
      </c>
      <c r="T69" s="27">
        <v>3778.922018223293</v>
      </c>
      <c r="U69" s="27" t="s">
        <v>200</v>
      </c>
      <c r="V69" s="27">
        <v>-1510.684607554349</v>
      </c>
      <c r="W69" s="27" t="s">
        <v>200</v>
      </c>
      <c r="X69" s="27">
        <v>-6540.3683857745782</v>
      </c>
      <c r="Y69" s="27" t="s">
        <v>200</v>
      </c>
      <c r="Z69" s="27">
        <v>-10608.86417825137</v>
      </c>
      <c r="AA69" s="27" t="s">
        <v>200</v>
      </c>
      <c r="AB69" s="27">
        <v>-12410.88058301081</v>
      </c>
      <c r="AC69" s="27" t="s">
        <v>200</v>
      </c>
      <c r="AD69" s="27">
        <v>-13048.889882237019</v>
      </c>
    </row>
    <row r="70" spans="1:30">
      <c r="A70" s="27" t="s">
        <v>203</v>
      </c>
      <c r="B70" s="27" t="s">
        <v>281</v>
      </c>
      <c r="C70" s="27" t="s">
        <v>198</v>
      </c>
      <c r="D70" s="27" t="s">
        <v>1151</v>
      </c>
      <c r="E70" s="27" t="s">
        <v>75</v>
      </c>
      <c r="F70" s="27" t="s">
        <v>200</v>
      </c>
      <c r="G70" s="27">
        <v>33702.061699999998</v>
      </c>
      <c r="H70" s="27">
        <v>37208.8436</v>
      </c>
      <c r="I70" s="27">
        <v>38909.644</v>
      </c>
      <c r="J70" s="27">
        <v>39302.466500000002</v>
      </c>
      <c r="K70" s="27" t="s">
        <v>200</v>
      </c>
      <c r="L70" s="27" t="s">
        <v>200</v>
      </c>
      <c r="M70" s="27" t="s">
        <v>200</v>
      </c>
      <c r="N70" s="27" t="s">
        <v>200</v>
      </c>
      <c r="O70" s="27">
        <v>30816.891800000001</v>
      </c>
      <c r="P70" s="27">
        <v>23810.687000000002</v>
      </c>
      <c r="Q70" s="27">
        <v>16374.0556</v>
      </c>
      <c r="R70" s="27">
        <v>9962.1293999999998</v>
      </c>
      <c r="S70" s="27">
        <v>5343.8868000000002</v>
      </c>
      <c r="T70" s="27">
        <v>1244.3395</v>
      </c>
      <c r="U70" s="27">
        <v>-1126.5905</v>
      </c>
      <c r="V70" s="27">
        <v>-2557.7523000000001</v>
      </c>
      <c r="W70" s="27" t="s">
        <v>200</v>
      </c>
      <c r="X70" s="27">
        <v>-3943.4994000000002</v>
      </c>
      <c r="Y70" s="27" t="s">
        <v>200</v>
      </c>
      <c r="Z70" s="27">
        <v>-4607.0790999999999</v>
      </c>
      <c r="AA70" s="27" t="s">
        <v>200</v>
      </c>
      <c r="AB70" s="27">
        <v>-5732.8086999999996</v>
      </c>
      <c r="AC70" s="27" t="s">
        <v>200</v>
      </c>
      <c r="AD70" s="27">
        <v>-7770.3220000000001</v>
      </c>
    </row>
    <row r="71" spans="1:30">
      <c r="A71" s="27" t="s">
        <v>282</v>
      </c>
      <c r="B71" s="27" t="s">
        <v>283</v>
      </c>
      <c r="C71" s="27" t="s">
        <v>198</v>
      </c>
      <c r="D71" s="27" t="s">
        <v>1151</v>
      </c>
      <c r="E71" s="27" t="s">
        <v>75</v>
      </c>
      <c r="F71" s="27" t="s">
        <v>200</v>
      </c>
      <c r="G71" s="27" t="s">
        <v>200</v>
      </c>
      <c r="H71" s="27">
        <v>39410.654713591612</v>
      </c>
      <c r="I71" s="27">
        <v>43215.734817232187</v>
      </c>
      <c r="J71" s="27">
        <v>42275.151445324424</v>
      </c>
      <c r="K71" s="27" t="s">
        <v>200</v>
      </c>
      <c r="L71" s="27" t="s">
        <v>200</v>
      </c>
      <c r="M71" s="27" t="s">
        <v>200</v>
      </c>
      <c r="N71" s="27" t="s">
        <v>200</v>
      </c>
      <c r="O71" s="27" t="s">
        <v>200</v>
      </c>
      <c r="P71" s="27">
        <v>16569.544727575641</v>
      </c>
      <c r="Q71" s="27" t="s">
        <v>200</v>
      </c>
      <c r="R71" s="27">
        <v>7072.9481095456395</v>
      </c>
      <c r="S71" s="27" t="s">
        <v>200</v>
      </c>
      <c r="T71" s="27">
        <v>2039.588012223739</v>
      </c>
      <c r="U71" s="27" t="s">
        <v>200</v>
      </c>
      <c r="V71" s="27">
        <v>-274.21259646129261</v>
      </c>
      <c r="W71" s="27" t="s">
        <v>200</v>
      </c>
      <c r="X71" s="27">
        <v>-1971.338401760185</v>
      </c>
      <c r="Y71" s="27" t="s">
        <v>200</v>
      </c>
      <c r="Z71" s="27">
        <v>-3315.5063471168128</v>
      </c>
      <c r="AA71" s="27" t="s">
        <v>200</v>
      </c>
      <c r="AB71" s="27">
        <v>-3902.7848535602279</v>
      </c>
      <c r="AC71" s="27" t="s">
        <v>200</v>
      </c>
      <c r="AD71" s="27">
        <v>-4219.9452193724101</v>
      </c>
    </row>
    <row r="72" spans="1:30">
      <c r="A72" s="27" t="s">
        <v>203</v>
      </c>
      <c r="B72" s="27" t="s">
        <v>284</v>
      </c>
      <c r="C72" s="27" t="s">
        <v>198</v>
      </c>
      <c r="D72" s="27" t="s">
        <v>1151</v>
      </c>
      <c r="E72" s="27" t="s">
        <v>75</v>
      </c>
      <c r="F72" s="27" t="s">
        <v>200</v>
      </c>
      <c r="G72" s="27">
        <v>33702.061699999998</v>
      </c>
      <c r="H72" s="27">
        <v>37208.8436</v>
      </c>
      <c r="I72" s="27">
        <v>38909.644</v>
      </c>
      <c r="J72" s="27">
        <v>39302.466500000002</v>
      </c>
      <c r="K72" s="27" t="s">
        <v>200</v>
      </c>
      <c r="L72" s="27" t="s">
        <v>200</v>
      </c>
      <c r="M72" s="27" t="s">
        <v>200</v>
      </c>
      <c r="N72" s="27" t="s">
        <v>200</v>
      </c>
      <c r="O72" s="27">
        <v>29616.418399999999</v>
      </c>
      <c r="P72" s="27">
        <v>22961.845499999999</v>
      </c>
      <c r="Q72" s="27">
        <v>16262.7006</v>
      </c>
      <c r="R72" s="27">
        <v>10561.4748</v>
      </c>
      <c r="S72" s="27">
        <v>6081.3258999999998</v>
      </c>
      <c r="T72" s="27">
        <v>2040.7375999999999</v>
      </c>
      <c r="U72" s="27">
        <v>-667.12440000000004</v>
      </c>
      <c r="V72" s="27">
        <v>-2853.8013000000001</v>
      </c>
      <c r="W72" s="27" t="s">
        <v>200</v>
      </c>
      <c r="X72" s="27">
        <v>-5284.1139999999996</v>
      </c>
      <c r="Y72" s="27" t="s">
        <v>200</v>
      </c>
      <c r="Z72" s="27">
        <v>-6513.4160000000002</v>
      </c>
      <c r="AA72" s="27" t="s">
        <v>200</v>
      </c>
      <c r="AB72" s="27">
        <v>-7625.2091</v>
      </c>
      <c r="AC72" s="27" t="s">
        <v>200</v>
      </c>
      <c r="AD72" s="27">
        <v>-8840.4516999999996</v>
      </c>
    </row>
    <row r="73" spans="1:30">
      <c r="A73" s="27" t="s">
        <v>203</v>
      </c>
      <c r="B73" s="27" t="s">
        <v>285</v>
      </c>
      <c r="C73" s="27" t="s">
        <v>198</v>
      </c>
      <c r="D73" s="27" t="s">
        <v>1151</v>
      </c>
      <c r="E73" s="27" t="s">
        <v>75</v>
      </c>
      <c r="F73" s="27" t="s">
        <v>200</v>
      </c>
      <c r="G73" s="27">
        <v>34278.4908</v>
      </c>
      <c r="H73" s="27">
        <v>37321.674899999998</v>
      </c>
      <c r="I73" s="27">
        <v>38814.530299999999</v>
      </c>
      <c r="J73" s="27">
        <v>39052.303999999996</v>
      </c>
      <c r="K73" s="27" t="s">
        <v>200</v>
      </c>
      <c r="L73" s="27" t="s">
        <v>200</v>
      </c>
      <c r="M73" s="27" t="s">
        <v>200</v>
      </c>
      <c r="N73" s="27" t="s">
        <v>200</v>
      </c>
      <c r="O73" s="27">
        <v>29958.293000000001</v>
      </c>
      <c r="P73" s="27">
        <v>24732.9876</v>
      </c>
      <c r="Q73" s="27">
        <v>19564.8704</v>
      </c>
      <c r="R73" s="27">
        <v>15322.896199999999</v>
      </c>
      <c r="S73" s="27">
        <v>12178.107900000001</v>
      </c>
      <c r="T73" s="27">
        <v>8919.7988000000005</v>
      </c>
      <c r="U73" s="27">
        <v>5982.5861000000004</v>
      </c>
      <c r="V73" s="27">
        <v>2998.5405999999998</v>
      </c>
      <c r="W73" s="27" t="s">
        <v>200</v>
      </c>
      <c r="X73" s="27">
        <v>-1453.4501</v>
      </c>
      <c r="Y73" s="27" t="s">
        <v>200</v>
      </c>
      <c r="Z73" s="27">
        <v>-4495.1734999999999</v>
      </c>
      <c r="AA73" s="27" t="s">
        <v>200</v>
      </c>
      <c r="AB73" s="27">
        <v>-6457.2848000000004</v>
      </c>
      <c r="AC73" s="27" t="s">
        <v>200</v>
      </c>
      <c r="AD73" s="27">
        <v>-8280.1170000000002</v>
      </c>
    </row>
    <row r="74" spans="1:30">
      <c r="A74" s="27" t="s">
        <v>196</v>
      </c>
      <c r="B74" s="27" t="s">
        <v>286</v>
      </c>
      <c r="C74" s="27" t="s">
        <v>198</v>
      </c>
      <c r="D74" s="27" t="s">
        <v>1151</v>
      </c>
      <c r="E74" s="27" t="s">
        <v>75</v>
      </c>
      <c r="F74" s="27" t="s">
        <v>200</v>
      </c>
      <c r="G74" s="27">
        <v>33402.863100000002</v>
      </c>
      <c r="H74" s="27">
        <v>36880.116300000002</v>
      </c>
      <c r="I74" s="27">
        <v>38550.176700000004</v>
      </c>
      <c r="J74" s="27">
        <v>39262.8459</v>
      </c>
      <c r="K74" s="27" t="s">
        <v>200</v>
      </c>
      <c r="L74" s="27" t="s">
        <v>200</v>
      </c>
      <c r="M74" s="27" t="s">
        <v>200</v>
      </c>
      <c r="N74" s="27" t="s">
        <v>200</v>
      </c>
      <c r="O74" s="27">
        <v>25883.699100000002</v>
      </c>
      <c r="P74" s="27">
        <v>14458.7495</v>
      </c>
      <c r="Q74" s="27">
        <v>7802.8418000000001</v>
      </c>
      <c r="R74" s="27">
        <v>2245.1947</v>
      </c>
      <c r="S74" s="27">
        <v>69.9208</v>
      </c>
      <c r="T74" s="27">
        <v>-207.54769999999999</v>
      </c>
      <c r="U74" s="27">
        <v>159.82910000000001</v>
      </c>
      <c r="V74" s="27">
        <v>36.787599999999998</v>
      </c>
      <c r="W74" s="27" t="s">
        <v>200</v>
      </c>
      <c r="X74" s="27">
        <v>-53.365699999999997</v>
      </c>
      <c r="Y74" s="27" t="s">
        <v>200</v>
      </c>
      <c r="Z74" s="27">
        <v>40.765999999999998</v>
      </c>
      <c r="AA74" s="27" t="s">
        <v>200</v>
      </c>
      <c r="AB74" s="27">
        <v>-51.723399999999998</v>
      </c>
      <c r="AC74" s="27" t="s">
        <v>200</v>
      </c>
      <c r="AD74" s="27">
        <v>55.611600000000003</v>
      </c>
    </row>
    <row r="75" spans="1:30">
      <c r="A75" s="27" t="s">
        <v>282</v>
      </c>
      <c r="B75" s="27" t="s">
        <v>243</v>
      </c>
      <c r="C75" s="27" t="s">
        <v>198</v>
      </c>
      <c r="D75" s="27" t="s">
        <v>1151</v>
      </c>
      <c r="E75" s="27" t="s">
        <v>75</v>
      </c>
      <c r="F75" s="27">
        <v>31667.908187932</v>
      </c>
      <c r="G75" s="27">
        <v>35933.069697955601</v>
      </c>
      <c r="H75" s="27">
        <v>38542.018156517901</v>
      </c>
      <c r="I75" s="27" t="s">
        <v>200</v>
      </c>
      <c r="J75" s="27">
        <v>39615.222554543798</v>
      </c>
      <c r="K75" s="27" t="s">
        <v>200</v>
      </c>
      <c r="L75" s="27" t="s">
        <v>200</v>
      </c>
      <c r="M75" s="27" t="s">
        <v>200</v>
      </c>
      <c r="N75" s="27" t="s">
        <v>200</v>
      </c>
      <c r="O75" s="27" t="s">
        <v>200</v>
      </c>
      <c r="P75" s="27">
        <v>23824.223076970298</v>
      </c>
      <c r="Q75" s="27" t="s">
        <v>200</v>
      </c>
      <c r="R75" s="27">
        <v>12039.055051261499</v>
      </c>
      <c r="S75" s="27" t="s">
        <v>200</v>
      </c>
      <c r="T75" s="27">
        <v>2737.8394771054</v>
      </c>
      <c r="U75" s="27" t="s">
        <v>200</v>
      </c>
      <c r="V75" s="27">
        <v>-7103.2090380195004</v>
      </c>
      <c r="W75" s="27" t="s">
        <v>200</v>
      </c>
      <c r="X75" s="27">
        <v>-11119.145749769499</v>
      </c>
      <c r="Y75" s="27" t="s">
        <v>200</v>
      </c>
      <c r="Z75" s="27">
        <v>-14120.3895144529</v>
      </c>
      <c r="AA75" s="27" t="s">
        <v>200</v>
      </c>
      <c r="AB75" s="27">
        <v>-16521.499537707201</v>
      </c>
      <c r="AC75" s="27" t="s">
        <v>200</v>
      </c>
      <c r="AD75" s="27">
        <v>-17726.896563568302</v>
      </c>
    </row>
    <row r="76" spans="1:30">
      <c r="A76" s="27" t="s">
        <v>207</v>
      </c>
      <c r="B76" s="27" t="s">
        <v>202</v>
      </c>
      <c r="C76" s="27" t="s">
        <v>198</v>
      </c>
      <c r="D76" s="27" t="s">
        <v>1151</v>
      </c>
      <c r="E76" s="27" t="s">
        <v>75</v>
      </c>
      <c r="F76" s="27">
        <v>32281.145000257049</v>
      </c>
      <c r="G76" s="27">
        <v>36621.789087825673</v>
      </c>
      <c r="H76" s="27">
        <v>39410.654713591597</v>
      </c>
      <c r="I76" s="27">
        <v>43281.865512491539</v>
      </c>
      <c r="J76" s="27">
        <v>42186.671120611158</v>
      </c>
      <c r="K76" s="27" t="s">
        <v>200</v>
      </c>
      <c r="L76" s="27" t="s">
        <v>200</v>
      </c>
      <c r="M76" s="27" t="s">
        <v>200</v>
      </c>
      <c r="N76" s="27" t="s">
        <v>200</v>
      </c>
      <c r="O76" s="27">
        <v>28723.352875221499</v>
      </c>
      <c r="P76" s="27">
        <v>20160.344908189061</v>
      </c>
      <c r="Q76" s="27">
        <v>14664.034443639321</v>
      </c>
      <c r="R76" s="27">
        <v>10440.510052259589</v>
      </c>
      <c r="S76" s="27">
        <v>6829.2748780644033</v>
      </c>
      <c r="T76" s="27">
        <v>3778.3684545597548</v>
      </c>
      <c r="U76" s="27">
        <v>1597.5446098893519</v>
      </c>
      <c r="V76" s="27">
        <v>-0.52767781854197437</v>
      </c>
      <c r="W76" s="27" t="s">
        <v>200</v>
      </c>
      <c r="X76" s="27">
        <v>-4.9966902686799131</v>
      </c>
      <c r="Y76" s="27" t="s">
        <v>200</v>
      </c>
      <c r="Z76" s="27">
        <v>1.152431270566467</v>
      </c>
      <c r="AA76" s="27" t="s">
        <v>200</v>
      </c>
      <c r="AB76" s="27">
        <v>0.18312885156683481</v>
      </c>
      <c r="AC76" s="27" t="s">
        <v>200</v>
      </c>
      <c r="AD76" s="27">
        <v>0.49190830994734819</v>
      </c>
    </row>
    <row r="77" spans="1:30">
      <c r="A77" s="27" t="s">
        <v>216</v>
      </c>
      <c r="B77" s="27" t="s">
        <v>287</v>
      </c>
      <c r="C77" s="27" t="s">
        <v>198</v>
      </c>
      <c r="D77" s="27" t="s">
        <v>1151</v>
      </c>
      <c r="E77" s="27" t="s">
        <v>75</v>
      </c>
      <c r="F77" s="27">
        <v>32281.145000257002</v>
      </c>
      <c r="G77" s="27">
        <v>36621.789087825702</v>
      </c>
      <c r="H77" s="27">
        <v>39410.654713591597</v>
      </c>
      <c r="I77" s="27">
        <v>43281.865512491502</v>
      </c>
      <c r="J77" s="27">
        <v>41564.638856785699</v>
      </c>
      <c r="K77" s="27">
        <v>38642.624274521797</v>
      </c>
      <c r="L77" s="27">
        <v>35020.305724917896</v>
      </c>
      <c r="M77" s="27">
        <v>32402.269683066399</v>
      </c>
      <c r="N77" s="27">
        <v>30117.8128771964</v>
      </c>
      <c r="O77" s="27">
        <v>28650.644076781198</v>
      </c>
      <c r="P77" s="27">
        <v>17411.587179520498</v>
      </c>
      <c r="Q77" s="27">
        <v>11625.986066671499</v>
      </c>
      <c r="R77" s="27">
        <v>7402.2640457592197</v>
      </c>
      <c r="S77" s="27">
        <v>4195.0511070722396</v>
      </c>
      <c r="T77" s="27">
        <v>1614.6199265202899</v>
      </c>
      <c r="U77" s="27">
        <v>-7.8566973343186005E-5</v>
      </c>
      <c r="V77" s="27">
        <v>-0.292808473580635</v>
      </c>
      <c r="W77" s="27" t="s">
        <v>200</v>
      </c>
      <c r="X77" s="27">
        <v>1.82152329858559</v>
      </c>
      <c r="Y77" s="27" t="s">
        <v>200</v>
      </c>
      <c r="Z77" s="27">
        <v>1.8240245565677899</v>
      </c>
      <c r="AA77" s="27" t="s">
        <v>200</v>
      </c>
      <c r="AB77" s="27">
        <v>-0.55237138005145403</v>
      </c>
      <c r="AC77" s="27" t="s">
        <v>200</v>
      </c>
      <c r="AD77" s="27">
        <v>4.7502029906349997E-4</v>
      </c>
    </row>
    <row r="78" spans="1:30">
      <c r="A78" s="27" t="s">
        <v>207</v>
      </c>
      <c r="B78" s="27" t="s">
        <v>273</v>
      </c>
      <c r="C78" s="27" t="s">
        <v>198</v>
      </c>
      <c r="D78" s="27" t="s">
        <v>1151</v>
      </c>
      <c r="E78" s="27" t="s">
        <v>75</v>
      </c>
      <c r="F78" s="27" t="s">
        <v>200</v>
      </c>
      <c r="G78" s="27" t="s">
        <v>200</v>
      </c>
      <c r="H78" s="27">
        <v>39410.654710000003</v>
      </c>
      <c r="I78" s="27">
        <v>43281.865510000003</v>
      </c>
      <c r="J78" s="27">
        <v>42186.671119999999</v>
      </c>
      <c r="K78" s="27" t="s">
        <v>200</v>
      </c>
      <c r="L78" s="27" t="s">
        <v>200</v>
      </c>
      <c r="M78" s="27" t="s">
        <v>200</v>
      </c>
      <c r="N78" s="27" t="s">
        <v>200</v>
      </c>
      <c r="O78" s="27">
        <v>28093.200519999999</v>
      </c>
      <c r="P78" s="27">
        <v>18817.634320000001</v>
      </c>
      <c r="Q78" s="27">
        <v>12922.29457</v>
      </c>
      <c r="R78" s="27">
        <v>8732.0017100000005</v>
      </c>
      <c r="S78" s="27">
        <v>5398.379868</v>
      </c>
      <c r="T78" s="27">
        <v>2533.3749750000002</v>
      </c>
      <c r="U78" s="27">
        <v>671.37653450000005</v>
      </c>
      <c r="V78" s="27">
        <v>2.2699999999999999E-13</v>
      </c>
      <c r="W78" s="27" t="s">
        <v>200</v>
      </c>
      <c r="X78" s="27">
        <v>6.8200000000000002E-13</v>
      </c>
      <c r="Y78" s="27" t="s">
        <v>200</v>
      </c>
      <c r="Z78" s="27">
        <v>-9.0899999999999996E-13</v>
      </c>
      <c r="AA78" s="27" t="s">
        <v>200</v>
      </c>
      <c r="AB78" s="27">
        <v>-7.2799999999999997E-12</v>
      </c>
      <c r="AC78" s="27" t="s">
        <v>200</v>
      </c>
      <c r="AD78" s="27">
        <v>1.3600000000000001E-12</v>
      </c>
    </row>
    <row r="79" spans="1:30">
      <c r="A79" s="27" t="s">
        <v>247</v>
      </c>
      <c r="B79" s="27" t="s">
        <v>288</v>
      </c>
      <c r="C79" s="27" t="s">
        <v>198</v>
      </c>
      <c r="D79" s="27" t="s">
        <v>1151</v>
      </c>
      <c r="E79" s="27" t="s">
        <v>75</v>
      </c>
      <c r="F79" s="27">
        <v>26158.984375</v>
      </c>
      <c r="G79" s="27">
        <v>30911.814453125</v>
      </c>
      <c r="H79" s="27">
        <v>34045.15625</v>
      </c>
      <c r="I79" s="27" t="s">
        <v>200</v>
      </c>
      <c r="J79" s="27">
        <v>38496.94140625</v>
      </c>
      <c r="K79" s="27" t="s">
        <v>200</v>
      </c>
      <c r="L79" s="27" t="s">
        <v>200</v>
      </c>
      <c r="M79" s="27" t="s">
        <v>200</v>
      </c>
      <c r="N79" s="27" t="s">
        <v>200</v>
      </c>
      <c r="O79" s="27" t="s">
        <v>200</v>
      </c>
      <c r="P79" s="27">
        <v>22508.150390625</v>
      </c>
      <c r="Q79" s="27" t="s">
        <v>200</v>
      </c>
      <c r="R79" s="27">
        <v>15029.0888671875</v>
      </c>
      <c r="S79" s="27" t="s">
        <v>200</v>
      </c>
      <c r="T79" s="27">
        <v>8208.232421875</v>
      </c>
      <c r="U79" s="27" t="s">
        <v>200</v>
      </c>
      <c r="V79" s="27">
        <v>1630.4365234375</v>
      </c>
      <c r="W79" s="27" t="s">
        <v>200</v>
      </c>
      <c r="X79" s="27">
        <v>-2238.61743164062</v>
      </c>
      <c r="Y79" s="27" t="s">
        <v>200</v>
      </c>
      <c r="Z79" s="27">
        <v>-4620.6162109375</v>
      </c>
      <c r="AA79" s="27" t="s">
        <v>200</v>
      </c>
      <c r="AB79" s="27">
        <v>-6060.65478515625</v>
      </c>
      <c r="AC79" s="27" t="s">
        <v>200</v>
      </c>
      <c r="AD79" s="27">
        <v>-7735.5712890625</v>
      </c>
    </row>
    <row r="80" spans="1:30">
      <c r="A80" s="27" t="s">
        <v>211</v>
      </c>
      <c r="B80" s="27" t="s">
        <v>256</v>
      </c>
      <c r="C80" s="27" t="s">
        <v>198</v>
      </c>
      <c r="D80" s="27" t="s">
        <v>1151</v>
      </c>
      <c r="E80" s="27" t="s">
        <v>75</v>
      </c>
      <c r="F80" s="27" t="s">
        <v>200</v>
      </c>
      <c r="G80" s="27">
        <v>37633.641618400012</v>
      </c>
      <c r="H80" s="27">
        <v>40078.431381900002</v>
      </c>
      <c r="I80" s="27" t="s">
        <v>200</v>
      </c>
      <c r="J80" s="27">
        <v>40495.547227800023</v>
      </c>
      <c r="K80" s="27" t="s">
        <v>200</v>
      </c>
      <c r="L80" s="27" t="s">
        <v>200</v>
      </c>
      <c r="M80" s="27" t="s">
        <v>200</v>
      </c>
      <c r="N80" s="27" t="s">
        <v>200</v>
      </c>
      <c r="O80" s="27" t="s">
        <v>200</v>
      </c>
      <c r="P80" s="27">
        <v>18563.805484299999</v>
      </c>
      <c r="Q80" s="27" t="s">
        <v>200</v>
      </c>
      <c r="R80" s="27">
        <v>9448.4616557000008</v>
      </c>
      <c r="S80" s="27" t="s">
        <v>200</v>
      </c>
      <c r="T80" s="27">
        <v>2763.3051612999998</v>
      </c>
      <c r="U80" s="27" t="s">
        <v>200</v>
      </c>
      <c r="V80" s="27">
        <v>-2429.0698903000002</v>
      </c>
      <c r="W80" s="27" t="s">
        <v>200</v>
      </c>
      <c r="X80" s="27">
        <v>-7626.7931016000002</v>
      </c>
      <c r="Y80" s="27" t="s">
        <v>200</v>
      </c>
      <c r="Z80" s="27">
        <v>-12539.723877799999</v>
      </c>
      <c r="AA80" s="27" t="s">
        <v>200</v>
      </c>
      <c r="AB80" s="27">
        <v>-13806.4530541</v>
      </c>
      <c r="AC80" s="27" t="s">
        <v>200</v>
      </c>
      <c r="AD80" s="27">
        <v>-14262.3428836</v>
      </c>
    </row>
    <row r="81" spans="1:30">
      <c r="A81" s="27" t="s">
        <v>196</v>
      </c>
      <c r="B81" s="27" t="s">
        <v>267</v>
      </c>
      <c r="C81" s="27" t="s">
        <v>198</v>
      </c>
      <c r="D81" s="27" t="s">
        <v>1151</v>
      </c>
      <c r="E81" s="27" t="s">
        <v>75</v>
      </c>
      <c r="F81" s="27" t="s">
        <v>200</v>
      </c>
      <c r="G81" s="27">
        <v>33402.863100000002</v>
      </c>
      <c r="H81" s="27">
        <v>36880.116300000002</v>
      </c>
      <c r="I81" s="27">
        <v>38550.176700000004</v>
      </c>
      <c r="J81" s="27">
        <v>39262.8459</v>
      </c>
      <c r="K81" s="27" t="s">
        <v>200</v>
      </c>
      <c r="L81" s="27" t="s">
        <v>200</v>
      </c>
      <c r="M81" s="27" t="s">
        <v>200</v>
      </c>
      <c r="N81" s="27" t="s">
        <v>200</v>
      </c>
      <c r="O81" s="27">
        <v>27894.571899999999</v>
      </c>
      <c r="P81" s="27">
        <v>18601.954699999998</v>
      </c>
      <c r="Q81" s="27">
        <v>12501.224700000001</v>
      </c>
      <c r="R81" s="27">
        <v>7083.8954999999996</v>
      </c>
      <c r="S81" s="27">
        <v>2981.0282999999999</v>
      </c>
      <c r="T81" s="27">
        <v>548.57860000000005</v>
      </c>
      <c r="U81" s="27">
        <v>107.10429999999999</v>
      </c>
      <c r="V81" s="27">
        <v>31.543299999999999</v>
      </c>
      <c r="W81" s="27" t="s">
        <v>200</v>
      </c>
      <c r="X81" s="144">
        <v>-17.748799999999999</v>
      </c>
      <c r="Y81" s="27" t="s">
        <v>200</v>
      </c>
      <c r="Z81" s="27">
        <v>26.932700000000001</v>
      </c>
      <c r="AA81" s="27" t="s">
        <v>200</v>
      </c>
      <c r="AB81" s="27">
        <v>1.4185000000000001</v>
      </c>
      <c r="AC81" s="27" t="s">
        <v>200</v>
      </c>
      <c r="AD81" s="27">
        <v>76.377499999999998</v>
      </c>
    </row>
    <row r="82" spans="1:30">
      <c r="A82" s="27" t="s">
        <v>207</v>
      </c>
      <c r="B82" s="27" t="s">
        <v>201</v>
      </c>
      <c r="C82" s="27" t="s">
        <v>198</v>
      </c>
      <c r="D82" s="27" t="s">
        <v>1151</v>
      </c>
      <c r="E82" s="27" t="s">
        <v>75</v>
      </c>
      <c r="F82" s="27" t="s">
        <v>200</v>
      </c>
      <c r="G82" s="27" t="s">
        <v>200</v>
      </c>
      <c r="H82" s="27">
        <v>39410.654710000003</v>
      </c>
      <c r="I82" s="27">
        <v>43281.865510000003</v>
      </c>
      <c r="J82" s="27">
        <v>42186.671119999999</v>
      </c>
      <c r="K82" s="27" t="s">
        <v>200</v>
      </c>
      <c r="L82" s="27" t="s">
        <v>200</v>
      </c>
      <c r="M82" s="27" t="s">
        <v>200</v>
      </c>
      <c r="N82" s="27" t="s">
        <v>200</v>
      </c>
      <c r="O82" s="27">
        <v>28409.169539999999</v>
      </c>
      <c r="P82" s="27">
        <v>19639.51038</v>
      </c>
      <c r="Q82" s="27">
        <v>14101.220569999999</v>
      </c>
      <c r="R82" s="27">
        <v>10016.852629999999</v>
      </c>
      <c r="S82" s="27">
        <v>6479.9756219999999</v>
      </c>
      <c r="T82" s="27">
        <v>3538.556763</v>
      </c>
      <c r="U82" s="27">
        <v>1341.1438989999999</v>
      </c>
      <c r="V82" s="27">
        <v>-1.3051182370000001</v>
      </c>
      <c r="W82" s="27" t="s">
        <v>200</v>
      </c>
      <c r="X82" s="27">
        <v>-2.1356017930000002</v>
      </c>
      <c r="Y82" s="27" t="s">
        <v>200</v>
      </c>
      <c r="Z82" s="27">
        <v>0.52499118899999997</v>
      </c>
      <c r="AA82" s="27" t="s">
        <v>200</v>
      </c>
      <c r="AB82" s="27">
        <v>1.001323674</v>
      </c>
      <c r="AC82" s="27" t="s">
        <v>200</v>
      </c>
      <c r="AD82" s="27">
        <v>1.007587456</v>
      </c>
    </row>
    <row r="83" spans="1:30">
      <c r="A83" s="27" t="s">
        <v>196</v>
      </c>
      <c r="B83" s="27" t="s">
        <v>289</v>
      </c>
      <c r="C83" s="27" t="s">
        <v>198</v>
      </c>
      <c r="D83" s="27" t="s">
        <v>1151</v>
      </c>
      <c r="E83" s="27" t="s">
        <v>75</v>
      </c>
      <c r="F83" s="27" t="s">
        <v>200</v>
      </c>
      <c r="G83" s="27">
        <v>34225.848599999998</v>
      </c>
      <c r="H83" s="27">
        <v>37150.298300000002</v>
      </c>
      <c r="I83" s="27">
        <v>38856.756800000003</v>
      </c>
      <c r="J83" s="27">
        <v>38852.1558</v>
      </c>
      <c r="K83" s="27" t="s">
        <v>200</v>
      </c>
      <c r="L83" s="27" t="s">
        <v>200</v>
      </c>
      <c r="M83" s="27" t="s">
        <v>200</v>
      </c>
      <c r="N83" s="27" t="s">
        <v>200</v>
      </c>
      <c r="O83" s="27">
        <v>28266.5831</v>
      </c>
      <c r="P83" s="27">
        <v>21632.465400000001</v>
      </c>
      <c r="Q83" s="27">
        <v>15420.2183</v>
      </c>
      <c r="R83" s="27">
        <v>9684.2343999999994</v>
      </c>
      <c r="S83" s="27">
        <v>5627.9694</v>
      </c>
      <c r="T83" s="27">
        <v>3175.8458999999998</v>
      </c>
      <c r="U83" s="27">
        <v>2008.6493</v>
      </c>
      <c r="V83" s="27">
        <v>1130.3896</v>
      </c>
      <c r="W83" s="27" t="s">
        <v>200</v>
      </c>
      <c r="X83" s="27">
        <v>248.38390000000001</v>
      </c>
      <c r="Y83" s="27" t="s">
        <v>200</v>
      </c>
      <c r="Z83" s="27">
        <v>-221.05869999999999</v>
      </c>
      <c r="AA83" s="27" t="s">
        <v>200</v>
      </c>
      <c r="AB83" s="27">
        <v>-636.91</v>
      </c>
      <c r="AC83" s="27" t="s">
        <v>200</v>
      </c>
      <c r="AD83" s="27">
        <v>-822.46939999999995</v>
      </c>
    </row>
    <row r="84" spans="1:30">
      <c r="A84" s="27" t="s">
        <v>233</v>
      </c>
      <c r="B84" s="27" t="s">
        <v>230</v>
      </c>
      <c r="C84" s="27" t="s">
        <v>198</v>
      </c>
      <c r="D84" s="27" t="s">
        <v>1151</v>
      </c>
      <c r="E84" s="27" t="s">
        <v>75</v>
      </c>
      <c r="F84" s="27" t="s">
        <v>200</v>
      </c>
      <c r="G84" s="27" t="s">
        <v>200</v>
      </c>
      <c r="H84" s="27">
        <v>34180.32677521334</v>
      </c>
      <c r="I84" s="27">
        <v>36958.048730520073</v>
      </c>
      <c r="J84" s="27">
        <v>37176.406751892602</v>
      </c>
      <c r="K84" s="27" t="s">
        <v>200</v>
      </c>
      <c r="L84" s="27" t="s">
        <v>200</v>
      </c>
      <c r="M84" s="27" t="s">
        <v>200</v>
      </c>
      <c r="N84" s="27" t="s">
        <v>200</v>
      </c>
      <c r="O84" s="27">
        <v>20895.177118452721</v>
      </c>
      <c r="P84" s="27">
        <v>13509.217169850661</v>
      </c>
      <c r="Q84" s="27">
        <v>7853.7990389707502</v>
      </c>
      <c r="R84" s="27">
        <v>4491.1734534621983</v>
      </c>
      <c r="S84" s="27">
        <v>1561.3709730697919</v>
      </c>
      <c r="T84" s="27">
        <v>-570.76911488853716</v>
      </c>
      <c r="U84" s="27">
        <v>-1789.9981284020009</v>
      </c>
      <c r="V84" s="27">
        <v>-1738.2260821844079</v>
      </c>
      <c r="W84" s="27">
        <v>-1732.397330513402</v>
      </c>
      <c r="X84" s="27">
        <v>-1731.0586681136631</v>
      </c>
      <c r="Y84" s="27">
        <v>-1726.478611474831</v>
      </c>
      <c r="Z84" s="27">
        <v>-1728.384790915901</v>
      </c>
      <c r="AA84" s="27">
        <v>-1749.3044610273221</v>
      </c>
      <c r="AB84" s="27">
        <v>-1745.9346505475571</v>
      </c>
      <c r="AC84" s="27">
        <v>-1706.5058657647539</v>
      </c>
      <c r="AD84" s="27">
        <v>-1734.441580004253</v>
      </c>
    </row>
    <row r="85" spans="1:30">
      <c r="A85" s="27" t="s">
        <v>211</v>
      </c>
      <c r="B85" s="27" t="s">
        <v>290</v>
      </c>
      <c r="C85" s="27" t="s">
        <v>198</v>
      </c>
      <c r="D85" s="27" t="s">
        <v>1151</v>
      </c>
      <c r="E85" s="27" t="s">
        <v>75</v>
      </c>
      <c r="F85" s="27">
        <v>33061.586610158301</v>
      </c>
      <c r="G85" s="27">
        <v>37547.034504890398</v>
      </c>
      <c r="H85" s="27">
        <v>40094.788285255403</v>
      </c>
      <c r="I85" s="27" t="s">
        <v>200</v>
      </c>
      <c r="J85" s="27">
        <v>41037.408336957298</v>
      </c>
      <c r="K85" s="27" t="s">
        <v>200</v>
      </c>
      <c r="L85" s="27" t="s">
        <v>200</v>
      </c>
      <c r="M85" s="27" t="s">
        <v>200</v>
      </c>
      <c r="N85" s="27" t="s">
        <v>200</v>
      </c>
      <c r="O85" s="27" t="s">
        <v>200</v>
      </c>
      <c r="P85" s="27">
        <v>15792.070374913499</v>
      </c>
      <c r="Q85" s="27" t="s">
        <v>200</v>
      </c>
      <c r="R85" s="27">
        <v>6383.0516973845997</v>
      </c>
      <c r="S85" s="27" t="s">
        <v>200</v>
      </c>
      <c r="T85" s="27">
        <v>-491.82386059454598</v>
      </c>
      <c r="U85" s="27" t="s">
        <v>200</v>
      </c>
      <c r="V85" s="27">
        <v>-8908.7710743765292</v>
      </c>
      <c r="W85" s="27" t="s">
        <v>200</v>
      </c>
      <c r="X85" s="27">
        <v>-10883.6145399412</v>
      </c>
      <c r="Y85" s="27" t="s">
        <v>200</v>
      </c>
      <c r="Z85" s="27">
        <v>-12709.879157072901</v>
      </c>
      <c r="AA85" s="27" t="s">
        <v>200</v>
      </c>
      <c r="AB85" s="27">
        <v>-13755.889536803201</v>
      </c>
      <c r="AC85" s="27" t="s">
        <v>200</v>
      </c>
      <c r="AD85" s="27">
        <v>-14191.8020432091</v>
      </c>
    </row>
    <row r="86" spans="1:30">
      <c r="A86" s="27" t="s">
        <v>226</v>
      </c>
      <c r="B86" s="27" t="s">
        <v>291</v>
      </c>
      <c r="C86" s="27" t="s">
        <v>198</v>
      </c>
      <c r="D86" s="27" t="s">
        <v>1151</v>
      </c>
      <c r="E86" s="27" t="s">
        <v>75</v>
      </c>
      <c r="F86" s="27" t="s">
        <v>200</v>
      </c>
      <c r="G86" s="27">
        <v>32424.7844</v>
      </c>
      <c r="H86" s="27">
        <v>34751.141300000003</v>
      </c>
      <c r="I86" s="27">
        <v>39154.491999999998</v>
      </c>
      <c r="J86" s="27">
        <v>42959.299599999998</v>
      </c>
      <c r="K86" s="27" t="s">
        <v>200</v>
      </c>
      <c r="L86" s="27" t="s">
        <v>200</v>
      </c>
      <c r="M86" s="27" t="s">
        <v>200</v>
      </c>
      <c r="N86" s="27" t="s">
        <v>200</v>
      </c>
      <c r="O86" s="27">
        <v>36156.892099999997</v>
      </c>
      <c r="P86" s="27">
        <v>27480.927100000001</v>
      </c>
      <c r="Q86" s="27">
        <v>18729.0105</v>
      </c>
      <c r="R86" s="27">
        <v>11235.5743</v>
      </c>
      <c r="S86" s="27">
        <v>4841.9685999999992</v>
      </c>
      <c r="T86" s="27">
        <v>-549.56109999999978</v>
      </c>
      <c r="U86" s="27">
        <v>-4931.9573</v>
      </c>
      <c r="V86" s="27">
        <v>-7716.5816999999997</v>
      </c>
      <c r="W86" s="27" t="s">
        <v>200</v>
      </c>
      <c r="X86" s="27">
        <v>-10002.853499999999</v>
      </c>
      <c r="Y86" s="27" t="s">
        <v>200</v>
      </c>
      <c r="Z86" s="27">
        <v>-11772.1232</v>
      </c>
      <c r="AA86" s="27" t="s">
        <v>200</v>
      </c>
      <c r="AB86" s="27">
        <v>-13275.066500000001</v>
      </c>
      <c r="AC86" s="27" t="s">
        <v>200</v>
      </c>
      <c r="AD86" s="27">
        <v>-14337.8976</v>
      </c>
    </row>
    <row r="87" spans="1:30">
      <c r="A87" s="27" t="s">
        <v>261</v>
      </c>
      <c r="B87" s="27" t="s">
        <v>292</v>
      </c>
      <c r="C87" s="27" t="s">
        <v>198</v>
      </c>
      <c r="D87" s="27" t="s">
        <v>1151</v>
      </c>
      <c r="E87" s="27" t="s">
        <v>75</v>
      </c>
      <c r="F87" s="27" t="s">
        <v>200</v>
      </c>
      <c r="G87" s="27">
        <v>33038.679039461851</v>
      </c>
      <c r="H87" s="27">
        <v>38000.710289912939</v>
      </c>
      <c r="I87" s="27">
        <v>39093.265954074763</v>
      </c>
      <c r="J87" s="27">
        <v>39735.777672883167</v>
      </c>
      <c r="K87" s="27" t="s">
        <v>200</v>
      </c>
      <c r="L87" s="27" t="s">
        <v>200</v>
      </c>
      <c r="M87" s="27" t="s">
        <v>200</v>
      </c>
      <c r="N87" s="27" t="s">
        <v>200</v>
      </c>
      <c r="O87" s="27">
        <v>37362.635094542427</v>
      </c>
      <c r="P87" s="27">
        <v>20373.749188050071</v>
      </c>
      <c r="Q87" s="27">
        <v>9272.5926929002544</v>
      </c>
      <c r="R87" s="27">
        <v>2658.8335166805141</v>
      </c>
      <c r="S87" s="27">
        <v>-2518.106160710689</v>
      </c>
      <c r="T87" s="27">
        <v>-5785.5013839894964</v>
      </c>
      <c r="U87" s="27">
        <v>-7022.4257818884034</v>
      </c>
      <c r="V87" s="27">
        <v>-6119.5641688505948</v>
      </c>
      <c r="W87" s="27">
        <v>-5817.8156743570171</v>
      </c>
      <c r="X87" s="27">
        <v>-4870.0262048698132</v>
      </c>
      <c r="Y87" s="27">
        <v>-4451.4174808734242</v>
      </c>
      <c r="Z87" s="27">
        <v>-4629.9365238584032</v>
      </c>
      <c r="AA87" s="27">
        <v>-4939.6342371027031</v>
      </c>
      <c r="AB87" s="27">
        <v>-4893.3094486870341</v>
      </c>
      <c r="AC87" s="27">
        <v>-5057.7924809285496</v>
      </c>
      <c r="AD87" s="27">
        <v>-5123.1031905699028</v>
      </c>
    </row>
    <row r="88" spans="1:30">
      <c r="A88" s="27" t="s">
        <v>261</v>
      </c>
      <c r="B88" s="27" t="s">
        <v>293</v>
      </c>
      <c r="C88" s="27" t="s">
        <v>198</v>
      </c>
      <c r="D88" s="27" t="s">
        <v>1151</v>
      </c>
      <c r="E88" s="27" t="s">
        <v>75</v>
      </c>
      <c r="F88" s="27" t="s">
        <v>200</v>
      </c>
      <c r="G88" s="27">
        <v>33160.960940514633</v>
      </c>
      <c r="H88" s="27">
        <v>38184.448245658823</v>
      </c>
      <c r="I88" s="27">
        <v>39324.928388991662</v>
      </c>
      <c r="J88" s="27">
        <v>39975.468102592473</v>
      </c>
      <c r="K88" s="27" t="s">
        <v>200</v>
      </c>
      <c r="L88" s="27" t="s">
        <v>200</v>
      </c>
      <c r="M88" s="27" t="s">
        <v>200</v>
      </c>
      <c r="N88" s="27" t="s">
        <v>200</v>
      </c>
      <c r="O88" s="27">
        <v>37048.95247732642</v>
      </c>
      <c r="P88" s="27">
        <v>22594.888022887411</v>
      </c>
      <c r="Q88" s="27">
        <v>14014.47623825321</v>
      </c>
      <c r="R88" s="27">
        <v>7129.2944342418677</v>
      </c>
      <c r="S88" s="27">
        <v>2653.70815046911</v>
      </c>
      <c r="T88" s="27">
        <v>-732.28725694319917</v>
      </c>
      <c r="U88" s="27">
        <v>-2080.191040228171</v>
      </c>
      <c r="V88" s="27">
        <v>-2798.784525807821</v>
      </c>
      <c r="W88" s="27">
        <v>-3065.8652956888709</v>
      </c>
      <c r="X88" s="27">
        <v>-3821.9499108292212</v>
      </c>
      <c r="Y88" s="27">
        <v>-3842.362305036806</v>
      </c>
      <c r="Z88" s="27">
        <v>-4753.8261723071664</v>
      </c>
      <c r="AA88" s="27">
        <v>-4877.7117924356153</v>
      </c>
      <c r="AB88" s="27">
        <v>-5302.5903732034076</v>
      </c>
      <c r="AC88" s="27">
        <v>-5219.0967208520669</v>
      </c>
      <c r="AD88" s="27">
        <v>-5640.9795740805248</v>
      </c>
    </row>
    <row r="89" spans="1:30">
      <c r="A89" s="27" t="s">
        <v>196</v>
      </c>
      <c r="B89" s="27" t="s">
        <v>280</v>
      </c>
      <c r="C89" s="27" t="s">
        <v>198</v>
      </c>
      <c r="D89" s="27" t="s">
        <v>1151</v>
      </c>
      <c r="E89" s="27" t="s">
        <v>75</v>
      </c>
      <c r="F89" s="27" t="s">
        <v>200</v>
      </c>
      <c r="G89" s="27">
        <v>33402.863100000002</v>
      </c>
      <c r="H89" s="27">
        <v>36880.116300000002</v>
      </c>
      <c r="I89" s="27">
        <v>38550.176700000004</v>
      </c>
      <c r="J89" s="27">
        <v>39262.8459</v>
      </c>
      <c r="K89" s="27" t="s">
        <v>200</v>
      </c>
      <c r="L89" s="27" t="s">
        <v>200</v>
      </c>
      <c r="M89" s="27" t="s">
        <v>200</v>
      </c>
      <c r="N89" s="27" t="s">
        <v>200</v>
      </c>
      <c r="O89" s="27">
        <v>29641.526000000002</v>
      </c>
      <c r="P89" s="27">
        <v>21637.677199999998</v>
      </c>
      <c r="Q89" s="27">
        <v>15691.9004</v>
      </c>
      <c r="R89" s="27">
        <v>11271.2644</v>
      </c>
      <c r="S89" s="27">
        <v>7227.6175999999996</v>
      </c>
      <c r="T89" s="27">
        <v>3254.7993999999999</v>
      </c>
      <c r="U89" s="27">
        <v>1118.5454999999999</v>
      </c>
      <c r="V89" s="27">
        <v>44.310299999999998</v>
      </c>
      <c r="W89" s="27" t="s">
        <v>200</v>
      </c>
      <c r="X89" s="27">
        <v>-94.628699999999995</v>
      </c>
      <c r="Y89" s="27" t="s">
        <v>200</v>
      </c>
      <c r="Z89" s="27">
        <v>-44.347099999999998</v>
      </c>
      <c r="AA89" s="27" t="s">
        <v>200</v>
      </c>
      <c r="AB89" s="27">
        <v>-1.2927</v>
      </c>
      <c r="AC89" s="27" t="s">
        <v>200</v>
      </c>
      <c r="AD89" s="27">
        <v>81.640100000000004</v>
      </c>
    </row>
    <row r="90" spans="1:30">
      <c r="A90" s="27" t="s">
        <v>218</v>
      </c>
      <c r="B90" s="27" t="s">
        <v>294</v>
      </c>
      <c r="C90" s="27" t="s">
        <v>198</v>
      </c>
      <c r="D90" s="27" t="s">
        <v>1151</v>
      </c>
      <c r="E90" s="27" t="s">
        <v>75</v>
      </c>
      <c r="F90" s="27" t="s">
        <v>200</v>
      </c>
      <c r="G90" s="27">
        <v>36193.637900000002</v>
      </c>
      <c r="H90" s="27">
        <v>40127.095200000003</v>
      </c>
      <c r="I90" s="27">
        <v>45416.179400000001</v>
      </c>
      <c r="J90" s="27">
        <v>45912.145299999996</v>
      </c>
      <c r="K90" s="27" t="s">
        <v>200</v>
      </c>
      <c r="L90" s="27" t="s">
        <v>200</v>
      </c>
      <c r="M90" s="27" t="s">
        <v>200</v>
      </c>
      <c r="N90" s="27" t="s">
        <v>200</v>
      </c>
      <c r="O90" s="27">
        <v>31680.37</v>
      </c>
      <c r="P90" s="27">
        <v>16490.849999999999</v>
      </c>
      <c r="Q90" s="27">
        <v>2461.4160000000002</v>
      </c>
      <c r="R90" s="27">
        <v>-2537.7530000000002</v>
      </c>
      <c r="S90" s="27">
        <v>-4129.6499999999996</v>
      </c>
      <c r="T90" s="27">
        <v>-5162.4459999999999</v>
      </c>
      <c r="U90" s="27">
        <v>-5929.9639999999999</v>
      </c>
      <c r="V90" s="27">
        <v>-6392.1869999999999</v>
      </c>
      <c r="W90" s="27" t="s">
        <v>200</v>
      </c>
      <c r="X90" s="27">
        <v>-6837.2269999999999</v>
      </c>
      <c r="Y90" s="27" t="s">
        <v>200</v>
      </c>
      <c r="Z90" s="27">
        <v>-7085.2939999999999</v>
      </c>
      <c r="AA90" s="27" t="s">
        <v>200</v>
      </c>
      <c r="AB90" s="27">
        <v>-7258.3369999999977</v>
      </c>
      <c r="AC90" s="27" t="s">
        <v>200</v>
      </c>
      <c r="AD90" s="27">
        <v>-7458.134</v>
      </c>
    </row>
    <row r="91" spans="1:30">
      <c r="A91" s="27" t="s">
        <v>261</v>
      </c>
      <c r="B91" s="27" t="s">
        <v>295</v>
      </c>
      <c r="C91" s="27" t="s">
        <v>198</v>
      </c>
      <c r="D91" s="27" t="s">
        <v>1151</v>
      </c>
      <c r="E91" s="27" t="s">
        <v>75</v>
      </c>
      <c r="F91" s="27" t="s">
        <v>200</v>
      </c>
      <c r="G91" s="27">
        <v>33161.72721655637</v>
      </c>
      <c r="H91" s="27">
        <v>38186.389000867319</v>
      </c>
      <c r="I91" s="27">
        <v>39325.000003574998</v>
      </c>
      <c r="J91" s="27">
        <v>40025.039717180312</v>
      </c>
      <c r="K91" s="27" t="s">
        <v>200</v>
      </c>
      <c r="L91" s="27" t="s">
        <v>200</v>
      </c>
      <c r="M91" s="27" t="s">
        <v>200</v>
      </c>
      <c r="N91" s="27" t="s">
        <v>200</v>
      </c>
      <c r="O91" s="27">
        <v>37462.884769030723</v>
      </c>
      <c r="P91" s="27">
        <v>24949.76709211191</v>
      </c>
      <c r="Q91" s="27">
        <v>16812.67464345551</v>
      </c>
      <c r="R91" s="27">
        <v>11035.706137070951</v>
      </c>
      <c r="S91" s="27">
        <v>6176.7640793375658</v>
      </c>
      <c r="T91" s="27">
        <v>1701.291931307007</v>
      </c>
      <c r="U91" s="27">
        <v>-159.92108537220429</v>
      </c>
      <c r="V91" s="27">
        <v>-1593.312245831695</v>
      </c>
      <c r="W91" s="27">
        <v>-1779.483978433256</v>
      </c>
      <c r="X91" s="27">
        <v>-2595.8764650797389</v>
      </c>
      <c r="Y91" s="27">
        <v>-2270.3009035267032</v>
      </c>
      <c r="Z91" s="27">
        <v>-3102.6170046765869</v>
      </c>
      <c r="AA91" s="27">
        <v>-2726.4837852413521</v>
      </c>
      <c r="AB91" s="27">
        <v>-3628.3953860720421</v>
      </c>
      <c r="AC91" s="27">
        <v>-3240.2575483088922</v>
      </c>
      <c r="AD91" s="27">
        <v>-3695.622233408882</v>
      </c>
    </row>
    <row r="92" spans="1:30">
      <c r="A92" s="27" t="s">
        <v>1152</v>
      </c>
      <c r="B92" s="27" t="s">
        <v>286</v>
      </c>
      <c r="C92" s="27" t="s">
        <v>198</v>
      </c>
      <c r="D92" s="27" t="s">
        <v>1151</v>
      </c>
      <c r="E92" s="27" t="s">
        <v>75</v>
      </c>
      <c r="F92" s="27" t="s">
        <v>200</v>
      </c>
      <c r="G92" s="27" t="s">
        <v>200</v>
      </c>
      <c r="H92" s="27">
        <v>35695.247520999998</v>
      </c>
      <c r="I92" s="27">
        <v>38433.406586999998</v>
      </c>
      <c r="J92" s="27">
        <v>37662.734247499997</v>
      </c>
      <c r="K92" s="27" t="s">
        <v>200</v>
      </c>
      <c r="L92" s="27" t="s">
        <v>200</v>
      </c>
      <c r="M92" s="27" t="s">
        <v>200</v>
      </c>
      <c r="N92" s="27" t="s">
        <v>200</v>
      </c>
      <c r="O92" s="27">
        <v>22493.581467</v>
      </c>
      <c r="P92" s="27">
        <v>13448.878580000001</v>
      </c>
      <c r="Q92" s="27">
        <v>9891.6101550000003</v>
      </c>
      <c r="R92" s="27">
        <v>6102.7745600000007</v>
      </c>
      <c r="S92" s="27">
        <v>1098.8892109999999</v>
      </c>
      <c r="T92" s="27">
        <v>15.68849599999986</v>
      </c>
      <c r="U92" s="27" t="s">
        <v>200</v>
      </c>
      <c r="V92" s="27">
        <v>24.760114000000002</v>
      </c>
      <c r="W92" s="27" t="s">
        <v>200</v>
      </c>
      <c r="X92" s="27">
        <v>32.082213000000081</v>
      </c>
      <c r="Y92" s="27" t="s">
        <v>200</v>
      </c>
      <c r="Z92" s="27">
        <v>29.584094999998911</v>
      </c>
      <c r="AA92" s="27" t="s">
        <v>200</v>
      </c>
      <c r="AB92" s="27">
        <v>32.667759000000061</v>
      </c>
      <c r="AC92" s="27" t="s">
        <v>200</v>
      </c>
      <c r="AD92" s="27">
        <v>33.194204999999329</v>
      </c>
    </row>
    <row r="93" spans="1:30">
      <c r="A93" s="27" t="s">
        <v>196</v>
      </c>
      <c r="B93" s="27" t="s">
        <v>296</v>
      </c>
      <c r="C93" s="27" t="s">
        <v>198</v>
      </c>
      <c r="D93" s="27" t="s">
        <v>1151</v>
      </c>
      <c r="E93" s="27" t="s">
        <v>75</v>
      </c>
      <c r="F93" s="27" t="s">
        <v>200</v>
      </c>
      <c r="G93" s="27">
        <v>34222.184800000003</v>
      </c>
      <c r="H93" s="27">
        <v>37480.914299999997</v>
      </c>
      <c r="I93" s="27">
        <v>39112.964899999999</v>
      </c>
      <c r="J93" s="27">
        <v>39325.758900000001</v>
      </c>
      <c r="K93" s="27" t="s">
        <v>200</v>
      </c>
      <c r="L93" s="27" t="s">
        <v>200</v>
      </c>
      <c r="M93" s="27" t="s">
        <v>200</v>
      </c>
      <c r="N93" s="27" t="s">
        <v>200</v>
      </c>
      <c r="O93" s="27">
        <v>28072.640100000001</v>
      </c>
      <c r="P93" s="27">
        <v>19151.257799999999</v>
      </c>
      <c r="Q93" s="27">
        <v>12631.446900000001</v>
      </c>
      <c r="R93" s="27">
        <v>8851.1867999999995</v>
      </c>
      <c r="S93" s="27">
        <v>6637.8023000000003</v>
      </c>
      <c r="T93" s="27">
        <v>4770.1849000000002</v>
      </c>
      <c r="U93" s="27">
        <v>3161.6633999999999</v>
      </c>
      <c r="V93" s="27">
        <v>1767.0838000000001</v>
      </c>
      <c r="W93" s="27" t="s">
        <v>200</v>
      </c>
      <c r="X93" s="27">
        <v>164.8185</v>
      </c>
      <c r="Y93" s="27" t="s">
        <v>200</v>
      </c>
      <c r="Z93" s="27">
        <v>103.42529999999999</v>
      </c>
      <c r="AA93" s="27" t="s">
        <v>200</v>
      </c>
      <c r="AB93" s="27">
        <v>27.3994</v>
      </c>
      <c r="AC93" s="27" t="s">
        <v>200</v>
      </c>
      <c r="AD93" s="27">
        <v>103.1641</v>
      </c>
    </row>
    <row r="94" spans="1:30">
      <c r="A94" s="27" t="s">
        <v>196</v>
      </c>
      <c r="B94" s="27" t="s">
        <v>297</v>
      </c>
      <c r="C94" s="27" t="s">
        <v>198</v>
      </c>
      <c r="D94" s="27" t="s">
        <v>1151</v>
      </c>
      <c r="E94" s="27" t="s">
        <v>75</v>
      </c>
      <c r="F94" s="27" t="s">
        <v>200</v>
      </c>
      <c r="G94" s="27" t="s">
        <v>200</v>
      </c>
      <c r="H94" s="27">
        <v>37155.151700000002</v>
      </c>
      <c r="I94" s="27">
        <v>39274.424099999997</v>
      </c>
      <c r="J94" s="27">
        <v>39809.688199999997</v>
      </c>
      <c r="K94" s="27" t="s">
        <v>200</v>
      </c>
      <c r="L94" s="27" t="s">
        <v>200</v>
      </c>
      <c r="M94" s="27" t="s">
        <v>200</v>
      </c>
      <c r="N94" s="27" t="s">
        <v>200</v>
      </c>
      <c r="O94" s="27">
        <v>28117.1751</v>
      </c>
      <c r="P94" s="27">
        <v>17975.659899999999</v>
      </c>
      <c r="Q94" s="27">
        <v>11811.569600000001</v>
      </c>
      <c r="R94" s="27">
        <v>7156.9521000000004</v>
      </c>
      <c r="S94" s="27">
        <v>3385.6536000000001</v>
      </c>
      <c r="T94" s="27">
        <v>592.58600000000001</v>
      </c>
      <c r="U94" s="27">
        <v>-863.90930000000003</v>
      </c>
      <c r="V94" s="27">
        <v>-1457.5115000000001</v>
      </c>
      <c r="W94" s="27" t="s">
        <v>200</v>
      </c>
      <c r="X94" s="27">
        <v>-1630.973</v>
      </c>
      <c r="Y94" s="27" t="s">
        <v>200</v>
      </c>
      <c r="Z94" s="27">
        <v>-1499.3628000000001</v>
      </c>
      <c r="AA94" s="27" t="s">
        <v>200</v>
      </c>
      <c r="AB94" s="27">
        <v>-1476.1048000000001</v>
      </c>
      <c r="AC94" s="27" t="s">
        <v>200</v>
      </c>
      <c r="AD94" s="27">
        <v>-1760.8503000000001</v>
      </c>
    </row>
    <row r="95" spans="1:30">
      <c r="A95" s="27" t="s">
        <v>244</v>
      </c>
      <c r="B95" s="27" t="s">
        <v>267</v>
      </c>
      <c r="C95" s="27" t="s">
        <v>198</v>
      </c>
      <c r="D95" s="27" t="s">
        <v>1151</v>
      </c>
      <c r="E95" s="27" t="s">
        <v>75</v>
      </c>
      <c r="F95" s="27" t="s">
        <v>200</v>
      </c>
      <c r="G95" s="27" t="s">
        <v>200</v>
      </c>
      <c r="H95" s="27" t="s">
        <v>200</v>
      </c>
      <c r="I95" s="27">
        <v>41182.21494919034</v>
      </c>
      <c r="J95" s="27">
        <v>42431.345751490393</v>
      </c>
      <c r="K95" s="27" t="s">
        <v>200</v>
      </c>
      <c r="L95" s="27" t="s">
        <v>200</v>
      </c>
      <c r="M95" s="27" t="s">
        <v>200</v>
      </c>
      <c r="N95" s="27" t="s">
        <v>200</v>
      </c>
      <c r="O95" s="27">
        <v>29714.75451144758</v>
      </c>
      <c r="P95" s="27">
        <v>20690.066407692739</v>
      </c>
      <c r="Q95" s="27">
        <v>11332.77113853737</v>
      </c>
      <c r="R95" s="27">
        <v>4612.0722029317394</v>
      </c>
      <c r="S95" s="27">
        <v>-2.5892479620778998E-3</v>
      </c>
      <c r="T95" s="27">
        <v>-0.45682403552245882</v>
      </c>
      <c r="U95" s="27">
        <v>-0.76993308404280469</v>
      </c>
      <c r="V95" s="27">
        <v>-1.253237671369789</v>
      </c>
      <c r="W95" s="27">
        <v>-2.957571173811175</v>
      </c>
      <c r="X95" s="27">
        <v>-4.3302557857305146</v>
      </c>
      <c r="Y95" s="27">
        <v>-5.4554960913510513</v>
      </c>
      <c r="Z95" s="27">
        <v>-11.159556512497151</v>
      </c>
      <c r="AA95" s="27">
        <v>-12.02777842430169</v>
      </c>
      <c r="AB95" s="27">
        <v>-13.1140275401458</v>
      </c>
      <c r="AC95" s="27">
        <v>-3.5858445650928839</v>
      </c>
      <c r="AD95" s="27">
        <v>-12.40947550952114</v>
      </c>
    </row>
    <row r="96" spans="1:30">
      <c r="A96" s="27" t="s">
        <v>261</v>
      </c>
      <c r="B96" s="27" t="s">
        <v>298</v>
      </c>
      <c r="C96" s="27" t="s">
        <v>198</v>
      </c>
      <c r="D96" s="27" t="s">
        <v>1151</v>
      </c>
      <c r="E96" s="27" t="s">
        <v>75</v>
      </c>
      <c r="F96" s="27" t="s">
        <v>200</v>
      </c>
      <c r="G96" s="27">
        <v>33150.50879207618</v>
      </c>
      <c r="H96" s="27">
        <v>38150.861006072417</v>
      </c>
      <c r="I96" s="27">
        <v>39261.639000965071</v>
      </c>
      <c r="J96" s="27">
        <v>39918.559573941457</v>
      </c>
      <c r="K96" s="27" t="s">
        <v>200</v>
      </c>
      <c r="L96" s="27" t="s">
        <v>200</v>
      </c>
      <c r="M96" s="27" t="s">
        <v>200</v>
      </c>
      <c r="N96" s="27" t="s">
        <v>200</v>
      </c>
      <c r="O96" s="27">
        <v>37240.976240364711</v>
      </c>
      <c r="P96" s="27">
        <v>22758.776206496059</v>
      </c>
      <c r="Q96" s="27">
        <v>13800.43099083792</v>
      </c>
      <c r="R96" s="27">
        <v>6528.3164882236924</v>
      </c>
      <c r="S96" s="27">
        <v>1729.890096185909</v>
      </c>
      <c r="T96" s="27">
        <v>-1614.048360335534</v>
      </c>
      <c r="U96" s="27">
        <v>-3131.6775312091768</v>
      </c>
      <c r="V96" s="27">
        <v>-3835.9971113513311</v>
      </c>
      <c r="W96" s="27">
        <v>-4250.2642012327406</v>
      </c>
      <c r="X96" s="27">
        <v>-5119.6348067805257</v>
      </c>
      <c r="Y96" s="27">
        <v>-4921.8071293536868</v>
      </c>
      <c r="Z96" s="27">
        <v>-6284.5968430192434</v>
      </c>
      <c r="AA96" s="27">
        <v>-6496.7322190150908</v>
      </c>
      <c r="AB96" s="27">
        <v>-6714.8621832276294</v>
      </c>
      <c r="AC96" s="27">
        <v>-6653.8595383653128</v>
      </c>
      <c r="AD96" s="27">
        <v>-6751.7633876580676</v>
      </c>
    </row>
    <row r="97" spans="1:30">
      <c r="A97" s="27" t="s">
        <v>261</v>
      </c>
      <c r="B97" s="27" t="s">
        <v>299</v>
      </c>
      <c r="C97" s="27" t="s">
        <v>198</v>
      </c>
      <c r="D97" s="27" t="s">
        <v>1151</v>
      </c>
      <c r="E97" s="27" t="s">
        <v>75</v>
      </c>
      <c r="F97" s="27" t="s">
        <v>200</v>
      </c>
      <c r="G97" s="27">
        <v>33038.725588941023</v>
      </c>
      <c r="H97" s="27">
        <v>38000.710289912939</v>
      </c>
      <c r="I97" s="27">
        <v>39093.448571262277</v>
      </c>
      <c r="J97" s="27">
        <v>39760.305667677072</v>
      </c>
      <c r="K97" s="27" t="s">
        <v>200</v>
      </c>
      <c r="L97" s="27" t="s">
        <v>200</v>
      </c>
      <c r="M97" s="27" t="s">
        <v>200</v>
      </c>
      <c r="N97" s="27" t="s">
        <v>200</v>
      </c>
      <c r="O97" s="27">
        <v>39351.801761389943</v>
      </c>
      <c r="P97" s="27">
        <v>34024.110029134768</v>
      </c>
      <c r="Q97" s="27">
        <v>20977.721518834151</v>
      </c>
      <c r="R97" s="27">
        <v>8706.9547533957084</v>
      </c>
      <c r="S97" s="27">
        <v>3150.2991132421198</v>
      </c>
      <c r="T97" s="27">
        <v>-1994.908366066772</v>
      </c>
      <c r="U97" s="27">
        <v>-6721.0183518479807</v>
      </c>
      <c r="V97" s="27">
        <v>-7961.3815925206363</v>
      </c>
      <c r="W97" s="27">
        <v>-7596.8785814197918</v>
      </c>
      <c r="X97" s="27">
        <v>-7869.8107103508537</v>
      </c>
      <c r="Y97" s="27">
        <v>-6972.8192551911843</v>
      </c>
      <c r="Z97" s="27">
        <v>-7240.5705166087546</v>
      </c>
      <c r="AA97" s="27">
        <v>-7153.1241868482002</v>
      </c>
      <c r="AB97" s="27">
        <v>-6836.9399827178941</v>
      </c>
      <c r="AC97" s="27">
        <v>-6615.4405523592159</v>
      </c>
      <c r="AD97" s="27">
        <v>-7006.3841152202767</v>
      </c>
    </row>
    <row r="98" spans="1:30">
      <c r="A98" s="27" t="s">
        <v>207</v>
      </c>
      <c r="B98" s="27" t="s">
        <v>267</v>
      </c>
      <c r="C98" s="27" t="s">
        <v>198</v>
      </c>
      <c r="D98" s="27" t="s">
        <v>1151</v>
      </c>
      <c r="E98" s="27" t="s">
        <v>75</v>
      </c>
      <c r="F98" s="27">
        <v>32281.145000257049</v>
      </c>
      <c r="G98" s="27">
        <v>36621.789087825673</v>
      </c>
      <c r="H98" s="27">
        <v>39410.654713591597</v>
      </c>
      <c r="I98" s="27">
        <v>43281.865512491539</v>
      </c>
      <c r="J98" s="27">
        <v>43966.419851096012</v>
      </c>
      <c r="K98" s="27" t="s">
        <v>200</v>
      </c>
      <c r="L98" s="27" t="s">
        <v>200</v>
      </c>
      <c r="M98" s="27" t="s">
        <v>200</v>
      </c>
      <c r="N98" s="27" t="s">
        <v>200</v>
      </c>
      <c r="O98" s="27">
        <v>27597.614179622458</v>
      </c>
      <c r="P98" s="27">
        <v>16126.162054609</v>
      </c>
      <c r="Q98" s="27">
        <v>10601.341163634141</v>
      </c>
      <c r="R98" s="27">
        <v>6428.0748360061589</v>
      </c>
      <c r="S98" s="27">
        <v>3271.168722925207</v>
      </c>
      <c r="T98" s="27">
        <v>1104.7200397315021</v>
      </c>
      <c r="U98" s="27">
        <v>-3.0855763776571001E-3</v>
      </c>
      <c r="V98" s="27">
        <v>-6.0283355001915879</v>
      </c>
      <c r="W98" s="27" t="s">
        <v>200</v>
      </c>
      <c r="X98" s="27">
        <v>13.464296116064819</v>
      </c>
      <c r="Y98" s="27" t="s">
        <v>200</v>
      </c>
      <c r="Z98" s="27">
        <v>0.7468509879352041</v>
      </c>
      <c r="AA98" s="27" t="s">
        <v>200</v>
      </c>
      <c r="AB98" s="27">
        <v>0.56427627784773904</v>
      </c>
      <c r="AC98" s="27" t="s">
        <v>200</v>
      </c>
      <c r="AD98" s="27">
        <v>-3.7658764972540001E-4</v>
      </c>
    </row>
    <row r="100" spans="1:30">
      <c r="C100" s="3" t="s">
        <v>69</v>
      </c>
      <c r="F100" s="27">
        <f>MEDIAN(F2:F98)</f>
        <v>32281.145000257027</v>
      </c>
      <c r="G100" s="27">
        <f t="shared" ref="G100:AD100" si="0">MEDIAN(G2:G98)</f>
        <v>33702.061699999998</v>
      </c>
      <c r="H100" s="27">
        <f t="shared" si="0"/>
        <v>37208.8436</v>
      </c>
      <c r="I100" s="27">
        <f t="shared" si="0"/>
        <v>39112.964899999999</v>
      </c>
      <c r="J100" s="27">
        <f t="shared" si="0"/>
        <v>39878.556700000001</v>
      </c>
      <c r="K100" s="27">
        <f t="shared" si="0"/>
        <v>38642.624274521797</v>
      </c>
      <c r="L100" s="27">
        <f t="shared" si="0"/>
        <v>35020.305724917896</v>
      </c>
      <c r="M100" s="27">
        <f t="shared" si="0"/>
        <v>32402.269683066399</v>
      </c>
      <c r="N100" s="27">
        <f t="shared" si="0"/>
        <v>30134.927733126598</v>
      </c>
      <c r="O100" s="27">
        <f t="shared" si="0"/>
        <v>29878.936625324401</v>
      </c>
      <c r="P100" s="27">
        <f t="shared" si="0"/>
        <v>21459.435223305019</v>
      </c>
      <c r="Q100" s="27">
        <f t="shared" si="0"/>
        <v>14335.06579024106</v>
      </c>
      <c r="R100" s="27">
        <f t="shared" si="0"/>
        <v>9285.9841879037504</v>
      </c>
      <c r="S100" s="27">
        <f t="shared" si="0"/>
        <v>4492.4932430945701</v>
      </c>
      <c r="T100" s="27">
        <f t="shared" si="0"/>
        <v>1372.9554000000001</v>
      </c>
      <c r="U100" s="27">
        <f t="shared" si="0"/>
        <v>-182.50880000000001</v>
      </c>
      <c r="V100" s="27">
        <f t="shared" si="0"/>
        <v>-1204.7492999999999</v>
      </c>
      <c r="W100" s="27">
        <f t="shared" si="0"/>
        <v>-3839.24</v>
      </c>
      <c r="X100" s="27">
        <f t="shared" si="0"/>
        <v>-2595.8764650797389</v>
      </c>
      <c r="Y100" s="27">
        <f t="shared" si="0"/>
        <v>-4809.3464558340438</v>
      </c>
      <c r="Z100" s="27">
        <f t="shared" si="0"/>
        <v>-4620.6162109375</v>
      </c>
      <c r="AA100" s="27">
        <f t="shared" si="0"/>
        <v>-6324.64</v>
      </c>
      <c r="AB100" s="27">
        <f t="shared" si="0"/>
        <v>-5802.1188736448203</v>
      </c>
      <c r="AC100" s="27">
        <f t="shared" si="0"/>
        <v>-5575.1630864443332</v>
      </c>
      <c r="AD100" s="27">
        <f t="shared" si="0"/>
        <v>-6818.7646000000004</v>
      </c>
    </row>
    <row r="101" spans="1:30">
      <c r="C101" s="3" t="s">
        <v>72</v>
      </c>
      <c r="F101" s="27">
        <f>_xlfn.PERCENTILE.INC(F2:F98,0.25)</f>
        <v>32281.145000257002</v>
      </c>
      <c r="G101" s="27">
        <f t="shared" ref="G101:AD101" si="1">_xlfn.PERCENTILE.INC(G2:G98,0.25)</f>
        <v>33151.112144940824</v>
      </c>
      <c r="H101" s="27">
        <f t="shared" si="1"/>
        <v>36092.875699999997</v>
      </c>
      <c r="I101" s="27">
        <f t="shared" si="1"/>
        <v>38550.176700000004</v>
      </c>
      <c r="J101" s="27">
        <f t="shared" si="1"/>
        <v>39240.891499999998</v>
      </c>
      <c r="K101" s="27">
        <f t="shared" si="1"/>
        <v>38362.418281917599</v>
      </c>
      <c r="L101" s="27">
        <f t="shared" si="1"/>
        <v>34897.2196114443</v>
      </c>
      <c r="M101" s="27">
        <f t="shared" si="1"/>
        <v>32376.201503574401</v>
      </c>
      <c r="N101" s="27">
        <f t="shared" si="1"/>
        <v>30117.8128771964</v>
      </c>
      <c r="O101" s="27">
        <f t="shared" si="1"/>
        <v>28241.676727768798</v>
      </c>
      <c r="P101" s="27">
        <f t="shared" si="1"/>
        <v>17806.9643</v>
      </c>
      <c r="Q101" s="27">
        <f t="shared" si="1"/>
        <v>11528.68727806407</v>
      </c>
      <c r="R101" s="27">
        <f t="shared" si="1"/>
        <v>7044.4929000000011</v>
      </c>
      <c r="S101" s="27">
        <f t="shared" si="1"/>
        <v>2606.4803628518325</v>
      </c>
      <c r="T101" s="27">
        <f t="shared" si="1"/>
        <v>-491.82386059454598</v>
      </c>
      <c r="U101" s="27">
        <f t="shared" si="1"/>
        <v>-3936.59</v>
      </c>
      <c r="V101" s="27">
        <f t="shared" si="1"/>
        <v>-5721.4331874999998</v>
      </c>
      <c r="W101" s="27">
        <f t="shared" si="1"/>
        <v>-7561.2684407098959</v>
      </c>
      <c r="X101" s="27">
        <f t="shared" si="1"/>
        <v>-7004.2178000000004</v>
      </c>
      <c r="Y101" s="27">
        <f t="shared" si="1"/>
        <v>-7488.8287481174702</v>
      </c>
      <c r="Z101" s="27">
        <f t="shared" si="1"/>
        <v>-8000.0064412450001</v>
      </c>
      <c r="AA101" s="27">
        <f t="shared" si="1"/>
        <v>-8000.0030549933199</v>
      </c>
      <c r="AB101" s="27">
        <f t="shared" si="1"/>
        <v>-10423.411072400229</v>
      </c>
      <c r="AC101" s="27">
        <f t="shared" si="1"/>
        <v>-8000.0458596604703</v>
      </c>
      <c r="AD101" s="27">
        <f t="shared" si="1"/>
        <v>-11338.93</v>
      </c>
    </row>
    <row r="102" spans="1:30">
      <c r="C102" s="3" t="s">
        <v>73</v>
      </c>
      <c r="F102" s="27">
        <f>_xlfn.PERCENTILE.INC(F2:F98,0.75)</f>
        <v>32281.145000257049</v>
      </c>
      <c r="G102" s="27">
        <f t="shared" ref="G102:AD102" si="2">_xlfn.PERCENTILE.INC(G2:G98,0.75)</f>
        <v>36193.637900000002</v>
      </c>
      <c r="H102" s="27">
        <f t="shared" si="2"/>
        <v>38824.405650000001</v>
      </c>
      <c r="I102" s="27">
        <f t="shared" si="2"/>
        <v>43215.734817232187</v>
      </c>
      <c r="J102" s="27">
        <f t="shared" si="2"/>
        <v>42049.680099999998</v>
      </c>
      <c r="K102" s="27">
        <f t="shared" si="2"/>
        <v>38770.006604609203</v>
      </c>
      <c r="L102" s="27">
        <f t="shared" si="2"/>
        <v>35433.256925022601</v>
      </c>
      <c r="M102" s="27">
        <f t="shared" si="2"/>
        <v>32956.0125944338</v>
      </c>
      <c r="N102" s="27">
        <f t="shared" si="2"/>
        <v>30759.812050636101</v>
      </c>
      <c r="O102" s="27">
        <f t="shared" si="2"/>
        <v>32103.585449999999</v>
      </c>
      <c r="P102" s="27">
        <f t="shared" si="2"/>
        <v>23736.8547</v>
      </c>
      <c r="Q102" s="27">
        <f t="shared" si="2"/>
        <v>16506.639275000001</v>
      </c>
      <c r="R102" s="27">
        <f t="shared" si="2"/>
        <v>11035.706137070951</v>
      </c>
      <c r="S102" s="27">
        <f t="shared" si="2"/>
        <v>6433.9480155333731</v>
      </c>
      <c r="T102" s="27">
        <f t="shared" si="2"/>
        <v>3524.9076942892698</v>
      </c>
      <c r="U102" s="27">
        <f t="shared" si="2"/>
        <v>1118.5454999999999</v>
      </c>
      <c r="V102" s="27">
        <f t="shared" si="2"/>
        <v>24.760114000000002</v>
      </c>
      <c r="W102" s="27">
        <f t="shared" si="2"/>
        <v>-1623.7745716024347</v>
      </c>
      <c r="X102" s="27">
        <f t="shared" si="2"/>
        <v>-53.365699999999997</v>
      </c>
      <c r="Y102" s="27">
        <f t="shared" si="2"/>
        <v>-2060.0064139649426</v>
      </c>
      <c r="Z102" s="27">
        <f t="shared" si="2"/>
        <v>-44.347099999999998</v>
      </c>
      <c r="AA102" s="27">
        <f t="shared" si="2"/>
        <v>-2512.4749046066618</v>
      </c>
      <c r="AB102" s="27">
        <f t="shared" si="2"/>
        <v>-51.723399999999998</v>
      </c>
      <c r="AC102" s="27">
        <f t="shared" si="2"/>
        <v>-2401.1256389255723</v>
      </c>
      <c r="AD102" s="27">
        <f t="shared" si="2"/>
        <v>-12.40947550952114</v>
      </c>
    </row>
    <row r="104" spans="1:30">
      <c r="F104" s="27">
        <f>MAX(F$2:F$98)</f>
        <v>33061.586610158301</v>
      </c>
      <c r="G104" s="27">
        <f t="shared" ref="G104:AD104" si="3">MAX(G$2:G$98)</f>
        <v>37767.241826447163</v>
      </c>
      <c r="H104" s="27">
        <f t="shared" si="3"/>
        <v>40313.502032572142</v>
      </c>
      <c r="I104" s="27">
        <f t="shared" si="3"/>
        <v>45416.179400000001</v>
      </c>
      <c r="J104" s="27">
        <f t="shared" si="3"/>
        <v>45912.145299999996</v>
      </c>
      <c r="K104" s="27">
        <f t="shared" si="3"/>
        <v>40368.215140720698</v>
      </c>
      <c r="L104" s="27">
        <f t="shared" si="3"/>
        <v>37176.8195650138</v>
      </c>
      <c r="M104" s="27">
        <f t="shared" si="3"/>
        <v>34286.504978359502</v>
      </c>
      <c r="N104" s="27">
        <f t="shared" si="3"/>
        <v>31719.783095503299</v>
      </c>
      <c r="O104" s="27">
        <f t="shared" si="3"/>
        <v>39351.801761389943</v>
      </c>
      <c r="P104" s="27">
        <f t="shared" si="3"/>
        <v>34024.110029134768</v>
      </c>
      <c r="Q104" s="27">
        <f t="shared" si="3"/>
        <v>24561.703099999999</v>
      </c>
      <c r="R104" s="27">
        <f t="shared" si="3"/>
        <v>19392.255000000001</v>
      </c>
      <c r="S104" s="27">
        <f t="shared" si="3"/>
        <v>13590.2263</v>
      </c>
      <c r="T104" s="27">
        <f t="shared" si="3"/>
        <v>10330.7850030961</v>
      </c>
      <c r="U104" s="27">
        <f t="shared" si="3"/>
        <v>5982.5861000000004</v>
      </c>
      <c r="V104" s="27">
        <f t="shared" si="3"/>
        <v>4908.6294464564899</v>
      </c>
      <c r="W104" s="27">
        <f t="shared" si="3"/>
        <v>-0.01</v>
      </c>
      <c r="X104" s="27">
        <f t="shared" si="3"/>
        <v>1820.0060290645099</v>
      </c>
      <c r="Y104" s="27">
        <f t="shared" si="3"/>
        <v>0.47092624161723501</v>
      </c>
      <c r="Z104" s="27">
        <f t="shared" si="3"/>
        <v>103.42529999999999</v>
      </c>
      <c r="AA104" s="27">
        <f t="shared" si="3"/>
        <v>0.57912060444868985</v>
      </c>
      <c r="AB104" s="27">
        <f t="shared" si="3"/>
        <v>32.667759000000061</v>
      </c>
      <c r="AC104" s="27">
        <f t="shared" si="3"/>
        <v>0.3337327565723171</v>
      </c>
      <c r="AD104" s="27">
        <f t="shared" si="3"/>
        <v>103.1641</v>
      </c>
    </row>
    <row r="105" spans="1:30">
      <c r="F105" s="27">
        <f>MEDIAN(F$2:F$98)</f>
        <v>32281.145000257027</v>
      </c>
      <c r="G105" s="27">
        <f t="shared" ref="G105:AD105" si="4">MEDIAN(G$2:G$98)</f>
        <v>33702.061699999998</v>
      </c>
      <c r="H105" s="27">
        <f t="shared" si="4"/>
        <v>37208.8436</v>
      </c>
      <c r="I105" s="27">
        <f t="shared" si="4"/>
        <v>39112.964899999999</v>
      </c>
      <c r="J105" s="27">
        <f t="shared" si="4"/>
        <v>39878.556700000001</v>
      </c>
      <c r="K105" s="27">
        <f t="shared" si="4"/>
        <v>38642.624274521797</v>
      </c>
      <c r="L105" s="27">
        <f t="shared" si="4"/>
        <v>35020.305724917896</v>
      </c>
      <c r="M105" s="27">
        <f t="shared" si="4"/>
        <v>32402.269683066399</v>
      </c>
      <c r="N105" s="27">
        <f t="shared" si="4"/>
        <v>30134.927733126598</v>
      </c>
      <c r="O105" s="27">
        <f t="shared" si="4"/>
        <v>29878.936625324401</v>
      </c>
      <c r="P105" s="27">
        <f t="shared" si="4"/>
        <v>21459.435223305019</v>
      </c>
      <c r="Q105" s="27">
        <f t="shared" si="4"/>
        <v>14335.06579024106</v>
      </c>
      <c r="R105" s="27">
        <f t="shared" si="4"/>
        <v>9285.9841879037504</v>
      </c>
      <c r="S105" s="27">
        <f t="shared" si="4"/>
        <v>4492.4932430945701</v>
      </c>
      <c r="T105" s="27">
        <f t="shared" si="4"/>
        <v>1372.9554000000001</v>
      </c>
      <c r="U105" s="27">
        <f t="shared" si="4"/>
        <v>-182.50880000000001</v>
      </c>
      <c r="V105" s="27">
        <f t="shared" si="4"/>
        <v>-1204.7492999999999</v>
      </c>
      <c r="W105" s="27">
        <f t="shared" si="4"/>
        <v>-3839.24</v>
      </c>
      <c r="X105" s="27">
        <f t="shared" si="4"/>
        <v>-2595.8764650797389</v>
      </c>
      <c r="Y105" s="27">
        <f t="shared" si="4"/>
        <v>-4809.3464558340438</v>
      </c>
      <c r="Z105" s="27">
        <f t="shared" si="4"/>
        <v>-4620.6162109375</v>
      </c>
      <c r="AA105" s="27">
        <f t="shared" si="4"/>
        <v>-6324.64</v>
      </c>
      <c r="AB105" s="27">
        <f t="shared" si="4"/>
        <v>-5802.1188736448203</v>
      </c>
      <c r="AC105" s="27">
        <f t="shared" si="4"/>
        <v>-5575.1630864443332</v>
      </c>
      <c r="AD105" s="27">
        <f t="shared" si="4"/>
        <v>-6818.7646000000004</v>
      </c>
    </row>
    <row r="106" spans="1:30">
      <c r="F106" s="27">
        <f>MIN(F$2:F$98)</f>
        <v>26158.984375</v>
      </c>
      <c r="G106" s="27">
        <f t="shared" ref="G106:AD106" si="5">MIN(G$2:G$98)</f>
        <v>30911.814453125</v>
      </c>
      <c r="H106" s="27">
        <f t="shared" si="5"/>
        <v>33910.33</v>
      </c>
      <c r="I106" s="27">
        <f t="shared" si="5"/>
        <v>36077.260699999999</v>
      </c>
      <c r="J106" s="27">
        <f t="shared" si="5"/>
        <v>37176.406751892602</v>
      </c>
      <c r="K106" s="27">
        <f t="shared" si="5"/>
        <v>37112.296070133903</v>
      </c>
      <c r="L106" s="27">
        <f t="shared" si="5"/>
        <v>33773.039804819397</v>
      </c>
      <c r="M106" s="27">
        <f t="shared" si="5"/>
        <v>31367.6439683188</v>
      </c>
      <c r="N106" s="27">
        <f t="shared" si="5"/>
        <v>29246.712048394998</v>
      </c>
      <c r="O106" s="27">
        <f t="shared" si="5"/>
        <v>19307.4696097284</v>
      </c>
      <c r="P106" s="27">
        <f t="shared" si="5"/>
        <v>-0.367922220799485</v>
      </c>
      <c r="Q106" s="27">
        <f t="shared" si="5"/>
        <v>-8000.0031685068898</v>
      </c>
      <c r="R106" s="27">
        <f t="shared" si="5"/>
        <v>-8000.0049681345899</v>
      </c>
      <c r="S106" s="27">
        <f t="shared" si="5"/>
        <v>-8666.59</v>
      </c>
      <c r="T106" s="27">
        <f t="shared" si="5"/>
        <v>-10558.9</v>
      </c>
      <c r="U106" s="27">
        <f t="shared" si="5"/>
        <v>-10925.6</v>
      </c>
      <c r="V106" s="27">
        <f t="shared" si="5"/>
        <v>-10555.5</v>
      </c>
      <c r="W106" s="27">
        <f t="shared" si="5"/>
        <v>-9927.43</v>
      </c>
      <c r="X106" s="27">
        <f t="shared" si="5"/>
        <v>-14517.312599999999</v>
      </c>
      <c r="Y106" s="27">
        <f t="shared" si="5"/>
        <v>-10806.903375</v>
      </c>
      <c r="Z106" s="27">
        <f t="shared" si="5"/>
        <v>-15960.8534</v>
      </c>
      <c r="AA106" s="27">
        <f t="shared" si="5"/>
        <v>-14642.43475</v>
      </c>
      <c r="AB106" s="27">
        <f t="shared" si="5"/>
        <v>-17402.060000000001</v>
      </c>
      <c r="AC106" s="27">
        <f t="shared" si="5"/>
        <v>-15618.552187499999</v>
      </c>
      <c r="AD106" s="27">
        <f t="shared" si="5"/>
        <v>-18831.12</v>
      </c>
    </row>
    <row r="109" spans="1:30">
      <c r="B109" s="27">
        <f t="array" ref="B109">SUM(IF(COUNTIF(B2:B98,B2:B98)=1,1,0))</f>
        <v>65</v>
      </c>
    </row>
  </sheetData>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D66C3-05A1-4AA5-B1EB-5EE124102BB5}">
  <sheetPr codeName="Sheet31">
    <tabColor theme="7" tint="0.79998168889431442"/>
  </sheetPr>
  <dimension ref="A1:AD106"/>
  <sheetViews>
    <sheetView workbookViewId="0">
      <pane ySplit="1" topLeftCell="A81" activePane="bottomLeft" state="frozen"/>
      <selection pane="bottomLeft" activeCell="F104" sqref="F104:AD106"/>
      <selection activeCell="AB26" sqref="AB26"/>
    </sheetView>
  </sheetViews>
  <sheetFormatPr defaultColWidth="9.140625" defaultRowHeight="15.75"/>
  <cols>
    <col min="1" max="4" width="9.140625" style="27"/>
    <col min="5" max="5" width="16.42578125" style="27" customWidth="1"/>
    <col min="6" max="16384" width="9.140625" style="27"/>
  </cols>
  <sheetData>
    <row r="1" spans="1:26">
      <c r="A1" s="27" t="s">
        <v>193</v>
      </c>
      <c r="B1" s="27" t="s">
        <v>194</v>
      </c>
      <c r="C1" s="27" t="s">
        <v>195</v>
      </c>
      <c r="D1" s="27" t="s">
        <v>64</v>
      </c>
      <c r="E1" s="27" t="s">
        <v>65</v>
      </c>
      <c r="F1" s="27">
        <v>2000</v>
      </c>
      <c r="G1" s="27">
        <v>2005</v>
      </c>
      <c r="H1" s="27">
        <v>2010</v>
      </c>
      <c r="I1" s="27">
        <v>2015</v>
      </c>
      <c r="J1" s="27">
        <v>2020</v>
      </c>
      <c r="K1" s="27">
        <v>2025</v>
      </c>
      <c r="L1" s="27">
        <v>2030</v>
      </c>
      <c r="M1" s="27">
        <v>2035</v>
      </c>
      <c r="N1" s="27">
        <v>2040</v>
      </c>
      <c r="O1" s="27">
        <v>2045</v>
      </c>
      <c r="P1" s="27">
        <v>2050</v>
      </c>
      <c r="Q1" s="27">
        <v>2055</v>
      </c>
      <c r="R1" s="27">
        <v>2060</v>
      </c>
      <c r="S1" s="27">
        <v>2065</v>
      </c>
      <c r="T1" s="27">
        <v>2070</v>
      </c>
      <c r="U1" s="27">
        <v>2075</v>
      </c>
      <c r="V1" s="27">
        <v>2080</v>
      </c>
      <c r="W1" s="27">
        <v>2085</v>
      </c>
      <c r="X1" s="27">
        <v>2090</v>
      </c>
      <c r="Y1" s="27">
        <v>2095</v>
      </c>
      <c r="Z1" s="27">
        <v>2100</v>
      </c>
    </row>
    <row r="2" spans="1:26">
      <c r="A2" s="27" t="s">
        <v>196</v>
      </c>
      <c r="B2" s="27" t="s">
        <v>197</v>
      </c>
      <c r="C2" s="27" t="s">
        <v>198</v>
      </c>
      <c r="D2" s="27" t="s">
        <v>1153</v>
      </c>
      <c r="E2" s="27" t="s">
        <v>75</v>
      </c>
      <c r="F2" s="27" t="s">
        <v>200</v>
      </c>
      <c r="G2" s="27">
        <v>29686.181700000001</v>
      </c>
      <c r="H2" s="27">
        <v>32690.5713</v>
      </c>
      <c r="I2" s="27">
        <v>34292.949200000003</v>
      </c>
      <c r="J2" s="27">
        <v>35177.357600000003</v>
      </c>
      <c r="K2" s="27">
        <v>29399.2775</v>
      </c>
      <c r="L2" s="27">
        <v>22810.452700000002</v>
      </c>
      <c r="M2" s="27">
        <v>17118.493600000002</v>
      </c>
      <c r="N2" s="27">
        <v>12841.223</v>
      </c>
      <c r="O2" s="27">
        <v>8915.4642999999996</v>
      </c>
      <c r="P2" s="27">
        <v>4876.5726999999997</v>
      </c>
      <c r="Q2" s="27">
        <v>2441.0924</v>
      </c>
      <c r="R2" s="27">
        <v>981.12919999999997</v>
      </c>
      <c r="S2" s="27" t="s">
        <v>200</v>
      </c>
      <c r="T2" s="27">
        <v>-34.0685</v>
      </c>
      <c r="U2" s="27" t="s">
        <v>200</v>
      </c>
      <c r="V2" s="27">
        <v>-488.65100000000001</v>
      </c>
      <c r="W2" s="27" t="s">
        <v>200</v>
      </c>
      <c r="X2" s="27">
        <v>-710.58460000000002</v>
      </c>
      <c r="Y2" s="27" t="s">
        <v>200</v>
      </c>
      <c r="Z2" s="27">
        <v>-1195.9828</v>
      </c>
    </row>
    <row r="3" spans="1:26">
      <c r="A3" s="27" t="s">
        <v>196</v>
      </c>
      <c r="B3" s="27" t="s">
        <v>201</v>
      </c>
      <c r="C3" s="27" t="s">
        <v>198</v>
      </c>
      <c r="D3" s="27" t="s">
        <v>1153</v>
      </c>
      <c r="E3" s="27" t="s">
        <v>75</v>
      </c>
      <c r="F3" s="27" t="s">
        <v>200</v>
      </c>
      <c r="G3" s="27" t="s">
        <v>200</v>
      </c>
      <c r="H3" s="27">
        <v>32718.319299999999</v>
      </c>
      <c r="I3" s="27">
        <v>34782.119500000001</v>
      </c>
      <c r="J3" s="27">
        <v>35483.043899999997</v>
      </c>
      <c r="K3" s="27">
        <v>28105.323799999998</v>
      </c>
      <c r="L3" s="27">
        <v>19072.688999999998</v>
      </c>
      <c r="M3" s="27">
        <v>12930.7117</v>
      </c>
      <c r="N3" s="27">
        <v>7822.3594000000003</v>
      </c>
      <c r="O3" s="27">
        <v>3656.7474999999999</v>
      </c>
      <c r="P3" s="27">
        <v>686.97799999999995</v>
      </c>
      <c r="Q3" s="27">
        <v>-596.11389999999994</v>
      </c>
      <c r="R3" s="27">
        <v>-888.85400000000004</v>
      </c>
      <c r="S3" s="27" t="s">
        <v>200</v>
      </c>
      <c r="T3" s="27">
        <v>-809.94060000000002</v>
      </c>
      <c r="U3" s="27" t="s">
        <v>200</v>
      </c>
      <c r="V3" s="27">
        <v>-497.39069999999998</v>
      </c>
      <c r="W3" s="27" t="s">
        <v>200</v>
      </c>
      <c r="X3" s="27">
        <v>-363.93049999999999</v>
      </c>
      <c r="Y3" s="27" t="s">
        <v>200</v>
      </c>
      <c r="Z3" s="27">
        <v>-560.95659999999998</v>
      </c>
    </row>
    <row r="4" spans="1:26">
      <c r="A4" s="27" t="s">
        <v>196</v>
      </c>
      <c r="B4" s="27" t="s">
        <v>202</v>
      </c>
      <c r="C4" s="27" t="s">
        <v>198</v>
      </c>
      <c r="D4" s="27" t="s">
        <v>1153</v>
      </c>
      <c r="E4" s="27" t="s">
        <v>75</v>
      </c>
      <c r="F4" s="27" t="s">
        <v>200</v>
      </c>
      <c r="G4" s="27">
        <v>29686.181700000001</v>
      </c>
      <c r="H4" s="27">
        <v>32773.947999999997</v>
      </c>
      <c r="I4" s="27">
        <v>34115.6495</v>
      </c>
      <c r="J4" s="27">
        <v>33089.013400000003</v>
      </c>
      <c r="K4" s="27">
        <v>27144.125499999998</v>
      </c>
      <c r="L4" s="27">
        <v>21458.369200000001</v>
      </c>
      <c r="M4" s="27">
        <v>16217.600899999999</v>
      </c>
      <c r="N4" s="27">
        <v>12283.7237</v>
      </c>
      <c r="O4" s="27">
        <v>8573.2860000000001</v>
      </c>
      <c r="P4" s="27">
        <v>4465.9762000000001</v>
      </c>
      <c r="Q4" s="27">
        <v>1651.1857</v>
      </c>
      <c r="R4" s="27">
        <v>119.09520000000001</v>
      </c>
      <c r="S4" s="27" t="s">
        <v>200</v>
      </c>
      <c r="T4" s="27">
        <v>41.268500000000003</v>
      </c>
      <c r="U4" s="27" t="s">
        <v>200</v>
      </c>
      <c r="V4" s="27">
        <v>341.88720000000001</v>
      </c>
      <c r="W4" s="27" t="s">
        <v>200</v>
      </c>
      <c r="X4" s="27">
        <v>395.0548</v>
      </c>
      <c r="Y4" s="27" t="s">
        <v>200</v>
      </c>
      <c r="Z4" s="27">
        <v>455.089</v>
      </c>
    </row>
    <row r="5" spans="1:26">
      <c r="A5" s="27" t="s">
        <v>203</v>
      </c>
      <c r="B5" s="27" t="s">
        <v>204</v>
      </c>
      <c r="C5" s="27" t="s">
        <v>198</v>
      </c>
      <c r="D5" s="27" t="s">
        <v>1153</v>
      </c>
      <c r="E5" s="27" t="s">
        <v>75</v>
      </c>
      <c r="F5" s="27" t="s">
        <v>200</v>
      </c>
      <c r="G5" s="27">
        <v>30505.4542</v>
      </c>
      <c r="H5" s="27">
        <v>33285.080300000001</v>
      </c>
      <c r="I5" s="27">
        <v>34835.022100000002</v>
      </c>
      <c r="J5" s="27">
        <v>35221.104099999997</v>
      </c>
      <c r="K5" s="27">
        <v>28897.677599999999</v>
      </c>
      <c r="L5" s="27">
        <v>22230.8086</v>
      </c>
      <c r="M5" s="27">
        <v>16291.6039</v>
      </c>
      <c r="N5" s="27">
        <v>11299.5069</v>
      </c>
      <c r="O5" s="27">
        <v>7080.1004000000003</v>
      </c>
      <c r="P5" s="27">
        <v>2699.2460999999998</v>
      </c>
      <c r="Q5" s="27">
        <v>-602.91650000000004</v>
      </c>
      <c r="R5" s="27">
        <v>-3072.6410000000001</v>
      </c>
      <c r="S5" s="27" t="s">
        <v>200</v>
      </c>
      <c r="T5" s="27">
        <v>-6403.2075999999997</v>
      </c>
      <c r="U5" s="27" t="s">
        <v>200</v>
      </c>
      <c r="V5" s="27">
        <v>-7912.5473000000002</v>
      </c>
      <c r="W5" s="27" t="s">
        <v>200</v>
      </c>
      <c r="X5" s="27">
        <v>-8340.6882999999998</v>
      </c>
      <c r="Y5" s="27" t="s">
        <v>200</v>
      </c>
      <c r="Z5" s="27">
        <v>-8879.8794999999991</v>
      </c>
    </row>
    <row r="6" spans="1:26">
      <c r="A6" s="27" t="s">
        <v>205</v>
      </c>
      <c r="B6" s="27" t="s">
        <v>206</v>
      </c>
      <c r="C6" s="27" t="s">
        <v>198</v>
      </c>
      <c r="D6" s="27" t="s">
        <v>1153</v>
      </c>
      <c r="E6" s="27" t="s">
        <v>75</v>
      </c>
      <c r="F6" s="27" t="s">
        <v>200</v>
      </c>
      <c r="G6" s="27">
        <v>28864.1</v>
      </c>
      <c r="H6" s="27">
        <v>32887.199999999997</v>
      </c>
      <c r="I6" s="27">
        <v>35711.199999999997</v>
      </c>
      <c r="J6" s="27">
        <v>36184.300000000003</v>
      </c>
      <c r="K6" s="27">
        <v>36677</v>
      </c>
      <c r="L6" s="27">
        <v>23224</v>
      </c>
      <c r="M6" s="27">
        <v>13017</v>
      </c>
      <c r="N6" s="27">
        <v>6739.64</v>
      </c>
      <c r="O6" s="27">
        <v>3105.2</v>
      </c>
      <c r="P6" s="27">
        <v>1072.94</v>
      </c>
      <c r="Q6" s="27">
        <v>143.214</v>
      </c>
      <c r="R6" s="27">
        <v>29.3093</v>
      </c>
      <c r="S6" s="27">
        <v>11.4832</v>
      </c>
      <c r="T6" s="27">
        <v>2.58081</v>
      </c>
      <c r="U6" s="27">
        <v>0.02</v>
      </c>
      <c r="V6" s="27">
        <v>0.02</v>
      </c>
      <c r="W6" s="27">
        <v>0.02</v>
      </c>
      <c r="X6" s="27">
        <v>0.02</v>
      </c>
      <c r="Y6" s="27">
        <v>0.02</v>
      </c>
      <c r="Z6" s="27">
        <v>0.02</v>
      </c>
    </row>
    <row r="7" spans="1:26">
      <c r="A7" s="27" t="s">
        <v>207</v>
      </c>
      <c r="B7" s="27" t="s">
        <v>208</v>
      </c>
      <c r="C7" s="27" t="s">
        <v>198</v>
      </c>
      <c r="D7" s="27" t="s">
        <v>1153</v>
      </c>
      <c r="E7" s="27" t="s">
        <v>75</v>
      </c>
      <c r="F7" s="27">
        <v>26469.274100257051</v>
      </c>
      <c r="G7" s="27">
        <v>30784.244921158999</v>
      </c>
      <c r="H7" s="27">
        <v>33161.588080258269</v>
      </c>
      <c r="I7" s="27">
        <v>37419.73414582487</v>
      </c>
      <c r="J7" s="27">
        <v>38156.937000530001</v>
      </c>
      <c r="K7" s="27">
        <v>26528.420140810998</v>
      </c>
      <c r="L7" s="27">
        <v>18522.994454521489</v>
      </c>
      <c r="M7" s="27">
        <v>13991.74213312951</v>
      </c>
      <c r="N7" s="27">
        <v>10970.329853724619</v>
      </c>
      <c r="O7" s="27">
        <v>8375.7316877092489</v>
      </c>
      <c r="P7" s="27">
        <v>6570.7472679463099</v>
      </c>
      <c r="Q7" s="27">
        <v>5406.5296871467363</v>
      </c>
      <c r="R7" s="27">
        <v>4556.4672304004534</v>
      </c>
      <c r="S7" s="27" t="s">
        <v>200</v>
      </c>
      <c r="T7" s="27">
        <v>4073.592459717107</v>
      </c>
      <c r="U7" s="27" t="s">
        <v>200</v>
      </c>
      <c r="V7" s="27">
        <v>5044.8675999050574</v>
      </c>
      <c r="W7" s="27" t="s">
        <v>200</v>
      </c>
      <c r="X7" s="27">
        <v>5708.2420599924126</v>
      </c>
      <c r="Y7" s="27" t="s">
        <v>200</v>
      </c>
      <c r="Z7" s="27">
        <v>5939.7620643579667</v>
      </c>
    </row>
    <row r="8" spans="1:26">
      <c r="A8" s="27" t="s">
        <v>209</v>
      </c>
      <c r="B8" s="27" t="s">
        <v>210</v>
      </c>
      <c r="C8" s="27" t="s">
        <v>198</v>
      </c>
      <c r="D8" s="27" t="s">
        <v>1153</v>
      </c>
      <c r="E8" s="27" t="s">
        <v>75</v>
      </c>
      <c r="F8" s="27" t="s">
        <v>200</v>
      </c>
      <c r="G8" s="27" t="s">
        <v>200</v>
      </c>
      <c r="H8" s="27">
        <v>32435.4787</v>
      </c>
      <c r="I8" s="27">
        <v>34631.705699999999</v>
      </c>
      <c r="J8" s="27">
        <v>37926.383300000001</v>
      </c>
      <c r="K8" s="27">
        <v>30587.08110000001</v>
      </c>
      <c r="L8" s="27">
        <v>23481.1266</v>
      </c>
      <c r="M8" s="27">
        <v>16121.9288</v>
      </c>
      <c r="N8" s="27">
        <v>10007.896699999999</v>
      </c>
      <c r="O8" s="27">
        <v>5984.5401000000002</v>
      </c>
      <c r="P8" s="27">
        <v>4719.3786999999993</v>
      </c>
      <c r="Q8" s="27">
        <v>3265.8027999999999</v>
      </c>
      <c r="R8" s="27">
        <v>235.2539000000001</v>
      </c>
      <c r="S8" s="27">
        <v>-2699.6603</v>
      </c>
      <c r="T8" s="27">
        <v>-3000.4684000000002</v>
      </c>
      <c r="U8" s="27">
        <v>-3219.2251999999999</v>
      </c>
      <c r="V8" s="27">
        <v>-4532.4996000000001</v>
      </c>
      <c r="W8" s="27">
        <v>-4725.1743000000006</v>
      </c>
      <c r="X8" s="27">
        <v>-4957.8406999999997</v>
      </c>
      <c r="Y8" s="27">
        <v>-5166.5694999999996</v>
      </c>
      <c r="Z8" s="27">
        <v>-5389.0302000000011</v>
      </c>
    </row>
    <row r="9" spans="1:26">
      <c r="A9" s="27" t="s">
        <v>211</v>
      </c>
      <c r="B9" s="27" t="s">
        <v>212</v>
      </c>
      <c r="C9" s="27" t="s">
        <v>198</v>
      </c>
      <c r="D9" s="27" t="s">
        <v>1153</v>
      </c>
      <c r="E9" s="27" t="s">
        <v>75</v>
      </c>
      <c r="F9" s="27">
        <v>26469.274110158301</v>
      </c>
      <c r="G9" s="27">
        <v>30784.244954109199</v>
      </c>
      <c r="H9" s="27">
        <v>33161.588089942903</v>
      </c>
      <c r="I9" s="27" t="s">
        <v>200</v>
      </c>
      <c r="J9" s="27">
        <v>34928.950817425997</v>
      </c>
      <c r="K9" s="27" t="s">
        <v>200</v>
      </c>
      <c r="L9" s="27">
        <v>15839.4106925748</v>
      </c>
      <c r="M9" s="27" t="s">
        <v>200</v>
      </c>
      <c r="N9" s="27">
        <v>7741.1981088151506</v>
      </c>
      <c r="O9" s="27" t="s">
        <v>200</v>
      </c>
      <c r="P9" s="27">
        <v>1438.2363690096299</v>
      </c>
      <c r="Q9" s="27" t="s">
        <v>200</v>
      </c>
      <c r="R9" s="27">
        <v>-5329.4614731455604</v>
      </c>
      <c r="S9" s="27" t="s">
        <v>200</v>
      </c>
      <c r="T9" s="27">
        <v>-7067.7898251811703</v>
      </c>
      <c r="U9" s="27" t="s">
        <v>200</v>
      </c>
      <c r="V9" s="27">
        <v>-8263.1157814727594</v>
      </c>
      <c r="W9" s="27" t="s">
        <v>200</v>
      </c>
      <c r="X9" s="27">
        <v>-9337.6028228851701</v>
      </c>
      <c r="Y9" s="27" t="s">
        <v>200</v>
      </c>
      <c r="Z9" s="27">
        <v>-10052.477173417399</v>
      </c>
    </row>
    <row r="10" spans="1:26">
      <c r="A10" s="27" t="s">
        <v>196</v>
      </c>
      <c r="B10" s="27" t="s">
        <v>213</v>
      </c>
      <c r="C10" s="27" t="s">
        <v>198</v>
      </c>
      <c r="D10" s="27" t="s">
        <v>1153</v>
      </c>
      <c r="E10" s="27" t="s">
        <v>75</v>
      </c>
      <c r="F10" s="27" t="s">
        <v>200</v>
      </c>
      <c r="G10" s="27">
        <v>29686.181700000001</v>
      </c>
      <c r="H10" s="27">
        <v>32688.0854</v>
      </c>
      <c r="I10" s="27">
        <v>34285.130599999997</v>
      </c>
      <c r="J10" s="27">
        <v>35158.923300000002</v>
      </c>
      <c r="K10" s="27">
        <v>29112.681</v>
      </c>
      <c r="L10" s="27">
        <v>23419.551599999999</v>
      </c>
      <c r="M10" s="27">
        <v>18011.945800000001</v>
      </c>
      <c r="N10" s="27">
        <v>14115.997600000001</v>
      </c>
      <c r="O10" s="27">
        <v>10747.887500000001</v>
      </c>
      <c r="P10" s="27">
        <v>7485.6265999999996</v>
      </c>
      <c r="Q10" s="27">
        <v>5535.4227000000001</v>
      </c>
      <c r="R10" s="27">
        <v>3820.1626000000001</v>
      </c>
      <c r="S10" s="27" t="s">
        <v>200</v>
      </c>
      <c r="T10" s="27">
        <v>1099.6434999999999</v>
      </c>
      <c r="U10" s="27" t="s">
        <v>200</v>
      </c>
      <c r="V10" s="27">
        <v>-225.46209999999999</v>
      </c>
      <c r="W10" s="27" t="s">
        <v>200</v>
      </c>
      <c r="X10" s="27">
        <v>-702.44600000000003</v>
      </c>
      <c r="Y10" s="27" t="s">
        <v>200</v>
      </c>
      <c r="Z10" s="27">
        <v>-1329.5885000000001</v>
      </c>
    </row>
    <row r="11" spans="1:26">
      <c r="A11" s="27" t="s">
        <v>214</v>
      </c>
      <c r="B11" s="27" t="s">
        <v>215</v>
      </c>
      <c r="C11" s="27" t="s">
        <v>198</v>
      </c>
      <c r="D11" s="27" t="s">
        <v>1153</v>
      </c>
      <c r="E11" s="27" t="s">
        <v>75</v>
      </c>
      <c r="F11" s="27" t="s">
        <v>200</v>
      </c>
      <c r="G11" s="27">
        <v>29385.71809811371</v>
      </c>
      <c r="H11" s="27">
        <v>32646.980129740401</v>
      </c>
      <c r="I11" s="27" t="s">
        <v>200</v>
      </c>
      <c r="J11" s="27">
        <v>37064.5789982149</v>
      </c>
      <c r="K11" s="27" t="s">
        <v>200</v>
      </c>
      <c r="L11" s="27">
        <v>31796.634776842398</v>
      </c>
      <c r="M11" s="27" t="s">
        <v>200</v>
      </c>
      <c r="N11" s="27">
        <v>26403.876371428902</v>
      </c>
      <c r="O11" s="27" t="s">
        <v>200</v>
      </c>
      <c r="P11" s="27">
        <v>18274.855415978502</v>
      </c>
      <c r="Q11" s="27" t="s">
        <v>200</v>
      </c>
      <c r="R11" s="27">
        <v>9535.4715098448505</v>
      </c>
      <c r="S11" s="27" t="s">
        <v>200</v>
      </c>
      <c r="T11" s="27">
        <v>2023.71811656763</v>
      </c>
      <c r="U11" s="27" t="s">
        <v>200</v>
      </c>
      <c r="V11" s="27">
        <v>-4166.6400794609799</v>
      </c>
      <c r="W11" s="27" t="s">
        <v>200</v>
      </c>
      <c r="X11" s="27">
        <v>-9473.4911914517907</v>
      </c>
      <c r="Y11" s="27" t="s">
        <v>200</v>
      </c>
      <c r="Z11" s="27">
        <v>-14866.517009972</v>
      </c>
    </row>
    <row r="12" spans="1:26">
      <c r="A12" s="27" t="s">
        <v>218</v>
      </c>
      <c r="B12" s="27" t="s">
        <v>219</v>
      </c>
      <c r="C12" s="27" t="s">
        <v>198</v>
      </c>
      <c r="D12" s="27" t="s">
        <v>1153</v>
      </c>
      <c r="E12" s="27" t="s">
        <v>75</v>
      </c>
      <c r="F12" s="27" t="s">
        <v>200</v>
      </c>
      <c r="G12" s="27">
        <v>29273.0245</v>
      </c>
      <c r="H12" s="27">
        <v>33221.260600000001</v>
      </c>
      <c r="I12" s="27">
        <v>38417.441500000001</v>
      </c>
      <c r="J12" s="27">
        <v>39143.705000000002</v>
      </c>
      <c r="K12" s="27">
        <v>30682.37</v>
      </c>
      <c r="L12" s="27">
        <v>21524.32</v>
      </c>
      <c r="M12" s="27">
        <v>14355.31</v>
      </c>
      <c r="N12" s="27">
        <v>9347.0310000000009</v>
      </c>
      <c r="O12" s="27">
        <v>5718.8780000000024</v>
      </c>
      <c r="P12" s="27">
        <v>3523.5309999999999</v>
      </c>
      <c r="Q12" s="27">
        <v>1945.4839999999999</v>
      </c>
      <c r="R12" s="27">
        <v>232.12280000000001</v>
      </c>
      <c r="S12" s="27" t="s">
        <v>200</v>
      </c>
      <c r="T12" s="27">
        <v>-3327.846</v>
      </c>
      <c r="U12" s="27" t="s">
        <v>200</v>
      </c>
      <c r="V12" s="27">
        <v>-5686.05</v>
      </c>
      <c r="W12" s="27" t="s">
        <v>200</v>
      </c>
      <c r="X12" s="27">
        <v>-6169.8540000000003</v>
      </c>
      <c r="Y12" s="27" t="s">
        <v>200</v>
      </c>
      <c r="Z12" s="27">
        <v>-5381.4250000000002</v>
      </c>
    </row>
    <row r="13" spans="1:26">
      <c r="A13" s="27" t="s">
        <v>220</v>
      </c>
      <c r="B13" s="27" t="s">
        <v>221</v>
      </c>
      <c r="C13" s="27" t="s">
        <v>198</v>
      </c>
      <c r="D13" s="27" t="s">
        <v>1153</v>
      </c>
      <c r="E13" s="27" t="s">
        <v>75</v>
      </c>
      <c r="F13" s="27" t="s">
        <v>200</v>
      </c>
      <c r="G13" s="27">
        <v>27888.711020527899</v>
      </c>
      <c r="H13" s="27">
        <v>31966.721093095301</v>
      </c>
      <c r="I13" s="27" t="s">
        <v>200</v>
      </c>
      <c r="J13" s="27">
        <v>36734.536911139701</v>
      </c>
      <c r="K13" s="27" t="s">
        <v>200</v>
      </c>
      <c r="L13" s="27">
        <v>12821.2809646722</v>
      </c>
      <c r="M13" s="27" t="s">
        <v>200</v>
      </c>
      <c r="N13" s="27">
        <v>9602.5224914596929</v>
      </c>
      <c r="O13" s="27" t="s">
        <v>200</v>
      </c>
      <c r="P13" s="27">
        <v>4791.5900621032297</v>
      </c>
      <c r="Q13" s="27" t="s">
        <v>200</v>
      </c>
      <c r="R13" s="27">
        <v>768.36531352066697</v>
      </c>
      <c r="S13" s="27" t="s">
        <v>200</v>
      </c>
      <c r="T13" s="27">
        <v>-2415.11807470544</v>
      </c>
      <c r="U13" s="27" t="s">
        <v>200</v>
      </c>
      <c r="V13" s="27">
        <v>-6177.0499674103103</v>
      </c>
      <c r="W13" s="27" t="s">
        <v>200</v>
      </c>
      <c r="X13" s="27">
        <v>-8087.1752868561207</v>
      </c>
      <c r="Y13" s="27" t="s">
        <v>200</v>
      </c>
      <c r="Z13" s="27">
        <v>-9354.9884465175601</v>
      </c>
    </row>
    <row r="14" spans="1:26">
      <c r="A14" s="27" t="s">
        <v>222</v>
      </c>
      <c r="B14" s="27" t="s">
        <v>223</v>
      </c>
      <c r="C14" s="27" t="s">
        <v>198</v>
      </c>
      <c r="D14" s="27" t="s">
        <v>1153</v>
      </c>
      <c r="E14" s="27" t="s">
        <v>75</v>
      </c>
      <c r="F14" s="27" t="s">
        <v>200</v>
      </c>
      <c r="G14" s="27">
        <v>29555.039799999999</v>
      </c>
      <c r="H14" s="27">
        <v>33421.561699999998</v>
      </c>
      <c r="I14" s="27">
        <v>35996.352400000003</v>
      </c>
      <c r="J14" s="27">
        <v>38613.127200000003</v>
      </c>
      <c r="K14" s="27">
        <v>30215.374299999999</v>
      </c>
      <c r="L14" s="27">
        <v>19716.994299999998</v>
      </c>
      <c r="M14" s="27">
        <v>13494.3156</v>
      </c>
      <c r="N14" s="27">
        <v>8407.0800999999992</v>
      </c>
      <c r="O14" s="27">
        <v>4451.7322999999997</v>
      </c>
      <c r="P14" s="27">
        <v>2247.0003000000002</v>
      </c>
      <c r="Q14" s="27">
        <v>977.73009999999999</v>
      </c>
      <c r="R14" s="27">
        <v>250.1506</v>
      </c>
      <c r="S14" s="27" t="s">
        <v>200</v>
      </c>
      <c r="T14" s="27">
        <v>-403.32459999999998</v>
      </c>
      <c r="U14" s="27" t="s">
        <v>200</v>
      </c>
      <c r="V14" s="27">
        <v>-520.8931</v>
      </c>
      <c r="W14" s="27" t="s">
        <v>200</v>
      </c>
      <c r="X14" s="27">
        <v>-638.50580000000002</v>
      </c>
      <c r="Y14" s="27" t="s">
        <v>200</v>
      </c>
      <c r="Z14" s="27">
        <v>-578.30690000000004</v>
      </c>
    </row>
    <row r="15" spans="1:26">
      <c r="A15" s="27" t="s">
        <v>196</v>
      </c>
      <c r="B15" s="27" t="s">
        <v>224</v>
      </c>
      <c r="C15" s="27" t="s">
        <v>198</v>
      </c>
      <c r="D15" s="27" t="s">
        <v>1153</v>
      </c>
      <c r="E15" s="27" t="s">
        <v>75</v>
      </c>
      <c r="F15" s="27" t="s">
        <v>200</v>
      </c>
      <c r="G15" s="27">
        <v>29686.181700000001</v>
      </c>
      <c r="H15" s="27">
        <v>32690.5713</v>
      </c>
      <c r="I15" s="27">
        <v>34292.949200000003</v>
      </c>
      <c r="J15" s="27">
        <v>35177.357600000003</v>
      </c>
      <c r="K15" s="27">
        <v>30030.491300000002</v>
      </c>
      <c r="L15" s="27">
        <v>23687.4424</v>
      </c>
      <c r="M15" s="27">
        <v>17886.436399999999</v>
      </c>
      <c r="N15" s="27">
        <v>13684.1041</v>
      </c>
      <c r="O15" s="27">
        <v>9872.7067000000006</v>
      </c>
      <c r="P15" s="27">
        <v>5714.1895000000004</v>
      </c>
      <c r="Q15" s="27">
        <v>3059.1176999999998</v>
      </c>
      <c r="R15" s="27">
        <v>1460.8630000000001</v>
      </c>
      <c r="S15" s="27" t="s">
        <v>200</v>
      </c>
      <c r="T15" s="27">
        <v>190.74039999999999</v>
      </c>
      <c r="U15" s="27" t="s">
        <v>200</v>
      </c>
      <c r="V15" s="27">
        <v>-113.7651</v>
      </c>
      <c r="W15" s="27" t="s">
        <v>200</v>
      </c>
      <c r="X15" s="27">
        <v>-438.09129999999999</v>
      </c>
      <c r="Y15" s="27" t="s">
        <v>200</v>
      </c>
      <c r="Z15" s="27">
        <v>-905.18719999999996</v>
      </c>
    </row>
    <row r="16" spans="1:26">
      <c r="A16" s="27" t="s">
        <v>207</v>
      </c>
      <c r="B16" s="27" t="s">
        <v>225</v>
      </c>
      <c r="C16" s="27" t="s">
        <v>198</v>
      </c>
      <c r="D16" s="27" t="s">
        <v>1153</v>
      </c>
      <c r="E16" s="27" t="s">
        <v>75</v>
      </c>
      <c r="F16" s="27">
        <v>26469.274100257051</v>
      </c>
      <c r="G16" s="27">
        <v>30784.244921158999</v>
      </c>
      <c r="H16" s="27">
        <v>33161.588080258269</v>
      </c>
      <c r="I16" s="27">
        <v>37419.73414582487</v>
      </c>
      <c r="J16" s="27">
        <v>38169.227148418271</v>
      </c>
      <c r="K16" s="27">
        <v>26746.353030737951</v>
      </c>
      <c r="L16" s="27">
        <v>18932.458623108741</v>
      </c>
      <c r="M16" s="27">
        <v>14376.52697964322</v>
      </c>
      <c r="N16" s="27">
        <v>11280.220624485761</v>
      </c>
      <c r="O16" s="27">
        <v>8457.877143706728</v>
      </c>
      <c r="P16" s="27">
        <v>6297.3115395650329</v>
      </c>
      <c r="Q16" s="27">
        <v>5011.7815322181286</v>
      </c>
      <c r="R16" s="27">
        <v>4222.6202451276522</v>
      </c>
      <c r="S16" s="27" t="s">
        <v>200</v>
      </c>
      <c r="T16" s="27">
        <v>4062.5544719897571</v>
      </c>
      <c r="U16" s="27" t="s">
        <v>200</v>
      </c>
      <c r="V16" s="27">
        <v>5062.1290655735211</v>
      </c>
      <c r="W16" s="27" t="s">
        <v>200</v>
      </c>
      <c r="X16" s="27">
        <v>5746.4503018046626</v>
      </c>
      <c r="Y16" s="27" t="s">
        <v>200</v>
      </c>
      <c r="Z16" s="27">
        <v>5948.3896619745065</v>
      </c>
    </row>
    <row r="17" spans="1:26">
      <c r="A17" s="27" t="s">
        <v>226</v>
      </c>
      <c r="B17" s="27" t="s">
        <v>227</v>
      </c>
      <c r="C17" s="27" t="s">
        <v>198</v>
      </c>
      <c r="D17" s="27" t="s">
        <v>1153</v>
      </c>
      <c r="E17" s="27" t="s">
        <v>75</v>
      </c>
      <c r="F17" s="27" t="s">
        <v>200</v>
      </c>
      <c r="G17" s="27">
        <v>29273.0245</v>
      </c>
      <c r="H17" s="27">
        <v>31883.428899999999</v>
      </c>
      <c r="I17" s="27">
        <v>35457.093200000003</v>
      </c>
      <c r="J17" s="27">
        <v>37024.22</v>
      </c>
      <c r="K17" s="27">
        <v>31697.49</v>
      </c>
      <c r="L17" s="27">
        <v>25688.21</v>
      </c>
      <c r="M17" s="27">
        <v>19041.05</v>
      </c>
      <c r="N17" s="27">
        <v>14388.98</v>
      </c>
      <c r="O17" s="27">
        <v>10862.29</v>
      </c>
      <c r="P17" s="27">
        <v>8375.1959999999999</v>
      </c>
      <c r="Q17" s="27">
        <v>6291.6019999999999</v>
      </c>
      <c r="R17" s="27">
        <v>4457.5459999999975</v>
      </c>
      <c r="S17" s="27" t="s">
        <v>200</v>
      </c>
      <c r="T17" s="27">
        <v>1904.1590000000001</v>
      </c>
      <c r="U17" s="27" t="s">
        <v>200</v>
      </c>
      <c r="V17" s="27">
        <v>1091.6790000000001</v>
      </c>
      <c r="W17" s="27" t="s">
        <v>200</v>
      </c>
      <c r="X17" s="27">
        <v>929.89760000000001</v>
      </c>
      <c r="Y17" s="27" t="s">
        <v>200</v>
      </c>
      <c r="Z17" s="27">
        <v>500.70479999999998</v>
      </c>
    </row>
    <row r="18" spans="1:26">
      <c r="A18" s="27" t="s">
        <v>226</v>
      </c>
      <c r="B18" s="27" t="s">
        <v>228</v>
      </c>
      <c r="C18" s="27" t="s">
        <v>198</v>
      </c>
      <c r="D18" s="27" t="s">
        <v>1153</v>
      </c>
      <c r="E18" s="27" t="s">
        <v>75</v>
      </c>
      <c r="F18" s="27" t="s">
        <v>200</v>
      </c>
      <c r="G18" s="27">
        <v>29273.0245</v>
      </c>
      <c r="H18" s="27">
        <v>31883.428899999999</v>
      </c>
      <c r="I18" s="27">
        <v>35457.093200000003</v>
      </c>
      <c r="J18" s="27">
        <v>37024.22</v>
      </c>
      <c r="K18" s="27">
        <v>31673.15</v>
      </c>
      <c r="L18" s="27">
        <v>25431.32</v>
      </c>
      <c r="M18" s="27">
        <v>18409.169999999998</v>
      </c>
      <c r="N18" s="27">
        <v>12995.03</v>
      </c>
      <c r="O18" s="27">
        <v>8143.7430000000004</v>
      </c>
      <c r="P18" s="27">
        <v>4224.3760000000002</v>
      </c>
      <c r="Q18" s="27">
        <v>670.72659999999996</v>
      </c>
      <c r="R18" s="27">
        <v>-2305.183</v>
      </c>
      <c r="S18" s="27" t="s">
        <v>200</v>
      </c>
      <c r="T18" s="27">
        <v>-6469.05</v>
      </c>
      <c r="U18" s="27" t="s">
        <v>200</v>
      </c>
      <c r="V18" s="27">
        <v>-8241.4189999999999</v>
      </c>
      <c r="W18" s="27" t="s">
        <v>200</v>
      </c>
      <c r="X18" s="27">
        <v>-9141.1980000000003</v>
      </c>
      <c r="Y18" s="27" t="s">
        <v>200</v>
      </c>
      <c r="Z18" s="27">
        <v>-10462.129999999999</v>
      </c>
    </row>
    <row r="19" spans="1:26">
      <c r="A19" s="27" t="s">
        <v>207</v>
      </c>
      <c r="B19" s="27" t="s">
        <v>229</v>
      </c>
      <c r="C19" s="27" t="s">
        <v>198</v>
      </c>
      <c r="D19" s="27" t="s">
        <v>1153</v>
      </c>
      <c r="E19" s="27" t="s">
        <v>75</v>
      </c>
      <c r="F19" s="27">
        <v>26469.274100257051</v>
      </c>
      <c r="G19" s="27">
        <v>30784.244921158999</v>
      </c>
      <c r="H19" s="27">
        <v>33161.588080258269</v>
      </c>
      <c r="I19" s="27">
        <v>37419.73414582487</v>
      </c>
      <c r="J19" s="27">
        <v>38198.070657416647</v>
      </c>
      <c r="K19" s="27">
        <v>27012.80156129281</v>
      </c>
      <c r="L19" s="27">
        <v>19306.17251806481</v>
      </c>
      <c r="M19" s="27">
        <v>14490.016330953649</v>
      </c>
      <c r="N19" s="27">
        <v>11387.655917225989</v>
      </c>
      <c r="O19" s="27">
        <v>8436.9643243811097</v>
      </c>
      <c r="P19" s="27">
        <v>6182.3171025492211</v>
      </c>
      <c r="Q19" s="27">
        <v>4773.7224904409823</v>
      </c>
      <c r="R19" s="27">
        <v>3856.4193589945671</v>
      </c>
      <c r="S19" s="27" t="s">
        <v>200</v>
      </c>
      <c r="T19" s="27">
        <v>4080.5792067183011</v>
      </c>
      <c r="U19" s="27" t="s">
        <v>200</v>
      </c>
      <c r="V19" s="27">
        <v>5088.9333200706269</v>
      </c>
      <c r="W19" s="27" t="s">
        <v>200</v>
      </c>
      <c r="X19" s="27">
        <v>5752.5963823446746</v>
      </c>
      <c r="Y19" s="27" t="s">
        <v>200</v>
      </c>
      <c r="Z19" s="27">
        <v>5955.9909202753952</v>
      </c>
    </row>
    <row r="20" spans="1:26">
      <c r="A20" s="27" t="s">
        <v>207</v>
      </c>
      <c r="B20" s="27" t="s">
        <v>230</v>
      </c>
      <c r="C20" s="27" t="s">
        <v>198</v>
      </c>
      <c r="D20" s="27" t="s">
        <v>1153</v>
      </c>
      <c r="E20" s="27" t="s">
        <v>75</v>
      </c>
      <c r="F20" s="27">
        <v>26469.274100257051</v>
      </c>
      <c r="G20" s="27">
        <v>30784.244921158999</v>
      </c>
      <c r="H20" s="27">
        <v>33161.588080258269</v>
      </c>
      <c r="I20" s="27">
        <v>37419.73414582487</v>
      </c>
      <c r="J20" s="27">
        <v>38495.450684429343</v>
      </c>
      <c r="K20" s="27">
        <v>23804.936402957719</v>
      </c>
      <c r="L20" s="27">
        <v>14602.708421776029</v>
      </c>
      <c r="M20" s="27">
        <v>9883.6275361575808</v>
      </c>
      <c r="N20" s="27">
        <v>6482.3470006182506</v>
      </c>
      <c r="O20" s="27">
        <v>4227.2102881486544</v>
      </c>
      <c r="P20" s="27">
        <v>2917.674341785666</v>
      </c>
      <c r="Q20" s="27">
        <v>3212.8116788998018</v>
      </c>
      <c r="R20" s="27">
        <v>3535.8403110616259</v>
      </c>
      <c r="S20" s="27" t="s">
        <v>200</v>
      </c>
      <c r="T20" s="27">
        <v>4078.4409908470079</v>
      </c>
      <c r="U20" s="27" t="s">
        <v>200</v>
      </c>
      <c r="V20" s="27">
        <v>5097.218353121566</v>
      </c>
      <c r="W20" s="27" t="s">
        <v>200</v>
      </c>
      <c r="X20" s="27">
        <v>5693.5664530066369</v>
      </c>
      <c r="Y20" s="27" t="s">
        <v>200</v>
      </c>
      <c r="Z20" s="27">
        <v>5885.7040907620349</v>
      </c>
    </row>
    <row r="21" spans="1:26">
      <c r="A21" s="27" t="s">
        <v>231</v>
      </c>
      <c r="B21" s="27" t="s">
        <v>232</v>
      </c>
      <c r="C21" s="27" t="s">
        <v>198</v>
      </c>
      <c r="D21" s="27" t="s">
        <v>1153</v>
      </c>
      <c r="E21" s="27" t="s">
        <v>75</v>
      </c>
      <c r="F21" s="27" t="s">
        <v>200</v>
      </c>
      <c r="G21" s="27">
        <v>29476.391242574002</v>
      </c>
      <c r="H21" s="27">
        <v>33546.411143774298</v>
      </c>
      <c r="I21" s="27">
        <v>35368.854177757501</v>
      </c>
      <c r="J21" s="27">
        <v>39342.820817699001</v>
      </c>
      <c r="K21" s="27">
        <v>23480.68268536</v>
      </c>
      <c r="L21" s="27">
        <v>8617.3275225668494</v>
      </c>
      <c r="M21" s="27">
        <v>-5816.9530128057804</v>
      </c>
      <c r="N21" s="27">
        <v>-3693.9386816472902</v>
      </c>
      <c r="O21" s="27">
        <v>-4497.1705895209698</v>
      </c>
      <c r="P21" s="27">
        <v>-5119.5948880578499</v>
      </c>
      <c r="Q21" s="27">
        <v>-5659.3214025056004</v>
      </c>
      <c r="R21" s="27">
        <v>-6018.8068596850999</v>
      </c>
      <c r="S21" s="27">
        <v>-6288.0505629967201</v>
      </c>
      <c r="T21" s="27">
        <v>-6503.4144096293903</v>
      </c>
      <c r="U21" s="27">
        <v>-6688.8663907877099</v>
      </c>
      <c r="V21" s="27">
        <v>-6847.7752837967801</v>
      </c>
      <c r="W21" s="27">
        <v>-6974.5610916369797</v>
      </c>
      <c r="X21" s="27">
        <v>-7079.7429807007102</v>
      </c>
      <c r="Y21" s="27">
        <v>-7150.3408265838198</v>
      </c>
      <c r="Z21" s="27">
        <v>-7205.6337073702298</v>
      </c>
    </row>
    <row r="22" spans="1:26">
      <c r="A22" s="27" t="s">
        <v>233</v>
      </c>
      <c r="B22" s="27" t="s">
        <v>224</v>
      </c>
      <c r="C22" s="27" t="s">
        <v>198</v>
      </c>
      <c r="D22" s="27" t="s">
        <v>1153</v>
      </c>
      <c r="E22" s="27" t="s">
        <v>75</v>
      </c>
      <c r="F22" s="27" t="s">
        <v>200</v>
      </c>
      <c r="G22" s="27" t="s">
        <v>200</v>
      </c>
      <c r="H22" s="27">
        <v>31475.04075788</v>
      </c>
      <c r="I22" s="27">
        <v>34268.271930520074</v>
      </c>
      <c r="J22" s="27">
        <v>34627.920437701658</v>
      </c>
      <c r="K22" s="27">
        <v>23594.567606170029</v>
      </c>
      <c r="L22" s="27">
        <v>19478.7676480419</v>
      </c>
      <c r="M22" s="27">
        <v>15591.260837701629</v>
      </c>
      <c r="N22" s="27">
        <v>13116.383688728019</v>
      </c>
      <c r="O22" s="27">
        <v>10084.971599914799</v>
      </c>
      <c r="P22" s="27">
        <v>7594.0470140018297</v>
      </c>
      <c r="Q22" s="27">
        <v>5563.4270904179439</v>
      </c>
      <c r="R22" s="27">
        <v>3612.3414831724708</v>
      </c>
      <c r="S22" s="27">
        <v>1936.411493988136</v>
      </c>
      <c r="T22" s="27">
        <v>-367.86743501404129</v>
      </c>
      <c r="U22" s="27">
        <v>-3041.7814625282772</v>
      </c>
      <c r="V22" s="27">
        <v>-4855.2475339028133</v>
      </c>
      <c r="W22" s="27">
        <v>-6081.8890719405927</v>
      </c>
      <c r="X22" s="27">
        <v>-7481.2148468069627</v>
      </c>
      <c r="Y22" s="27">
        <v>-8805.066048698136</v>
      </c>
      <c r="Z22" s="27">
        <v>-10354.346766938161</v>
      </c>
    </row>
    <row r="23" spans="1:26">
      <c r="A23" s="27" t="s">
        <v>220</v>
      </c>
      <c r="B23" s="27" t="s">
        <v>215</v>
      </c>
      <c r="C23" s="27" t="s">
        <v>198</v>
      </c>
      <c r="D23" s="27" t="s">
        <v>1153</v>
      </c>
      <c r="E23" s="27" t="s">
        <v>75</v>
      </c>
      <c r="F23" s="27" t="s">
        <v>200</v>
      </c>
      <c r="G23" s="27">
        <v>27888.711020527899</v>
      </c>
      <c r="H23" s="27">
        <v>31966.721093095301</v>
      </c>
      <c r="I23" s="27" t="s">
        <v>200</v>
      </c>
      <c r="J23" s="27">
        <v>34795.819168853799</v>
      </c>
      <c r="K23" s="27" t="s">
        <v>200</v>
      </c>
      <c r="L23" s="27">
        <v>10638.997327777901</v>
      </c>
      <c r="M23" s="27" t="s">
        <v>200</v>
      </c>
      <c r="N23" s="27">
        <v>7755.3298192397597</v>
      </c>
      <c r="O23" s="27" t="s">
        <v>200</v>
      </c>
      <c r="P23" s="27">
        <v>3708.7287881294001</v>
      </c>
      <c r="Q23" s="27" t="s">
        <v>200</v>
      </c>
      <c r="R23" s="27">
        <v>259.82785046567</v>
      </c>
      <c r="S23" s="27" t="s">
        <v>200</v>
      </c>
      <c r="T23" s="27">
        <v>-2641.63829956066</v>
      </c>
      <c r="U23" s="27" t="s">
        <v>200</v>
      </c>
      <c r="V23" s="27">
        <v>-6142.67090212323</v>
      </c>
      <c r="W23" s="27" t="s">
        <v>200</v>
      </c>
      <c r="X23" s="27">
        <v>-7978.4861897205201</v>
      </c>
      <c r="Y23" s="27" t="s">
        <v>200</v>
      </c>
      <c r="Z23" s="27">
        <v>-8007.52288699169</v>
      </c>
    </row>
    <row r="24" spans="1:26">
      <c r="A24" s="27" t="s">
        <v>226</v>
      </c>
      <c r="B24" s="27" t="s">
        <v>234</v>
      </c>
      <c r="C24" s="27" t="s">
        <v>198</v>
      </c>
      <c r="D24" s="27" t="s">
        <v>1153</v>
      </c>
      <c r="E24" s="27" t="s">
        <v>75</v>
      </c>
      <c r="F24" s="27" t="s">
        <v>200</v>
      </c>
      <c r="G24" s="27">
        <v>29273.0245</v>
      </c>
      <c r="H24" s="27">
        <v>31883.428899999999</v>
      </c>
      <c r="I24" s="27">
        <v>35457.093200000003</v>
      </c>
      <c r="J24" s="27">
        <v>37024.22</v>
      </c>
      <c r="K24" s="27">
        <v>27809</v>
      </c>
      <c r="L24" s="27">
        <v>16967.939999999999</v>
      </c>
      <c r="M24" s="27">
        <v>7570.77</v>
      </c>
      <c r="N24" s="27">
        <v>2816.1439999999998</v>
      </c>
      <c r="O24" s="27">
        <v>754.51600000000019</v>
      </c>
      <c r="P24" s="27">
        <v>-967.74670000000003</v>
      </c>
      <c r="Q24" s="27">
        <v>-2393.0529999999999</v>
      </c>
      <c r="R24" s="27">
        <v>-3500.5920000000001</v>
      </c>
      <c r="S24" s="27" t="s">
        <v>200</v>
      </c>
      <c r="T24" s="27">
        <v>-4547.8409999999994</v>
      </c>
      <c r="U24" s="27" t="s">
        <v>200</v>
      </c>
      <c r="V24" s="27">
        <v>-4789.4750000000004</v>
      </c>
      <c r="W24" s="27" t="s">
        <v>200</v>
      </c>
      <c r="X24" s="27">
        <v>-5194.6689999999999</v>
      </c>
      <c r="Y24" s="27" t="s">
        <v>200</v>
      </c>
      <c r="Z24" s="27">
        <v>-4804.0740000000014</v>
      </c>
    </row>
    <row r="25" spans="1:26">
      <c r="A25" s="27" t="s">
        <v>196</v>
      </c>
      <c r="B25" s="27" t="s">
        <v>236</v>
      </c>
      <c r="C25" s="27" t="s">
        <v>198</v>
      </c>
      <c r="D25" s="27" t="s">
        <v>1153</v>
      </c>
      <c r="E25" s="27" t="s">
        <v>75</v>
      </c>
      <c r="F25" s="27" t="s">
        <v>200</v>
      </c>
      <c r="G25" s="27" t="s">
        <v>200</v>
      </c>
      <c r="H25" s="27">
        <v>32718.375</v>
      </c>
      <c r="I25" s="27">
        <v>34771.507400000002</v>
      </c>
      <c r="J25" s="27">
        <v>35425.182500000003</v>
      </c>
      <c r="K25" s="27">
        <v>27009.414000000001</v>
      </c>
      <c r="L25" s="27">
        <v>17827.0576</v>
      </c>
      <c r="M25" s="27">
        <v>12144.483700000001</v>
      </c>
      <c r="N25" s="27">
        <v>7418.6118999999999</v>
      </c>
      <c r="O25" s="27">
        <v>3366.4281999999998</v>
      </c>
      <c r="P25" s="27">
        <v>452.34989999999999</v>
      </c>
      <c r="Q25" s="27">
        <v>-874.64139999999998</v>
      </c>
      <c r="R25" s="27">
        <v>-1235.9757999999999</v>
      </c>
      <c r="S25" s="27" t="s">
        <v>200</v>
      </c>
      <c r="T25" s="27">
        <v>-1293.2136</v>
      </c>
      <c r="U25" s="27" t="s">
        <v>200</v>
      </c>
      <c r="V25" s="27">
        <v>-1158.8402000000001</v>
      </c>
      <c r="W25" s="27" t="s">
        <v>200</v>
      </c>
      <c r="X25" s="27">
        <v>-1202.498</v>
      </c>
      <c r="Y25" s="27" t="s">
        <v>200</v>
      </c>
      <c r="Z25" s="27">
        <v>-1635.7085</v>
      </c>
    </row>
    <row r="26" spans="1:26">
      <c r="A26" s="27" t="s">
        <v>231</v>
      </c>
      <c r="B26" s="27" t="s">
        <v>237</v>
      </c>
      <c r="C26" s="27" t="s">
        <v>198</v>
      </c>
      <c r="D26" s="27" t="s">
        <v>1153</v>
      </c>
      <c r="E26" s="27" t="s">
        <v>75</v>
      </c>
      <c r="F26" s="27" t="s">
        <v>200</v>
      </c>
      <c r="G26" s="27">
        <v>29476.391125788999</v>
      </c>
      <c r="H26" s="27">
        <v>33546.410902472096</v>
      </c>
      <c r="I26" s="27">
        <v>35368.853087163101</v>
      </c>
      <c r="J26" s="27">
        <v>39342.815408633898</v>
      </c>
      <c r="K26" s="27">
        <v>29932.8632710686</v>
      </c>
      <c r="L26" s="27">
        <v>22083.361636412199</v>
      </c>
      <c r="M26" s="27">
        <v>13088.0197522372</v>
      </c>
      <c r="N26" s="27">
        <v>4317.2588112631802</v>
      </c>
      <c r="O26" s="27">
        <v>-4565.6740975476896</v>
      </c>
      <c r="P26" s="27">
        <v>-4860.6437188575501</v>
      </c>
      <c r="Q26" s="27">
        <v>-5579.1230910491204</v>
      </c>
      <c r="R26" s="27">
        <v>-6040.6652172668901</v>
      </c>
      <c r="S26" s="27">
        <v>-6358.4662393079498</v>
      </c>
      <c r="T26" s="27">
        <v>-6585.4884870404703</v>
      </c>
      <c r="U26" s="27">
        <v>-6758.3199345373196</v>
      </c>
      <c r="V26" s="27">
        <v>-6906.8212430041503</v>
      </c>
      <c r="W26" s="27">
        <v>-7027.5444524569903</v>
      </c>
      <c r="X26" s="27">
        <v>-7130.5070644180996</v>
      </c>
      <c r="Y26" s="27">
        <v>-7199.6695588410203</v>
      </c>
      <c r="Z26" s="27">
        <v>-7231.6691758984398</v>
      </c>
    </row>
    <row r="27" spans="1:26">
      <c r="A27" s="27" t="s">
        <v>233</v>
      </c>
      <c r="B27" s="27" t="s">
        <v>238</v>
      </c>
      <c r="C27" s="27" t="s">
        <v>198</v>
      </c>
      <c r="D27" s="27" t="s">
        <v>1153</v>
      </c>
      <c r="E27" s="27" t="s">
        <v>75</v>
      </c>
      <c r="F27" s="27" t="s">
        <v>200</v>
      </c>
      <c r="G27" s="27" t="s">
        <v>200</v>
      </c>
      <c r="H27" s="27">
        <v>31475.04075788</v>
      </c>
      <c r="I27" s="27">
        <v>34268.271930520074</v>
      </c>
      <c r="J27" s="27">
        <v>34627.920437701658</v>
      </c>
      <c r="K27" s="27">
        <v>23942.825650816161</v>
      </c>
      <c r="L27" s="27">
        <v>19878.846407915182</v>
      </c>
      <c r="M27" s="27">
        <v>16203.199931575429</v>
      </c>
      <c r="N27" s="27">
        <v>13979.53067141744</v>
      </c>
      <c r="O27" s="27">
        <v>10869.303525670921</v>
      </c>
      <c r="P27" s="27">
        <v>8304.2227713575194</v>
      </c>
      <c r="Q27" s="27">
        <v>6237.6490771914441</v>
      </c>
      <c r="R27" s="27">
        <v>4277.8986174284382</v>
      </c>
      <c r="S27" s="27">
        <v>2466.7143452694609</v>
      </c>
      <c r="T27" s="27">
        <v>394.74297378332273</v>
      </c>
      <c r="U27" s="27">
        <v>-2053.5353596792161</v>
      </c>
      <c r="V27" s="27">
        <v>-4182.8369338157909</v>
      </c>
      <c r="W27" s="27">
        <v>-5441.1848887392443</v>
      </c>
      <c r="X27" s="27">
        <v>-6780.9794859905214</v>
      </c>
      <c r="Y27" s="27">
        <v>-8225.2355612151114</v>
      </c>
      <c r="Z27" s="27">
        <v>-9776.2079829649265</v>
      </c>
    </row>
    <row r="28" spans="1:26">
      <c r="A28" s="27" t="s">
        <v>239</v>
      </c>
      <c r="B28" s="27" t="s">
        <v>240</v>
      </c>
      <c r="C28" s="27" t="s">
        <v>198</v>
      </c>
      <c r="D28" s="27" t="s">
        <v>1153</v>
      </c>
      <c r="E28" s="27" t="s">
        <v>75</v>
      </c>
      <c r="F28" s="27" t="s">
        <v>200</v>
      </c>
      <c r="G28" s="27">
        <v>29550</v>
      </c>
      <c r="H28" s="27">
        <v>32120</v>
      </c>
      <c r="I28" s="27" t="s">
        <v>200</v>
      </c>
      <c r="J28" s="27">
        <v>38370</v>
      </c>
      <c r="K28" s="27" t="s">
        <v>200</v>
      </c>
      <c r="L28" s="27">
        <v>26690</v>
      </c>
      <c r="M28" s="27" t="s">
        <v>200</v>
      </c>
      <c r="N28" s="27">
        <v>4044</v>
      </c>
      <c r="O28" s="27" t="s">
        <v>200</v>
      </c>
      <c r="P28" s="27">
        <v>-8565</v>
      </c>
      <c r="Q28" s="27" t="s">
        <v>200</v>
      </c>
      <c r="R28" s="27">
        <v>-11630</v>
      </c>
      <c r="S28" s="27" t="s">
        <v>200</v>
      </c>
      <c r="T28" s="27">
        <v>-12650</v>
      </c>
      <c r="U28" s="27" t="s">
        <v>200</v>
      </c>
      <c r="V28" s="27">
        <v>-13450</v>
      </c>
      <c r="W28" s="27" t="s">
        <v>200</v>
      </c>
      <c r="X28" s="27">
        <v>-13590</v>
      </c>
      <c r="Y28" s="27" t="s">
        <v>200</v>
      </c>
      <c r="Z28" s="27">
        <v>-13860</v>
      </c>
    </row>
    <row r="29" spans="1:26">
      <c r="A29" s="27" t="s">
        <v>207</v>
      </c>
      <c r="B29" s="27" t="s">
        <v>241</v>
      </c>
      <c r="C29" s="27" t="s">
        <v>198</v>
      </c>
      <c r="D29" s="27" t="s">
        <v>1153</v>
      </c>
      <c r="E29" s="27" t="s">
        <v>75</v>
      </c>
      <c r="F29" s="27">
        <v>26469.274100257051</v>
      </c>
      <c r="G29" s="27">
        <v>30784.244921158999</v>
      </c>
      <c r="H29" s="27">
        <v>33161.588080258269</v>
      </c>
      <c r="I29" s="27">
        <v>37419.73414582487</v>
      </c>
      <c r="J29" s="27">
        <v>38359.951459680116</v>
      </c>
      <c r="K29" s="27">
        <v>27344.97484516992</v>
      </c>
      <c r="L29" s="27">
        <v>19694.272714482518</v>
      </c>
      <c r="M29" s="27">
        <v>14597.988642180089</v>
      </c>
      <c r="N29" s="27">
        <v>11407.706152848759</v>
      </c>
      <c r="O29" s="27">
        <v>8348.7803637577417</v>
      </c>
      <c r="P29" s="27">
        <v>6027.3667972787689</v>
      </c>
      <c r="Q29" s="27">
        <v>4512.302612274646</v>
      </c>
      <c r="R29" s="27">
        <v>3606.1432270999421</v>
      </c>
      <c r="S29" s="27" t="s">
        <v>200</v>
      </c>
      <c r="T29" s="27">
        <v>4128.9547333894816</v>
      </c>
      <c r="U29" s="27" t="s">
        <v>200</v>
      </c>
      <c r="V29" s="27">
        <v>5116.3582003561651</v>
      </c>
      <c r="W29" s="27" t="s">
        <v>200</v>
      </c>
      <c r="X29" s="27">
        <v>5717.129528466774</v>
      </c>
      <c r="Y29" s="27" t="s">
        <v>200</v>
      </c>
      <c r="Z29" s="27">
        <v>5920.4288803704358</v>
      </c>
    </row>
    <row r="30" spans="1:26">
      <c r="A30" s="27" t="s">
        <v>242</v>
      </c>
      <c r="B30" s="27" t="s">
        <v>243</v>
      </c>
      <c r="C30" s="27" t="s">
        <v>198</v>
      </c>
      <c r="D30" s="27" t="s">
        <v>1153</v>
      </c>
      <c r="E30" s="27" t="s">
        <v>75</v>
      </c>
      <c r="F30" s="27" t="s">
        <v>200</v>
      </c>
      <c r="G30" s="27">
        <v>28860.5893962675</v>
      </c>
      <c r="H30" s="27">
        <v>32845.959782671802</v>
      </c>
      <c r="I30" s="27">
        <v>34997.2934541754</v>
      </c>
      <c r="J30" s="27">
        <v>37994.315697913597</v>
      </c>
      <c r="K30" s="27">
        <v>25600.5872065328</v>
      </c>
      <c r="L30" s="27">
        <v>16698.062323277001</v>
      </c>
      <c r="M30" s="27">
        <v>12477.415159939401</v>
      </c>
      <c r="N30" s="27">
        <v>9306.5444461847328</v>
      </c>
      <c r="O30" s="27">
        <v>6181.1866812777798</v>
      </c>
      <c r="P30" s="27">
        <v>4002.1316348021801</v>
      </c>
      <c r="Q30" s="27" t="s">
        <v>200</v>
      </c>
      <c r="R30" s="27">
        <v>172.10520150404801</v>
      </c>
      <c r="S30" s="27" t="s">
        <v>200</v>
      </c>
      <c r="T30" s="27">
        <v>-2913.56105285287</v>
      </c>
      <c r="U30" s="27" t="s">
        <v>200</v>
      </c>
      <c r="V30" s="27">
        <v>-7386.0654373494408</v>
      </c>
      <c r="W30" s="27" t="s">
        <v>200</v>
      </c>
      <c r="X30" s="27">
        <v>-10497.560084201999</v>
      </c>
      <c r="Y30" s="27" t="s">
        <v>200</v>
      </c>
      <c r="Z30" s="27">
        <v>-9798.6792051780594</v>
      </c>
    </row>
    <row r="31" spans="1:26">
      <c r="A31" s="27" t="s">
        <v>244</v>
      </c>
      <c r="B31" s="27" t="s">
        <v>202</v>
      </c>
      <c r="C31" s="27" t="s">
        <v>198</v>
      </c>
      <c r="D31" s="27" t="s">
        <v>1153</v>
      </c>
      <c r="E31" s="27" t="s">
        <v>75</v>
      </c>
      <c r="F31" s="27" t="s">
        <v>200</v>
      </c>
      <c r="G31" s="27" t="s">
        <v>200</v>
      </c>
      <c r="H31" s="27" t="s">
        <v>200</v>
      </c>
      <c r="I31" s="27">
        <v>35320.083582523679</v>
      </c>
      <c r="J31" s="27">
        <v>34226.361753965393</v>
      </c>
      <c r="K31" s="27">
        <v>28714.615520119802</v>
      </c>
      <c r="L31" s="27">
        <v>23571.039820220682</v>
      </c>
      <c r="M31" s="27">
        <v>17379.68300764693</v>
      </c>
      <c r="N31" s="27">
        <v>11992.16506833803</v>
      </c>
      <c r="O31" s="27">
        <v>6886.7612038055522</v>
      </c>
      <c r="P31" s="27">
        <v>3850.0226111519519</v>
      </c>
      <c r="Q31" s="27">
        <v>3069.4690246017158</v>
      </c>
      <c r="R31" s="27">
        <v>3513.693825082757</v>
      </c>
      <c r="S31" s="27">
        <v>3798.6891025818959</v>
      </c>
      <c r="T31" s="27">
        <v>4083.9304294564499</v>
      </c>
      <c r="U31" s="27">
        <v>4603.0546646446028</v>
      </c>
      <c r="V31" s="27">
        <v>5121.7407531245462</v>
      </c>
      <c r="W31" s="27">
        <v>5399.7161125909333</v>
      </c>
      <c r="X31" s="27">
        <v>5677.4968835017389</v>
      </c>
      <c r="Y31" s="27">
        <v>5771.4457287737023</v>
      </c>
      <c r="Z31" s="27">
        <v>5865.1968865926847</v>
      </c>
    </row>
    <row r="32" spans="1:26">
      <c r="A32" s="27" t="s">
        <v>242</v>
      </c>
      <c r="B32" s="27" t="s">
        <v>245</v>
      </c>
      <c r="C32" s="27" t="s">
        <v>198</v>
      </c>
      <c r="D32" s="27" t="s">
        <v>1153</v>
      </c>
      <c r="E32" s="27" t="s">
        <v>75</v>
      </c>
      <c r="F32" s="27" t="s">
        <v>200</v>
      </c>
      <c r="G32" s="27">
        <v>28860.5893962675</v>
      </c>
      <c r="H32" s="27">
        <v>32845.959782671802</v>
      </c>
      <c r="I32" s="27">
        <v>34997.2934541754</v>
      </c>
      <c r="J32" s="27">
        <v>37994.315697913597</v>
      </c>
      <c r="K32" s="27">
        <v>28393.073353661999</v>
      </c>
      <c r="L32" s="27">
        <v>22088.795858350499</v>
      </c>
      <c r="M32" s="27">
        <v>19555.239956090099</v>
      </c>
      <c r="N32" s="27">
        <v>17324.2598346347</v>
      </c>
      <c r="O32" s="27">
        <v>15055.6732010615</v>
      </c>
      <c r="P32" s="27">
        <v>13171.899453841301</v>
      </c>
      <c r="Q32" s="27" t="s">
        <v>200</v>
      </c>
      <c r="R32" s="27">
        <v>8422.5998190499704</v>
      </c>
      <c r="S32" s="27" t="s">
        <v>200</v>
      </c>
      <c r="T32" s="27">
        <v>4957.7826176915396</v>
      </c>
      <c r="U32" s="27" t="s">
        <v>200</v>
      </c>
      <c r="V32" s="27">
        <v>1762.0614518335101</v>
      </c>
      <c r="W32" s="27" t="s">
        <v>200</v>
      </c>
      <c r="X32" s="27">
        <v>-1478.4105547454999</v>
      </c>
      <c r="Y32" s="27" t="s">
        <v>200</v>
      </c>
      <c r="Z32" s="27">
        <v>-3864.5694589600498</v>
      </c>
    </row>
    <row r="33" spans="1:26">
      <c r="A33" s="27" t="s">
        <v>246</v>
      </c>
      <c r="B33" s="27" t="s">
        <v>243</v>
      </c>
      <c r="C33" s="27" t="s">
        <v>198</v>
      </c>
      <c r="D33" s="27" t="s">
        <v>1153</v>
      </c>
      <c r="E33" s="27" t="s">
        <v>75</v>
      </c>
      <c r="F33" s="27" t="s">
        <v>200</v>
      </c>
      <c r="G33" s="27">
        <v>28298.44200000001</v>
      </c>
      <c r="H33" s="27">
        <v>30444.0141</v>
      </c>
      <c r="I33" s="27">
        <v>32677.111400000002</v>
      </c>
      <c r="J33" s="27">
        <v>35215.895900000003</v>
      </c>
      <c r="K33" s="27">
        <v>27972.803199999998</v>
      </c>
      <c r="L33" s="27">
        <v>21485.018400000001</v>
      </c>
      <c r="M33" s="27">
        <v>15085.6993</v>
      </c>
      <c r="N33" s="27">
        <v>10057.355</v>
      </c>
      <c r="O33" s="27">
        <v>4259.1610000000001</v>
      </c>
      <c r="P33" s="27">
        <v>307.9178</v>
      </c>
      <c r="Q33" s="27">
        <v>-897.60979999999995</v>
      </c>
      <c r="R33" s="27">
        <v>-1499.5941</v>
      </c>
      <c r="S33" s="27">
        <v>-1998.9689000000001</v>
      </c>
      <c r="T33" s="27">
        <v>-2134.3946000000001</v>
      </c>
      <c r="U33" s="27">
        <v>-2294.8123000000001</v>
      </c>
      <c r="V33" s="27">
        <v>-2672.8054000000002</v>
      </c>
      <c r="W33" s="27">
        <v>-2899.8479000000002</v>
      </c>
      <c r="X33" s="27">
        <v>-3026.2294999999999</v>
      </c>
      <c r="Y33" s="27">
        <v>-3168.8490999999999</v>
      </c>
      <c r="Z33" s="27">
        <v>-3381.6111999999998</v>
      </c>
    </row>
    <row r="34" spans="1:26">
      <c r="A34" s="27" t="s">
        <v>247</v>
      </c>
      <c r="B34" s="27" t="s">
        <v>248</v>
      </c>
      <c r="C34" s="27" t="s">
        <v>198</v>
      </c>
      <c r="D34" s="27" t="s">
        <v>1153</v>
      </c>
      <c r="E34" s="27" t="s">
        <v>75</v>
      </c>
      <c r="F34" s="27">
        <v>24347.46484375</v>
      </c>
      <c r="G34" s="27">
        <v>28679.248046875</v>
      </c>
      <c r="H34" s="27">
        <v>32416.009765625</v>
      </c>
      <c r="I34" s="27" t="s">
        <v>200</v>
      </c>
      <c r="J34" s="27">
        <v>37959.66015625</v>
      </c>
      <c r="K34" s="27" t="s">
        <v>200</v>
      </c>
      <c r="L34" s="27">
        <v>25702.38671875</v>
      </c>
      <c r="M34" s="27" t="s">
        <v>200</v>
      </c>
      <c r="N34" s="27">
        <v>18558.970703125</v>
      </c>
      <c r="O34" s="27" t="s">
        <v>200</v>
      </c>
      <c r="P34" s="27">
        <v>10804.7587890625</v>
      </c>
      <c r="Q34" s="27" t="s">
        <v>200</v>
      </c>
      <c r="R34" s="27">
        <v>3004.1220703125</v>
      </c>
      <c r="S34" s="27" t="s">
        <v>200</v>
      </c>
      <c r="T34" s="27">
        <v>-1234.37475585938</v>
      </c>
      <c r="U34" s="27" t="s">
        <v>200</v>
      </c>
      <c r="V34" s="27">
        <v>-3424.35620117188</v>
      </c>
      <c r="W34" s="27" t="s">
        <v>200</v>
      </c>
      <c r="X34" s="27">
        <v>-4340.61279296875</v>
      </c>
      <c r="Y34" s="27" t="s">
        <v>200</v>
      </c>
      <c r="Z34" s="27">
        <v>-5507.1669921875</v>
      </c>
    </row>
    <row r="35" spans="1:26">
      <c r="A35" s="27" t="s">
        <v>203</v>
      </c>
      <c r="B35" s="27" t="s">
        <v>249</v>
      </c>
      <c r="C35" s="27" t="s">
        <v>198</v>
      </c>
      <c r="D35" s="27" t="s">
        <v>1153</v>
      </c>
      <c r="E35" s="27" t="s">
        <v>75</v>
      </c>
      <c r="F35" s="27" t="s">
        <v>200</v>
      </c>
      <c r="G35" s="27">
        <v>30505.4542</v>
      </c>
      <c r="H35" s="27">
        <v>33285.080300000001</v>
      </c>
      <c r="I35" s="27">
        <v>34835.022100000002</v>
      </c>
      <c r="J35" s="27">
        <v>35221.104099999997</v>
      </c>
      <c r="K35" s="27">
        <v>29847.719400000002</v>
      </c>
      <c r="L35" s="27">
        <v>23542.591199999999</v>
      </c>
      <c r="M35" s="27">
        <v>16308.590099999999</v>
      </c>
      <c r="N35" s="27">
        <v>10055.689</v>
      </c>
      <c r="O35" s="27">
        <v>5254.1815999999999</v>
      </c>
      <c r="P35" s="27">
        <v>1536.9844000000001</v>
      </c>
      <c r="Q35" s="27">
        <v>120.92610000000001</v>
      </c>
      <c r="R35" s="27">
        <v>99.574200000000005</v>
      </c>
      <c r="S35" s="27" t="s">
        <v>200</v>
      </c>
      <c r="T35" s="27">
        <v>104.8409</v>
      </c>
      <c r="U35" s="27" t="s">
        <v>200</v>
      </c>
      <c r="V35" s="27">
        <v>177.01259999999999</v>
      </c>
      <c r="W35" s="27" t="s">
        <v>200</v>
      </c>
      <c r="X35" s="27">
        <v>335.7002</v>
      </c>
      <c r="Y35" s="27" t="s">
        <v>200</v>
      </c>
      <c r="Z35" s="27">
        <v>287.73779999999999</v>
      </c>
    </row>
    <row r="36" spans="1:26">
      <c r="A36" s="27" t="s">
        <v>196</v>
      </c>
      <c r="B36" s="27" t="s">
        <v>250</v>
      </c>
      <c r="C36" s="27" t="s">
        <v>198</v>
      </c>
      <c r="D36" s="27" t="s">
        <v>1153</v>
      </c>
      <c r="E36" s="27" t="s">
        <v>75</v>
      </c>
      <c r="F36" s="27" t="s">
        <v>200</v>
      </c>
      <c r="G36" s="27">
        <v>30505.4542</v>
      </c>
      <c r="H36" s="27">
        <v>33298.763400000003</v>
      </c>
      <c r="I36" s="27">
        <v>34867.681499999999</v>
      </c>
      <c r="J36" s="27">
        <v>35256.589800000002</v>
      </c>
      <c r="K36" s="27">
        <v>31133.498599999999</v>
      </c>
      <c r="L36" s="27">
        <v>25440.1486</v>
      </c>
      <c r="M36" s="27">
        <v>18178.9797</v>
      </c>
      <c r="N36" s="27">
        <v>11825.0301</v>
      </c>
      <c r="O36" s="27">
        <v>7494.1064999999999</v>
      </c>
      <c r="P36" s="27">
        <v>4350.7830999999996</v>
      </c>
      <c r="Q36" s="27">
        <v>2637.0789</v>
      </c>
      <c r="R36" s="27">
        <v>1774.0207</v>
      </c>
      <c r="S36" s="27" t="s">
        <v>200</v>
      </c>
      <c r="T36" s="27">
        <v>524.26599999999996</v>
      </c>
      <c r="U36" s="27" t="s">
        <v>200</v>
      </c>
      <c r="V36" s="27">
        <v>451.15350000000001</v>
      </c>
      <c r="W36" s="27" t="s">
        <v>200</v>
      </c>
      <c r="X36" s="27">
        <v>638.36929999999995</v>
      </c>
      <c r="Y36" s="27" t="s">
        <v>200</v>
      </c>
      <c r="Z36" s="27">
        <v>144.982</v>
      </c>
    </row>
    <row r="37" spans="1:26">
      <c r="A37" s="27" t="s">
        <v>203</v>
      </c>
      <c r="B37" s="27" t="s">
        <v>251</v>
      </c>
      <c r="C37" s="27" t="s">
        <v>198</v>
      </c>
      <c r="D37" s="27" t="s">
        <v>1153</v>
      </c>
      <c r="E37" s="27" t="s">
        <v>75</v>
      </c>
      <c r="F37" s="27" t="s">
        <v>200</v>
      </c>
      <c r="G37" s="27">
        <v>30505.4542</v>
      </c>
      <c r="H37" s="27">
        <v>33285.080300000001</v>
      </c>
      <c r="I37" s="27">
        <v>34835.022100000002</v>
      </c>
      <c r="J37" s="27">
        <v>35221.104099999997</v>
      </c>
      <c r="K37" s="27">
        <v>29486.2893</v>
      </c>
      <c r="L37" s="27">
        <v>23202.303899999999</v>
      </c>
      <c r="M37" s="27">
        <v>16489.748</v>
      </c>
      <c r="N37" s="27">
        <v>10930.482400000001</v>
      </c>
      <c r="O37" s="27">
        <v>6444.1099000000004</v>
      </c>
      <c r="P37" s="27">
        <v>2015.2271000000001</v>
      </c>
      <c r="Q37" s="27">
        <v>-1183.7496000000001</v>
      </c>
      <c r="R37" s="27">
        <v>-3556.7986000000001</v>
      </c>
      <c r="S37" s="27" t="s">
        <v>200</v>
      </c>
      <c r="T37" s="27">
        <v>-6986.8571000000002</v>
      </c>
      <c r="U37" s="27" t="s">
        <v>200</v>
      </c>
      <c r="V37" s="27">
        <v>-8581.0967000000001</v>
      </c>
      <c r="W37" s="27" t="s">
        <v>200</v>
      </c>
      <c r="X37" s="27">
        <v>-8810.0413000000008</v>
      </c>
      <c r="Y37" s="27" t="s">
        <v>200</v>
      </c>
      <c r="Z37" s="27">
        <v>-9101.9046999999991</v>
      </c>
    </row>
    <row r="38" spans="1:26">
      <c r="A38" s="27" t="s">
        <v>205</v>
      </c>
      <c r="B38" s="27" t="s">
        <v>252</v>
      </c>
      <c r="C38" s="27" t="s">
        <v>198</v>
      </c>
      <c r="D38" s="27" t="s">
        <v>1153</v>
      </c>
      <c r="E38" s="27" t="s">
        <v>75</v>
      </c>
      <c r="F38" s="27" t="s">
        <v>200</v>
      </c>
      <c r="G38" s="27">
        <v>28864.1</v>
      </c>
      <c r="H38" s="27">
        <v>32887.199999999997</v>
      </c>
      <c r="I38" s="27">
        <v>35711.199999999997</v>
      </c>
      <c r="J38" s="27">
        <v>36139.9</v>
      </c>
      <c r="K38" s="27">
        <v>30664.9</v>
      </c>
      <c r="L38" s="27">
        <v>18189.599999999999</v>
      </c>
      <c r="M38" s="27">
        <v>9793.39</v>
      </c>
      <c r="N38" s="27">
        <v>4833.1000000000004</v>
      </c>
      <c r="O38" s="27">
        <v>2006.42</v>
      </c>
      <c r="P38" s="27">
        <v>497.16800000000001</v>
      </c>
      <c r="Q38" s="27">
        <v>56.632599999999996</v>
      </c>
      <c r="R38" s="27">
        <v>21.122599999999998</v>
      </c>
      <c r="S38" s="27">
        <v>8.4194100000000009</v>
      </c>
      <c r="T38" s="27">
        <v>0.62557799999999997</v>
      </c>
      <c r="U38" s="27">
        <v>0.02</v>
      </c>
      <c r="V38" s="27">
        <v>0.02</v>
      </c>
      <c r="W38" s="27">
        <v>0.02</v>
      </c>
      <c r="X38" s="27">
        <v>0.02</v>
      </c>
      <c r="Y38" s="27">
        <v>0.02</v>
      </c>
      <c r="Z38" s="27">
        <v>0.02</v>
      </c>
    </row>
    <row r="39" spans="1:26">
      <c r="A39" s="27" t="s">
        <v>205</v>
      </c>
      <c r="B39" s="27" t="s">
        <v>253</v>
      </c>
      <c r="C39" s="27" t="s">
        <v>198</v>
      </c>
      <c r="D39" s="27" t="s">
        <v>1153</v>
      </c>
      <c r="E39" s="27" t="s">
        <v>75</v>
      </c>
      <c r="F39" s="27" t="s">
        <v>200</v>
      </c>
      <c r="G39" s="27">
        <v>28864.1</v>
      </c>
      <c r="H39" s="27">
        <v>32887.199999999997</v>
      </c>
      <c r="I39" s="27">
        <v>35711.199999999997</v>
      </c>
      <c r="J39" s="27">
        <v>36139.9</v>
      </c>
      <c r="K39" s="27">
        <v>28797.7</v>
      </c>
      <c r="L39" s="27">
        <v>13650.4</v>
      </c>
      <c r="M39" s="27">
        <v>5452.2</v>
      </c>
      <c r="N39" s="27">
        <v>1606.33</v>
      </c>
      <c r="O39" s="27">
        <v>105.065</v>
      </c>
      <c r="P39" s="27">
        <v>22.290800000000001</v>
      </c>
      <c r="Q39" s="27">
        <v>4.7384500000000003</v>
      </c>
      <c r="R39" s="27">
        <v>0.02</v>
      </c>
      <c r="S39" s="27">
        <v>0.02</v>
      </c>
      <c r="T39" s="27">
        <v>0.02</v>
      </c>
      <c r="U39" s="27">
        <v>0.02</v>
      </c>
      <c r="V39" s="27">
        <v>0.02</v>
      </c>
      <c r="W39" s="27">
        <v>0.02</v>
      </c>
      <c r="X39" s="27">
        <v>0.02</v>
      </c>
      <c r="Y39" s="27">
        <v>0.02</v>
      </c>
      <c r="Z39" s="27">
        <v>0.02</v>
      </c>
    </row>
    <row r="40" spans="1:26">
      <c r="A40" s="27" t="s">
        <v>255</v>
      </c>
      <c r="B40" s="27" t="s">
        <v>256</v>
      </c>
      <c r="C40" s="27" t="s">
        <v>198</v>
      </c>
      <c r="D40" s="27" t="s">
        <v>1153</v>
      </c>
      <c r="E40" s="27" t="s">
        <v>75</v>
      </c>
      <c r="F40" s="27" t="s">
        <v>200</v>
      </c>
      <c r="G40" s="27">
        <v>30302.499500000002</v>
      </c>
      <c r="H40" s="27">
        <v>33750.415374999997</v>
      </c>
      <c r="I40" s="27">
        <v>36806.671187499996</v>
      </c>
      <c r="J40" s="27">
        <v>40561.246124999998</v>
      </c>
      <c r="K40" s="27">
        <v>35655.620281249998</v>
      </c>
      <c r="L40" s="27">
        <v>26038.053749999999</v>
      </c>
      <c r="M40" s="27">
        <v>17045.070124999998</v>
      </c>
      <c r="N40" s="27">
        <v>9588.9930624999997</v>
      </c>
      <c r="O40" s="27">
        <v>4056.63009375</v>
      </c>
      <c r="P40" s="27">
        <v>80.471312499999996</v>
      </c>
      <c r="Q40" s="27">
        <v>-2731.8484374999998</v>
      </c>
      <c r="R40" s="27">
        <v>-5703.7815058593796</v>
      </c>
      <c r="S40" s="27">
        <v>-7856.6286484374996</v>
      </c>
      <c r="T40" s="27">
        <v>-9104.7254140624991</v>
      </c>
      <c r="U40" s="27">
        <v>-10513.06790625</v>
      </c>
      <c r="V40" s="27">
        <v>-11558.6793125</v>
      </c>
      <c r="W40" s="27">
        <v>-13595.592000000001</v>
      </c>
      <c r="X40" s="27">
        <v>-14064.910062499999</v>
      </c>
      <c r="Y40" s="27">
        <v>-14043.256187499999</v>
      </c>
      <c r="Z40" s="27">
        <v>-14382.879375</v>
      </c>
    </row>
    <row r="41" spans="1:26">
      <c r="A41" s="27" t="s">
        <v>257</v>
      </c>
      <c r="B41" s="27" t="s">
        <v>197</v>
      </c>
      <c r="C41" s="27" t="s">
        <v>198</v>
      </c>
      <c r="D41" s="27" t="s">
        <v>1153</v>
      </c>
      <c r="E41" s="27" t="s">
        <v>75</v>
      </c>
      <c r="F41" s="27" t="s">
        <v>200</v>
      </c>
      <c r="G41" s="27" t="s">
        <v>200</v>
      </c>
      <c r="H41" s="27">
        <v>32767.2853</v>
      </c>
      <c r="I41" s="27">
        <v>35223.705199999997</v>
      </c>
      <c r="J41" s="27">
        <v>39016.614000000001</v>
      </c>
      <c r="K41" s="27">
        <v>30362.620699999999</v>
      </c>
      <c r="L41" s="27">
        <v>22898.3639</v>
      </c>
      <c r="M41" s="27">
        <v>17881.953799999999</v>
      </c>
      <c r="N41" s="27">
        <v>16522.852900000002</v>
      </c>
      <c r="O41" s="27">
        <v>13383.5308</v>
      </c>
      <c r="P41" s="27">
        <v>8525.1147999999994</v>
      </c>
      <c r="Q41" s="27">
        <v>3499.2055</v>
      </c>
      <c r="R41" s="27">
        <v>-854.13589999999999</v>
      </c>
      <c r="S41" s="27">
        <v>-4365.6241</v>
      </c>
      <c r="T41" s="27">
        <v>-6537.6606000000002</v>
      </c>
      <c r="U41" s="27">
        <v>-7334.8419999999996</v>
      </c>
      <c r="V41" s="27">
        <v>-7684.7708000000002</v>
      </c>
      <c r="W41" s="27">
        <v>-7950.7592999999997</v>
      </c>
      <c r="X41" s="27">
        <v>-8211.5411999999997</v>
      </c>
      <c r="Y41" s="27">
        <v>-8438.1648000000005</v>
      </c>
      <c r="Z41" s="27">
        <v>-8625.8634999999995</v>
      </c>
    </row>
    <row r="42" spans="1:26">
      <c r="A42" s="27" t="s">
        <v>196</v>
      </c>
      <c r="B42" s="27" t="s">
        <v>258</v>
      </c>
      <c r="C42" s="27" t="s">
        <v>198</v>
      </c>
      <c r="D42" s="27" t="s">
        <v>1153</v>
      </c>
      <c r="E42" s="27" t="s">
        <v>75</v>
      </c>
      <c r="F42" s="27" t="s">
        <v>200</v>
      </c>
      <c r="G42" s="27">
        <v>29686.181700000001</v>
      </c>
      <c r="H42" s="27">
        <v>32773.947999999997</v>
      </c>
      <c r="I42" s="27">
        <v>34115.6495</v>
      </c>
      <c r="J42" s="27">
        <v>33089.013400000003</v>
      </c>
      <c r="K42" s="27">
        <v>28896.188699999999</v>
      </c>
      <c r="L42" s="27">
        <v>24908.6024</v>
      </c>
      <c r="M42" s="27">
        <v>19628.698499999999</v>
      </c>
      <c r="N42" s="27">
        <v>15471.3585</v>
      </c>
      <c r="O42" s="27">
        <v>11896.454299999999</v>
      </c>
      <c r="P42" s="27">
        <v>8256.0535</v>
      </c>
      <c r="Q42" s="27">
        <v>4970.5814</v>
      </c>
      <c r="R42" s="27">
        <v>2477.462</v>
      </c>
      <c r="S42" s="27" t="s">
        <v>200</v>
      </c>
      <c r="T42" s="27">
        <v>-986.7473</v>
      </c>
      <c r="U42" s="27" t="s">
        <v>200</v>
      </c>
      <c r="V42" s="27">
        <v>-2770.3777</v>
      </c>
      <c r="W42" s="27" t="s">
        <v>200</v>
      </c>
      <c r="X42" s="27">
        <v>-3916.3901000000001</v>
      </c>
      <c r="Y42" s="27" t="s">
        <v>200</v>
      </c>
      <c r="Z42" s="27">
        <v>-5042.6641</v>
      </c>
    </row>
    <row r="43" spans="1:26">
      <c r="A43" s="27" t="s">
        <v>247</v>
      </c>
      <c r="B43" s="27" t="s">
        <v>259</v>
      </c>
      <c r="C43" s="27" t="s">
        <v>198</v>
      </c>
      <c r="D43" s="27" t="s">
        <v>1153</v>
      </c>
      <c r="E43" s="27" t="s">
        <v>75</v>
      </c>
      <c r="F43" s="27">
        <v>24347.46484375</v>
      </c>
      <c r="G43" s="27">
        <v>28679.248046875</v>
      </c>
      <c r="H43" s="27">
        <v>32416.009765625</v>
      </c>
      <c r="I43" s="27" t="s">
        <v>200</v>
      </c>
      <c r="J43" s="27">
        <v>37957.93359375</v>
      </c>
      <c r="K43" s="27" t="s">
        <v>200</v>
      </c>
      <c r="L43" s="27">
        <v>26114.09765625</v>
      </c>
      <c r="M43" s="27" t="s">
        <v>200</v>
      </c>
      <c r="N43" s="27">
        <v>18806.830078125</v>
      </c>
      <c r="O43" s="27" t="s">
        <v>200</v>
      </c>
      <c r="P43" s="27">
        <v>10592.5791015625</v>
      </c>
      <c r="Q43" s="27" t="s">
        <v>200</v>
      </c>
      <c r="R43" s="27">
        <v>2914.67895507812</v>
      </c>
      <c r="S43" s="27" t="s">
        <v>200</v>
      </c>
      <c r="T43" s="27">
        <v>-1428.78686523438</v>
      </c>
      <c r="U43" s="27" t="s">
        <v>200</v>
      </c>
      <c r="V43" s="27">
        <v>-3471.22216796875</v>
      </c>
      <c r="W43" s="27" t="s">
        <v>200</v>
      </c>
      <c r="X43" s="27">
        <v>-4486.3056640625</v>
      </c>
      <c r="Y43" s="27" t="s">
        <v>200</v>
      </c>
      <c r="Z43" s="27">
        <v>-5568.1943359375</v>
      </c>
    </row>
    <row r="44" spans="1:26">
      <c r="A44" s="27" t="s">
        <v>233</v>
      </c>
      <c r="B44" s="27" t="s">
        <v>260</v>
      </c>
      <c r="C44" s="27" t="s">
        <v>198</v>
      </c>
      <c r="D44" s="27" t="s">
        <v>1153</v>
      </c>
      <c r="E44" s="27" t="s">
        <v>75</v>
      </c>
      <c r="F44" s="27" t="s">
        <v>200</v>
      </c>
      <c r="G44" s="27" t="s">
        <v>200</v>
      </c>
      <c r="H44" s="27">
        <v>31475.04075788</v>
      </c>
      <c r="I44" s="27">
        <v>34268.271930520074</v>
      </c>
      <c r="J44" s="27">
        <v>34627.920437701658</v>
      </c>
      <c r="K44" s="27">
        <v>24471.426710656771</v>
      </c>
      <c r="L44" s="27">
        <v>20354.400282860712</v>
      </c>
      <c r="M44" s="27">
        <v>16790.276219629239</v>
      </c>
      <c r="N44" s="27">
        <v>14673.305653108981</v>
      </c>
      <c r="O44" s="27">
        <v>11901.113631824979</v>
      </c>
      <c r="P44" s="27">
        <v>9198.775772770734</v>
      </c>
      <c r="Q44" s="27">
        <v>6986.7353579393284</v>
      </c>
      <c r="R44" s="27">
        <v>4915.5158033904218</v>
      </c>
      <c r="S44" s="27">
        <v>3063.8810500768282</v>
      </c>
      <c r="T44" s="27">
        <v>1023.1323543011119</v>
      </c>
      <c r="U44" s="27">
        <v>-1381.675940573906</v>
      </c>
      <c r="V44" s="27">
        <v>-3295.513218035393</v>
      </c>
      <c r="W44" s="27">
        <v>-4859.6308321200804</v>
      </c>
      <c r="X44" s="27">
        <v>-6270.3853213243974</v>
      </c>
      <c r="Y44" s="27">
        <v>-7779.6596808760714</v>
      </c>
      <c r="Z44" s="27">
        <v>-9263.0858648996236</v>
      </c>
    </row>
    <row r="45" spans="1:26">
      <c r="A45" s="27" t="s">
        <v>261</v>
      </c>
      <c r="B45" s="27" t="s">
        <v>262</v>
      </c>
      <c r="C45" s="27" t="s">
        <v>198</v>
      </c>
      <c r="D45" s="27" t="s">
        <v>1153</v>
      </c>
      <c r="E45" s="27" t="s">
        <v>75</v>
      </c>
      <c r="F45" s="27" t="s">
        <v>200</v>
      </c>
      <c r="G45" s="27">
        <v>28354.178100585941</v>
      </c>
      <c r="H45" s="27">
        <v>32571.551391601559</v>
      </c>
      <c r="I45" s="27">
        <v>35107.381011962891</v>
      </c>
      <c r="J45" s="27">
        <v>36461.456878662109</v>
      </c>
      <c r="K45" s="27">
        <v>34442.068725585938</v>
      </c>
      <c r="L45" s="27">
        <v>22253.755699157711</v>
      </c>
      <c r="M45" s="27">
        <v>14076.5047454834</v>
      </c>
      <c r="N45" s="27">
        <v>9092.0967178344727</v>
      </c>
      <c r="O45" s="27">
        <v>5011.0179805755624</v>
      </c>
      <c r="P45" s="27">
        <v>2572.8777670860291</v>
      </c>
      <c r="Q45" s="27">
        <v>1843.7648980617521</v>
      </c>
      <c r="R45" s="27">
        <v>1061.004115581512</v>
      </c>
      <c r="S45" s="27">
        <v>592.79976487159729</v>
      </c>
      <c r="T45" s="27">
        <v>489.11724853515619</v>
      </c>
      <c r="U45" s="27">
        <v>647.2377188205719</v>
      </c>
      <c r="V45" s="27">
        <v>170.3916738033295</v>
      </c>
      <c r="W45" s="27">
        <v>-335.51124095916748</v>
      </c>
      <c r="X45" s="27">
        <v>-199.4414243102074</v>
      </c>
      <c r="Y45" s="27">
        <v>-211.71441292762759</v>
      </c>
      <c r="Z45" s="27">
        <v>-327.91617411375051</v>
      </c>
    </row>
    <row r="46" spans="1:26">
      <c r="A46" s="27" t="s">
        <v>218</v>
      </c>
      <c r="B46" s="27" t="s">
        <v>263</v>
      </c>
      <c r="C46" s="27" t="s">
        <v>198</v>
      </c>
      <c r="D46" s="27" t="s">
        <v>1153</v>
      </c>
      <c r="E46" s="27" t="s">
        <v>75</v>
      </c>
      <c r="F46" s="27" t="s">
        <v>200</v>
      </c>
      <c r="G46" s="27">
        <v>29273.0245</v>
      </c>
      <c r="H46" s="27">
        <v>33221.260600000001</v>
      </c>
      <c r="I46" s="27">
        <v>38417.441500000001</v>
      </c>
      <c r="J46" s="27">
        <v>39143.705000000002</v>
      </c>
      <c r="K46" s="27">
        <v>33255.9</v>
      </c>
      <c r="L46" s="27">
        <v>26404.880000000001</v>
      </c>
      <c r="M46" s="27">
        <v>20578.82</v>
      </c>
      <c r="N46" s="27">
        <v>16309.16</v>
      </c>
      <c r="O46" s="27">
        <v>11977.43</v>
      </c>
      <c r="P46" s="27">
        <v>7932.7369999999992</v>
      </c>
      <c r="Q46" s="27">
        <v>4517.5969999999998</v>
      </c>
      <c r="R46" s="27">
        <v>1981.9549999999999</v>
      </c>
      <c r="S46" s="27" t="s">
        <v>200</v>
      </c>
      <c r="T46" s="27">
        <v>-1211.1980000000001</v>
      </c>
      <c r="U46" s="27" t="s">
        <v>200</v>
      </c>
      <c r="V46" s="27">
        <v>-2780.855</v>
      </c>
      <c r="W46" s="27" t="s">
        <v>200</v>
      </c>
      <c r="X46" s="27">
        <v>-4557.03</v>
      </c>
      <c r="Y46" s="27" t="s">
        <v>200</v>
      </c>
      <c r="Z46" s="27">
        <v>-5725.1</v>
      </c>
    </row>
    <row r="47" spans="1:26">
      <c r="A47" s="27" t="s">
        <v>196</v>
      </c>
      <c r="B47" s="27" t="s">
        <v>264</v>
      </c>
      <c r="C47" s="27" t="s">
        <v>198</v>
      </c>
      <c r="D47" s="27" t="s">
        <v>1153</v>
      </c>
      <c r="E47" s="27" t="s">
        <v>75</v>
      </c>
      <c r="F47" s="27" t="s">
        <v>200</v>
      </c>
      <c r="G47" s="27">
        <v>30505.4542</v>
      </c>
      <c r="H47" s="27">
        <v>32966.842400000001</v>
      </c>
      <c r="I47" s="27">
        <v>34555.426399999997</v>
      </c>
      <c r="J47" s="27">
        <v>34734.834699999999</v>
      </c>
      <c r="K47" s="27">
        <v>29527.7873</v>
      </c>
      <c r="L47" s="27">
        <v>24157.116699999999</v>
      </c>
      <c r="M47" s="27">
        <v>17958.438900000001</v>
      </c>
      <c r="N47" s="27">
        <v>11987.408600000001</v>
      </c>
      <c r="O47" s="27">
        <v>7421.9195</v>
      </c>
      <c r="P47" s="27">
        <v>4149.4903999999997</v>
      </c>
      <c r="Q47" s="27">
        <v>2256.4488999999999</v>
      </c>
      <c r="R47" s="27">
        <v>878.74159999999995</v>
      </c>
      <c r="S47" s="27" t="s">
        <v>200</v>
      </c>
      <c r="T47" s="27">
        <v>-1125.3661</v>
      </c>
      <c r="U47" s="27" t="s">
        <v>200</v>
      </c>
      <c r="V47" s="27">
        <v>-1915.4825000000001</v>
      </c>
      <c r="W47" s="27" t="s">
        <v>200</v>
      </c>
      <c r="X47" s="27">
        <v>-2235.0304999999998</v>
      </c>
      <c r="Y47" s="27" t="s">
        <v>200</v>
      </c>
      <c r="Z47" s="27">
        <v>-2810.4086000000002</v>
      </c>
    </row>
    <row r="48" spans="1:26">
      <c r="A48" s="27" t="s">
        <v>218</v>
      </c>
      <c r="B48" s="27" t="s">
        <v>265</v>
      </c>
      <c r="C48" s="27" t="s">
        <v>198</v>
      </c>
      <c r="D48" s="27" t="s">
        <v>1153</v>
      </c>
      <c r="E48" s="27" t="s">
        <v>75</v>
      </c>
      <c r="F48" s="27" t="s">
        <v>200</v>
      </c>
      <c r="G48" s="27">
        <v>29273.0245</v>
      </c>
      <c r="H48" s="27">
        <v>33221.260600000001</v>
      </c>
      <c r="I48" s="27">
        <v>38417.441500000001</v>
      </c>
      <c r="J48" s="27">
        <v>39143.705000000002</v>
      </c>
      <c r="K48" s="27">
        <v>33067.53</v>
      </c>
      <c r="L48" s="27">
        <v>26327.49</v>
      </c>
      <c r="M48" s="27">
        <v>21052.71</v>
      </c>
      <c r="N48" s="27">
        <v>17540.060000000001</v>
      </c>
      <c r="O48" s="27">
        <v>14157.52</v>
      </c>
      <c r="P48" s="27">
        <v>11420.44</v>
      </c>
      <c r="Q48" s="27">
        <v>9366.4619999999995</v>
      </c>
      <c r="R48" s="27">
        <v>7488.6169999999966</v>
      </c>
      <c r="S48" s="27" t="s">
        <v>200</v>
      </c>
      <c r="T48" s="27">
        <v>4051.6759999999999</v>
      </c>
      <c r="U48" s="27" t="s">
        <v>200</v>
      </c>
      <c r="V48" s="27">
        <v>767.93340000000001</v>
      </c>
      <c r="W48" s="27" t="s">
        <v>200</v>
      </c>
      <c r="X48" s="27">
        <v>-3276.3470000000002</v>
      </c>
      <c r="Y48" s="27" t="s">
        <v>200</v>
      </c>
      <c r="Z48" s="27">
        <v>-5169.2939999999999</v>
      </c>
    </row>
    <row r="49" spans="1:26">
      <c r="A49" s="27" t="s">
        <v>226</v>
      </c>
      <c r="B49" s="27" t="s">
        <v>243</v>
      </c>
      <c r="C49" s="27" t="s">
        <v>198</v>
      </c>
      <c r="D49" s="27" t="s">
        <v>1153</v>
      </c>
      <c r="E49" s="27" t="s">
        <v>75</v>
      </c>
      <c r="F49" s="27" t="s">
        <v>200</v>
      </c>
      <c r="G49" s="27">
        <v>29273.0245</v>
      </c>
      <c r="H49" s="27">
        <v>31022.956300000002</v>
      </c>
      <c r="I49" s="27">
        <v>34034.019800000002</v>
      </c>
      <c r="J49" s="27">
        <v>36295.092900000003</v>
      </c>
      <c r="K49" s="27">
        <v>31043.09</v>
      </c>
      <c r="L49" s="27">
        <v>24718.57</v>
      </c>
      <c r="M49" s="27">
        <v>18224.439999999999</v>
      </c>
      <c r="N49" s="27">
        <v>12975.06</v>
      </c>
      <c r="O49" s="27">
        <v>8207.5689999999995</v>
      </c>
      <c r="P49" s="27">
        <v>4017.0810000000001</v>
      </c>
      <c r="Q49" s="27">
        <v>248.79580000000001</v>
      </c>
      <c r="R49" s="27">
        <v>-2751.4580000000001</v>
      </c>
      <c r="S49" s="27" t="s">
        <v>200</v>
      </c>
      <c r="T49" s="27">
        <v>-6603.6140000000014</v>
      </c>
      <c r="U49" s="27" t="s">
        <v>200</v>
      </c>
      <c r="V49" s="27">
        <v>-8124.5739999999996</v>
      </c>
      <c r="W49" s="27" t="s">
        <v>200</v>
      </c>
      <c r="X49" s="27">
        <v>-9006.9240000000009</v>
      </c>
      <c r="Y49" s="27" t="s">
        <v>200</v>
      </c>
      <c r="Z49" s="27">
        <v>-10280.09</v>
      </c>
    </row>
    <row r="50" spans="1:26">
      <c r="A50" s="27" t="s">
        <v>231</v>
      </c>
      <c r="B50" s="27" t="s">
        <v>266</v>
      </c>
      <c r="C50" s="27" t="s">
        <v>198</v>
      </c>
      <c r="D50" s="27" t="s">
        <v>1153</v>
      </c>
      <c r="E50" s="27" t="s">
        <v>75</v>
      </c>
      <c r="F50" s="27" t="s">
        <v>200</v>
      </c>
      <c r="G50" s="27">
        <v>29476.391242574002</v>
      </c>
      <c r="H50" s="27">
        <v>33546.411131523499</v>
      </c>
      <c r="I50" s="27">
        <v>35368.853894322601</v>
      </c>
      <c r="J50" s="27">
        <v>39342.817631926497</v>
      </c>
      <c r="K50" s="27">
        <v>27543.822943691801</v>
      </c>
      <c r="L50" s="27">
        <v>17313.7612718009</v>
      </c>
      <c r="M50" s="27">
        <v>5464.7607866408598</v>
      </c>
      <c r="N50" s="27">
        <v>-4235.3556796220801</v>
      </c>
      <c r="O50" s="27">
        <v>-4306.6374040004202</v>
      </c>
      <c r="P50" s="27">
        <v>-5080.0030247793602</v>
      </c>
      <c r="Q50" s="27">
        <v>-5681.7644042472702</v>
      </c>
      <c r="R50" s="27">
        <v>-6075.9874845617996</v>
      </c>
      <c r="S50" s="27">
        <v>-6356.4919850676697</v>
      </c>
      <c r="T50" s="27">
        <v>-6566.1657718850602</v>
      </c>
      <c r="U50" s="27">
        <v>-6737.6114055394601</v>
      </c>
      <c r="V50" s="27">
        <v>-6887.51432727256</v>
      </c>
      <c r="W50" s="27">
        <v>-7010.40263491114</v>
      </c>
      <c r="X50" s="27">
        <v>-7112.2295964103296</v>
      </c>
      <c r="Y50" s="27">
        <v>-7181.23831545145</v>
      </c>
      <c r="Z50" s="27">
        <v>-7224.2405196097197</v>
      </c>
    </row>
    <row r="51" spans="1:26">
      <c r="A51" s="27" t="s">
        <v>233</v>
      </c>
      <c r="B51" s="27" t="s">
        <v>267</v>
      </c>
      <c r="C51" s="27" t="s">
        <v>198</v>
      </c>
      <c r="D51" s="27" t="s">
        <v>1153</v>
      </c>
      <c r="E51" s="27" t="s">
        <v>75</v>
      </c>
      <c r="F51" s="27" t="s">
        <v>200</v>
      </c>
      <c r="G51" s="27" t="s">
        <v>200</v>
      </c>
      <c r="H51" s="27">
        <v>31475.04075788</v>
      </c>
      <c r="I51" s="27">
        <v>34268.271930520074</v>
      </c>
      <c r="J51" s="27">
        <v>34627.920437701658</v>
      </c>
      <c r="K51" s="27">
        <v>22248.902901801499</v>
      </c>
      <c r="L51" s="27">
        <v>16969.957586110009</v>
      </c>
      <c r="M51" s="27">
        <v>11394.65275372778</v>
      </c>
      <c r="N51" s="27">
        <v>7806.4858303644551</v>
      </c>
      <c r="O51" s="27">
        <v>5451.5381715371777</v>
      </c>
      <c r="P51" s="27">
        <v>3701.093958952446</v>
      </c>
      <c r="Q51" s="27">
        <v>2178.563433197804</v>
      </c>
      <c r="R51" s="27">
        <v>1770.936712862052</v>
      </c>
      <c r="S51" s="27">
        <v>1804.9924799997409</v>
      </c>
      <c r="T51" s="27">
        <v>1779.539807091697</v>
      </c>
      <c r="U51" s="27">
        <v>1966.182357634093</v>
      </c>
      <c r="V51" s="27">
        <v>2245.6653120055989</v>
      </c>
      <c r="W51" s="27">
        <v>2399.4161147274172</v>
      </c>
      <c r="X51" s="27">
        <v>2494.2402719048359</v>
      </c>
      <c r="Y51" s="27">
        <v>2307.949600529339</v>
      </c>
      <c r="Z51" s="27">
        <v>2240.0974445147071</v>
      </c>
    </row>
    <row r="52" spans="1:26">
      <c r="A52" s="27" t="s">
        <v>196</v>
      </c>
      <c r="B52" s="27" t="s">
        <v>268</v>
      </c>
      <c r="C52" s="27" t="s">
        <v>198</v>
      </c>
      <c r="D52" s="27" t="s">
        <v>1153</v>
      </c>
      <c r="E52" s="27" t="s">
        <v>75</v>
      </c>
      <c r="F52" s="27" t="s">
        <v>200</v>
      </c>
      <c r="G52" s="27">
        <v>29686.181700000001</v>
      </c>
      <c r="H52" s="27">
        <v>32690.5713</v>
      </c>
      <c r="I52" s="27">
        <v>34292.949200000003</v>
      </c>
      <c r="J52" s="27">
        <v>35177.357600000003</v>
      </c>
      <c r="K52" s="27">
        <v>28969.469799999999</v>
      </c>
      <c r="L52" s="27">
        <v>22179.986499999999</v>
      </c>
      <c r="M52" s="27">
        <v>16593.904200000001</v>
      </c>
      <c r="N52" s="27">
        <v>12227.907499999999</v>
      </c>
      <c r="O52" s="27">
        <v>8194.7705000000005</v>
      </c>
      <c r="P52" s="27">
        <v>4215.9966999999997</v>
      </c>
      <c r="Q52" s="27">
        <v>1996.4259999999999</v>
      </c>
      <c r="R52" s="27">
        <v>702.96900000000005</v>
      </c>
      <c r="S52" s="27" t="s">
        <v>200</v>
      </c>
      <c r="T52" s="27">
        <v>-292.97750000000002</v>
      </c>
      <c r="U52" s="27" t="s">
        <v>200</v>
      </c>
      <c r="V52" s="27">
        <v>-724.07320000000004</v>
      </c>
      <c r="W52" s="27" t="s">
        <v>200</v>
      </c>
      <c r="X52" s="27">
        <v>-1013.2689</v>
      </c>
      <c r="Y52" s="27" t="s">
        <v>200</v>
      </c>
      <c r="Z52" s="27">
        <v>-1556.7686000000001</v>
      </c>
    </row>
    <row r="53" spans="1:26">
      <c r="A53" s="27" t="s">
        <v>222</v>
      </c>
      <c r="B53" s="27" t="s">
        <v>269</v>
      </c>
      <c r="C53" s="27" t="s">
        <v>198</v>
      </c>
      <c r="D53" s="27" t="s">
        <v>1153</v>
      </c>
      <c r="E53" s="27" t="s">
        <v>75</v>
      </c>
      <c r="F53" s="27" t="s">
        <v>200</v>
      </c>
      <c r="G53" s="27">
        <v>29555.039799999999</v>
      </c>
      <c r="H53" s="27">
        <v>33421.561699999998</v>
      </c>
      <c r="I53" s="27">
        <v>35996.352400000003</v>
      </c>
      <c r="J53" s="27">
        <v>38613.127200000003</v>
      </c>
      <c r="K53" s="27">
        <v>31561.8626</v>
      </c>
      <c r="L53" s="27">
        <v>21501.1734</v>
      </c>
      <c r="M53" s="27">
        <v>14748.8099</v>
      </c>
      <c r="N53" s="27">
        <v>8324.8243000000002</v>
      </c>
      <c r="O53" s="27">
        <v>2034.3288</v>
      </c>
      <c r="P53" s="27">
        <v>-2553.5850999999998</v>
      </c>
      <c r="Q53" s="27">
        <v>-4743.5803999999998</v>
      </c>
      <c r="R53" s="27">
        <v>-6266.1305000000002</v>
      </c>
      <c r="S53" s="27" t="s">
        <v>200</v>
      </c>
      <c r="T53" s="27">
        <v>-8432.8788999999997</v>
      </c>
      <c r="U53" s="27" t="s">
        <v>200</v>
      </c>
      <c r="V53" s="27">
        <v>-9533.4706999999999</v>
      </c>
      <c r="W53" s="27" t="s">
        <v>200</v>
      </c>
      <c r="X53" s="27">
        <v>-10102.902099999999</v>
      </c>
      <c r="Y53" s="27" t="s">
        <v>200</v>
      </c>
      <c r="Z53" s="27">
        <v>-10467.072</v>
      </c>
    </row>
    <row r="54" spans="1:26">
      <c r="A54" s="27" t="s">
        <v>231</v>
      </c>
      <c r="B54" s="27" t="s">
        <v>270</v>
      </c>
      <c r="C54" s="27" t="s">
        <v>198</v>
      </c>
      <c r="D54" s="27" t="s">
        <v>1153</v>
      </c>
      <c r="E54" s="27" t="s">
        <v>75</v>
      </c>
      <c r="F54" s="27" t="s">
        <v>200</v>
      </c>
      <c r="G54" s="27">
        <v>29476.391097263899</v>
      </c>
      <c r="H54" s="27">
        <v>33546.410218734898</v>
      </c>
      <c r="I54" s="27">
        <v>35368.852645348597</v>
      </c>
      <c r="J54" s="27">
        <v>39342.814480696703</v>
      </c>
      <c r="K54" s="27">
        <v>31501.839606645499</v>
      </c>
      <c r="L54" s="27">
        <v>25165.560529115101</v>
      </c>
      <c r="M54" s="27">
        <v>17956.179563891299</v>
      </c>
      <c r="N54" s="27">
        <v>10451.0533164188</v>
      </c>
      <c r="O54" s="27">
        <v>2748.2578089713602</v>
      </c>
      <c r="P54" s="27">
        <v>-4815.8515381568204</v>
      </c>
      <c r="Q54" s="27">
        <v>-5373.8858937824798</v>
      </c>
      <c r="R54" s="27">
        <v>-5938.5435499228397</v>
      </c>
      <c r="S54" s="27">
        <v>-6318.0765383501102</v>
      </c>
      <c r="T54" s="27">
        <v>-6579.0065317402796</v>
      </c>
      <c r="U54" s="27">
        <v>-6765.7634396901203</v>
      </c>
      <c r="V54" s="27">
        <v>-6918.9408666034997</v>
      </c>
      <c r="W54" s="27">
        <v>-7039.7390397692598</v>
      </c>
      <c r="X54" s="27">
        <v>-7140.0152081016204</v>
      </c>
      <c r="Y54" s="27">
        <v>-7209.0806212150601</v>
      </c>
      <c r="Z54" s="27">
        <v>-7235.1112743737604</v>
      </c>
    </row>
    <row r="55" spans="1:26">
      <c r="A55" s="27" t="s">
        <v>231</v>
      </c>
      <c r="B55" s="27" t="s">
        <v>271</v>
      </c>
      <c r="C55" s="27" t="s">
        <v>198</v>
      </c>
      <c r="D55" s="27" t="s">
        <v>1153</v>
      </c>
      <c r="E55" s="27" t="s">
        <v>75</v>
      </c>
      <c r="F55" s="27" t="s">
        <v>200</v>
      </c>
      <c r="G55" s="27">
        <v>29476.3913593496</v>
      </c>
      <c r="H55" s="27">
        <v>33546.410714716301</v>
      </c>
      <c r="I55" s="27">
        <v>35368.854897295198</v>
      </c>
      <c r="J55" s="27">
        <v>39342.818681325902</v>
      </c>
      <c r="K55" s="27">
        <v>19422.135484663999</v>
      </c>
      <c r="L55" s="27">
        <v>-17.508899041712901</v>
      </c>
      <c r="M55" s="27">
        <v>4543.4282075354304</v>
      </c>
      <c r="N55" s="27">
        <v>3730.4795942333199</v>
      </c>
      <c r="O55" s="27">
        <v>3095.9749222155301</v>
      </c>
      <c r="P55" s="27">
        <v>2571.2111122487099</v>
      </c>
      <c r="Q55" s="27">
        <v>2110.94521252401</v>
      </c>
      <c r="R55" s="27">
        <v>1825.13212227538</v>
      </c>
      <c r="S55" s="27">
        <v>1614.3241509756999</v>
      </c>
      <c r="T55" s="27">
        <v>1396.9897077625801</v>
      </c>
      <c r="U55" s="27">
        <v>1205.1523651238699</v>
      </c>
      <c r="V55" s="27">
        <v>1071.3609312527001</v>
      </c>
      <c r="W55" s="27">
        <v>949.10456584776796</v>
      </c>
      <c r="X55" s="27">
        <v>865.22419677978098</v>
      </c>
      <c r="Y55" s="27">
        <v>812.34126367641898</v>
      </c>
      <c r="Z55" s="27">
        <v>776.43610518531204</v>
      </c>
    </row>
    <row r="56" spans="1:26">
      <c r="A56" s="27" t="s">
        <v>196</v>
      </c>
      <c r="B56" s="27" t="s">
        <v>273</v>
      </c>
      <c r="C56" s="27" t="s">
        <v>198</v>
      </c>
      <c r="D56" s="27" t="s">
        <v>1153</v>
      </c>
      <c r="E56" s="27" t="s">
        <v>75</v>
      </c>
      <c r="F56" s="27" t="s">
        <v>200</v>
      </c>
      <c r="G56" s="27" t="s">
        <v>200</v>
      </c>
      <c r="H56" s="27">
        <v>32718.319299999999</v>
      </c>
      <c r="I56" s="27">
        <v>34782.119500000001</v>
      </c>
      <c r="J56" s="27">
        <v>35483.043899999997</v>
      </c>
      <c r="K56" s="27">
        <v>27999.34</v>
      </c>
      <c r="L56" s="27">
        <v>19132.274600000001</v>
      </c>
      <c r="M56" s="27">
        <v>12509.4817</v>
      </c>
      <c r="N56" s="27">
        <v>7438.2503999999999</v>
      </c>
      <c r="O56" s="27">
        <v>3752.4922000000001</v>
      </c>
      <c r="P56" s="27">
        <v>1119.0482</v>
      </c>
      <c r="Q56" s="27">
        <v>-228.66419999999999</v>
      </c>
      <c r="R56" s="27">
        <v>-975.35730000000001</v>
      </c>
      <c r="S56" s="27" t="s">
        <v>200</v>
      </c>
      <c r="T56" s="27">
        <v>-1731.1316999999999</v>
      </c>
      <c r="U56" s="27" t="s">
        <v>200</v>
      </c>
      <c r="V56" s="27">
        <v>-1962.0758000000001</v>
      </c>
      <c r="W56" s="27" t="s">
        <v>200</v>
      </c>
      <c r="X56" s="27">
        <v>-2257.7019</v>
      </c>
      <c r="Y56" s="27" t="s">
        <v>200</v>
      </c>
      <c r="Z56" s="27">
        <v>-2642.1653000000001</v>
      </c>
    </row>
    <row r="57" spans="1:26">
      <c r="A57" s="27" t="s">
        <v>226</v>
      </c>
      <c r="B57" s="27" t="s">
        <v>274</v>
      </c>
      <c r="C57" s="27" t="s">
        <v>198</v>
      </c>
      <c r="D57" s="27" t="s">
        <v>1153</v>
      </c>
      <c r="E57" s="27" t="s">
        <v>75</v>
      </c>
      <c r="F57" s="27" t="s">
        <v>200</v>
      </c>
      <c r="G57" s="27">
        <v>29273.0245</v>
      </c>
      <c r="H57" s="27">
        <v>33224.452599999997</v>
      </c>
      <c r="I57" s="27">
        <v>37891.760499999997</v>
      </c>
      <c r="J57" s="27">
        <v>36730.61</v>
      </c>
      <c r="K57" s="27">
        <v>32968.449999999997</v>
      </c>
      <c r="L57" s="27">
        <v>29925.56</v>
      </c>
      <c r="M57" s="27">
        <v>26677.99</v>
      </c>
      <c r="N57" s="27">
        <v>23489.9</v>
      </c>
      <c r="O57" s="27">
        <v>19359.900000000001</v>
      </c>
      <c r="P57" s="27">
        <v>15714.29</v>
      </c>
      <c r="Q57" s="27">
        <v>12272.22</v>
      </c>
      <c r="R57" s="27">
        <v>9211.2340000000004</v>
      </c>
      <c r="S57" s="27" t="s">
        <v>200</v>
      </c>
      <c r="T57" s="27">
        <v>4112.9030000000002</v>
      </c>
      <c r="U57" s="27" t="s">
        <v>200</v>
      </c>
      <c r="V57" s="27">
        <v>544.23680000000002</v>
      </c>
      <c r="W57" s="27" t="s">
        <v>200</v>
      </c>
      <c r="X57" s="27">
        <v>-2496.491</v>
      </c>
      <c r="Y57" s="27" t="s">
        <v>200</v>
      </c>
      <c r="Z57" s="27">
        <v>-4562.9609999999984</v>
      </c>
    </row>
    <row r="58" spans="1:26">
      <c r="A58" s="27" t="s">
        <v>196</v>
      </c>
      <c r="B58" s="27" t="s">
        <v>275</v>
      </c>
      <c r="C58" s="27" t="s">
        <v>198</v>
      </c>
      <c r="D58" s="27" t="s">
        <v>1153</v>
      </c>
      <c r="E58" s="27" t="s">
        <v>75</v>
      </c>
      <c r="F58" s="27" t="s">
        <v>200</v>
      </c>
      <c r="G58" s="27">
        <v>29686.181700000001</v>
      </c>
      <c r="H58" s="27">
        <v>32688.0854</v>
      </c>
      <c r="I58" s="27">
        <v>34285.130599999997</v>
      </c>
      <c r="J58" s="27">
        <v>35158.923300000002</v>
      </c>
      <c r="K58" s="27">
        <v>29930.270499999999</v>
      </c>
      <c r="L58" s="27">
        <v>23216.786400000001</v>
      </c>
      <c r="M58" s="27">
        <v>16445.888299999999</v>
      </c>
      <c r="N58" s="27">
        <v>10630.637500000001</v>
      </c>
      <c r="O58" s="27">
        <v>5655.3311999999996</v>
      </c>
      <c r="P58" s="27">
        <v>1311.5753</v>
      </c>
      <c r="Q58" s="27">
        <v>-952.8356</v>
      </c>
      <c r="R58" s="27">
        <v>-2127.0754000000002</v>
      </c>
      <c r="S58" s="27" t="s">
        <v>200</v>
      </c>
      <c r="T58" s="27">
        <v>-3224.6779999999999</v>
      </c>
      <c r="U58" s="27" t="s">
        <v>200</v>
      </c>
      <c r="V58" s="27">
        <v>-3573.9901</v>
      </c>
      <c r="W58" s="27" t="s">
        <v>200</v>
      </c>
      <c r="X58" s="27">
        <v>-4073.7435999999998</v>
      </c>
      <c r="Y58" s="27" t="s">
        <v>200</v>
      </c>
      <c r="Z58" s="27">
        <v>-4834.8060999999998</v>
      </c>
    </row>
    <row r="59" spans="1:26">
      <c r="A59" s="27" t="s">
        <v>261</v>
      </c>
      <c r="B59" s="27" t="s">
        <v>276</v>
      </c>
      <c r="C59" s="27" t="s">
        <v>198</v>
      </c>
      <c r="D59" s="27" t="s">
        <v>1153</v>
      </c>
      <c r="E59" s="27" t="s">
        <v>75</v>
      </c>
      <c r="F59" s="27" t="s">
        <v>200</v>
      </c>
      <c r="G59" s="27">
        <v>28240.375762939449</v>
      </c>
      <c r="H59" s="27">
        <v>32430.217468261719</v>
      </c>
      <c r="I59" s="27">
        <v>34944.964660644531</v>
      </c>
      <c r="J59" s="27">
        <v>36273.058044433586</v>
      </c>
      <c r="K59" s="27">
        <v>33567.300689697273</v>
      </c>
      <c r="L59" s="27">
        <v>20993.320724487301</v>
      </c>
      <c r="M59" s="27">
        <v>12639.247917175289</v>
      </c>
      <c r="N59" s="27">
        <v>7456.6912155151367</v>
      </c>
      <c r="O59" s="27">
        <v>3680.1990766525269</v>
      </c>
      <c r="P59" s="27">
        <v>1582.411055326462</v>
      </c>
      <c r="Q59" s="27">
        <v>992.99887371063244</v>
      </c>
      <c r="R59" s="27">
        <v>119.2155933380127</v>
      </c>
      <c r="S59" s="27">
        <v>-229.28592300415039</v>
      </c>
      <c r="T59" s="27">
        <v>193.16052114963529</v>
      </c>
      <c r="U59" s="27">
        <v>223.323286652565</v>
      </c>
      <c r="V59" s="27">
        <v>-234.48927080631259</v>
      </c>
      <c r="W59" s="27">
        <v>-537.17235541343689</v>
      </c>
      <c r="X59" s="27">
        <v>-567.96593499183655</v>
      </c>
      <c r="Y59" s="27">
        <v>-512.33272659778595</v>
      </c>
      <c r="Z59" s="27">
        <v>-450.67715167999268</v>
      </c>
    </row>
    <row r="60" spans="1:26">
      <c r="A60" s="27" t="s">
        <v>218</v>
      </c>
      <c r="B60" s="27" t="s">
        <v>256</v>
      </c>
      <c r="C60" s="27" t="s">
        <v>198</v>
      </c>
      <c r="D60" s="27" t="s">
        <v>1153</v>
      </c>
      <c r="E60" s="27" t="s">
        <v>75</v>
      </c>
      <c r="F60" s="27" t="s">
        <v>200</v>
      </c>
      <c r="G60" s="27">
        <v>29273.0245</v>
      </c>
      <c r="H60" s="27">
        <v>31937.093499999999</v>
      </c>
      <c r="I60" s="27">
        <v>35928.633300000001</v>
      </c>
      <c r="J60" s="27">
        <v>38403.442600000002</v>
      </c>
      <c r="K60" s="27">
        <v>32070.11</v>
      </c>
      <c r="L60" s="27">
        <v>24741.15</v>
      </c>
      <c r="M60" s="27">
        <v>17806.07</v>
      </c>
      <c r="N60" s="27">
        <v>12628.49</v>
      </c>
      <c r="O60" s="27">
        <v>7851.0749999999998</v>
      </c>
      <c r="P60" s="27">
        <v>3658.1570000000002</v>
      </c>
      <c r="Q60" s="27">
        <v>2.9946000000000002</v>
      </c>
      <c r="R60" s="27">
        <v>-2924.18</v>
      </c>
      <c r="S60" s="27" t="s">
        <v>200</v>
      </c>
      <c r="T60" s="27">
        <v>-6910.2259999999997</v>
      </c>
      <c r="U60" s="27" t="s">
        <v>200</v>
      </c>
      <c r="V60" s="27">
        <v>-8897.3220000000001</v>
      </c>
      <c r="W60" s="27" t="s">
        <v>200</v>
      </c>
      <c r="X60" s="27">
        <v>-9838.8539999999994</v>
      </c>
      <c r="Y60" s="27" t="s">
        <v>200</v>
      </c>
      <c r="Z60" s="27">
        <v>-10965.64</v>
      </c>
    </row>
    <row r="61" spans="1:26">
      <c r="A61" s="27" t="s">
        <v>203</v>
      </c>
      <c r="B61" s="27" t="s">
        <v>277</v>
      </c>
      <c r="C61" s="27" t="s">
        <v>198</v>
      </c>
      <c r="D61" s="27" t="s">
        <v>1153</v>
      </c>
      <c r="E61" s="27" t="s">
        <v>75</v>
      </c>
      <c r="F61" s="27" t="s">
        <v>200</v>
      </c>
      <c r="G61" s="27">
        <v>30505.4542</v>
      </c>
      <c r="H61" s="27">
        <v>33285.080300000001</v>
      </c>
      <c r="I61" s="27">
        <v>34835.022100000002</v>
      </c>
      <c r="J61" s="27">
        <v>35221.104099999997</v>
      </c>
      <c r="K61" s="27">
        <v>30390.173200000001</v>
      </c>
      <c r="L61" s="27">
        <v>24503.891</v>
      </c>
      <c r="M61" s="27">
        <v>17325.179499999998</v>
      </c>
      <c r="N61" s="27">
        <v>10914.403200000001</v>
      </c>
      <c r="O61" s="27">
        <v>5630.2963</v>
      </c>
      <c r="P61" s="27">
        <v>414.15600000000001</v>
      </c>
      <c r="Q61" s="27">
        <v>-3403.6585</v>
      </c>
      <c r="R61" s="27">
        <v>-6116.0460000000003</v>
      </c>
      <c r="S61" s="27" t="s">
        <v>200</v>
      </c>
      <c r="T61" s="27">
        <v>-9189.7603999999992</v>
      </c>
      <c r="U61" s="27" t="s">
        <v>200</v>
      </c>
      <c r="V61" s="27">
        <v>-9823.1535999999996</v>
      </c>
      <c r="W61" s="27" t="s">
        <v>200</v>
      </c>
      <c r="X61" s="27">
        <v>-9054.5774000000001</v>
      </c>
      <c r="Y61" s="27" t="s">
        <v>200</v>
      </c>
      <c r="Z61" s="27">
        <v>-8578.5668000000005</v>
      </c>
    </row>
    <row r="62" spans="1:26">
      <c r="A62" s="27" t="s">
        <v>203</v>
      </c>
      <c r="B62" s="27" t="s">
        <v>278</v>
      </c>
      <c r="C62" s="27" t="s">
        <v>198</v>
      </c>
      <c r="D62" s="27" t="s">
        <v>1153</v>
      </c>
      <c r="E62" s="27" t="s">
        <v>75</v>
      </c>
      <c r="F62" s="27" t="s">
        <v>200</v>
      </c>
      <c r="G62" s="27">
        <v>29686.181700000001</v>
      </c>
      <c r="H62" s="27">
        <v>32772.067000000003</v>
      </c>
      <c r="I62" s="27">
        <v>34408.150699999998</v>
      </c>
      <c r="J62" s="27">
        <v>34924.649799999999</v>
      </c>
      <c r="K62" s="27">
        <v>29478.571800000002</v>
      </c>
      <c r="L62" s="27">
        <v>24990.7556</v>
      </c>
      <c r="M62" s="27">
        <v>18471.344499999999</v>
      </c>
      <c r="N62" s="27">
        <v>10254.3068</v>
      </c>
      <c r="O62" s="27">
        <v>4143.6853000000001</v>
      </c>
      <c r="P62" s="27">
        <v>-445.10270000000003</v>
      </c>
      <c r="Q62" s="27">
        <v>-2068.9512</v>
      </c>
      <c r="R62" s="27">
        <v>-2453.6046999999999</v>
      </c>
      <c r="S62" s="27" t="s">
        <v>200</v>
      </c>
      <c r="T62" s="27">
        <v>-2749.5113999999999</v>
      </c>
      <c r="U62" s="27" t="s">
        <v>200</v>
      </c>
      <c r="V62" s="27">
        <v>-2655.8132999999998</v>
      </c>
      <c r="W62" s="27" t="s">
        <v>200</v>
      </c>
      <c r="X62" s="27">
        <v>-2989.7469000000001</v>
      </c>
      <c r="Y62" s="27" t="s">
        <v>200</v>
      </c>
      <c r="Z62" s="27">
        <v>-4169.5015000000003</v>
      </c>
    </row>
    <row r="63" spans="1:26">
      <c r="A63" s="27" t="s">
        <v>196</v>
      </c>
      <c r="B63" s="27" t="s">
        <v>279</v>
      </c>
      <c r="C63" s="27" t="s">
        <v>198</v>
      </c>
      <c r="D63" s="27" t="s">
        <v>1153</v>
      </c>
      <c r="E63" s="27" t="s">
        <v>75</v>
      </c>
      <c r="F63" s="27" t="s">
        <v>200</v>
      </c>
      <c r="G63" s="27">
        <v>29686.181700000001</v>
      </c>
      <c r="H63" s="27">
        <v>32688.0854</v>
      </c>
      <c r="I63" s="27">
        <v>34285.130599999997</v>
      </c>
      <c r="J63" s="27">
        <v>35158.923300000002</v>
      </c>
      <c r="K63" s="27">
        <v>28403.9663</v>
      </c>
      <c r="L63" s="27">
        <v>21735.793799999999</v>
      </c>
      <c r="M63" s="27">
        <v>15855.288699999999</v>
      </c>
      <c r="N63" s="27">
        <v>10994.0715</v>
      </c>
      <c r="O63" s="27">
        <v>6439.5351000000001</v>
      </c>
      <c r="P63" s="27">
        <v>2378.3411000000001</v>
      </c>
      <c r="Q63" s="27">
        <v>-151.65190000000001</v>
      </c>
      <c r="R63" s="27">
        <v>-2015.6142</v>
      </c>
      <c r="S63" s="27" t="s">
        <v>200</v>
      </c>
      <c r="T63" s="27">
        <v>-3978.4131000000002</v>
      </c>
      <c r="U63" s="27" t="s">
        <v>200</v>
      </c>
      <c r="V63" s="27">
        <v>-4593.2704000000003</v>
      </c>
      <c r="W63" s="27" t="s">
        <v>200</v>
      </c>
      <c r="X63" s="27">
        <v>-4995.5474000000004</v>
      </c>
      <c r="Y63" s="27" t="s">
        <v>200</v>
      </c>
      <c r="Z63" s="27">
        <v>-5628.1990999999998</v>
      </c>
    </row>
    <row r="64" spans="1:26">
      <c r="A64" s="27" t="s">
        <v>257</v>
      </c>
      <c r="B64" s="27" t="s">
        <v>280</v>
      </c>
      <c r="C64" s="27" t="s">
        <v>198</v>
      </c>
      <c r="D64" s="27" t="s">
        <v>1153</v>
      </c>
      <c r="E64" s="27" t="s">
        <v>75</v>
      </c>
      <c r="F64" s="27" t="s">
        <v>200</v>
      </c>
      <c r="G64" s="27" t="s">
        <v>200</v>
      </c>
      <c r="H64" s="27">
        <v>32767.2853</v>
      </c>
      <c r="I64" s="27">
        <v>35223.705199999997</v>
      </c>
      <c r="J64" s="27">
        <v>39016.614000000001</v>
      </c>
      <c r="K64" s="27">
        <v>30362.620699999999</v>
      </c>
      <c r="L64" s="27">
        <v>22898.3639</v>
      </c>
      <c r="M64" s="27">
        <v>16987.515500000001</v>
      </c>
      <c r="N64" s="27">
        <v>12955.0281</v>
      </c>
      <c r="O64" s="27">
        <v>9077.0426000000007</v>
      </c>
      <c r="P64" s="27">
        <v>5067.3905999999997</v>
      </c>
      <c r="Q64" s="27">
        <v>4445.6211999999996</v>
      </c>
      <c r="R64" s="27">
        <v>3902.8424</v>
      </c>
      <c r="S64" s="27">
        <v>3353.7532999999999</v>
      </c>
      <c r="T64" s="27">
        <v>2866.2664</v>
      </c>
      <c r="U64" s="27">
        <v>2445.1091999999999</v>
      </c>
      <c r="V64" s="27">
        <v>2091.3917000000001</v>
      </c>
      <c r="W64" s="27">
        <v>1801.6611</v>
      </c>
      <c r="X64" s="27">
        <v>1565.0632000000001</v>
      </c>
      <c r="Y64" s="27">
        <v>1370.7598</v>
      </c>
      <c r="Z64" s="27">
        <v>1210.6433999999999</v>
      </c>
    </row>
    <row r="65" spans="1:26">
      <c r="A65" s="27" t="s">
        <v>211</v>
      </c>
      <c r="B65" s="27" t="s">
        <v>240</v>
      </c>
      <c r="C65" s="27" t="s">
        <v>198</v>
      </c>
      <c r="D65" s="27" t="s">
        <v>1153</v>
      </c>
      <c r="E65" s="27" t="s">
        <v>75</v>
      </c>
      <c r="F65" s="27" t="s">
        <v>200</v>
      </c>
      <c r="G65" s="27">
        <v>30872.6830935</v>
      </c>
      <c r="H65" s="27">
        <v>33151.923896499997</v>
      </c>
      <c r="I65" s="27" t="s">
        <v>200</v>
      </c>
      <c r="J65" s="27">
        <v>36454.559353500008</v>
      </c>
      <c r="K65" s="27" t="s">
        <v>200</v>
      </c>
      <c r="L65" s="27">
        <v>22911.514291</v>
      </c>
      <c r="M65" s="27" t="s">
        <v>200</v>
      </c>
      <c r="N65" s="27">
        <v>13019.7939295</v>
      </c>
      <c r="O65" s="27" t="s">
        <v>200</v>
      </c>
      <c r="P65" s="27">
        <v>6064.3634332000001</v>
      </c>
      <c r="Q65" s="27" t="s">
        <v>200</v>
      </c>
      <c r="R65" s="27">
        <v>1875.6038191</v>
      </c>
      <c r="S65" s="27" t="s">
        <v>200</v>
      </c>
      <c r="T65" s="27">
        <v>-2972.9245717999988</v>
      </c>
      <c r="U65" s="27" t="s">
        <v>200</v>
      </c>
      <c r="V65" s="27">
        <v>-6872.4220681999986</v>
      </c>
      <c r="W65" s="27" t="s">
        <v>200</v>
      </c>
      <c r="X65" s="27">
        <v>-8159.4712306000001</v>
      </c>
      <c r="Y65" s="27" t="s">
        <v>200</v>
      </c>
      <c r="Z65" s="27">
        <v>-8886.5743304000007</v>
      </c>
    </row>
    <row r="66" spans="1:26">
      <c r="A66" s="27" t="s">
        <v>203</v>
      </c>
      <c r="B66" s="27" t="s">
        <v>281</v>
      </c>
      <c r="C66" s="27" t="s">
        <v>198</v>
      </c>
      <c r="D66" s="27" t="s">
        <v>1153</v>
      </c>
      <c r="E66" s="27" t="s">
        <v>75</v>
      </c>
      <c r="F66" s="27" t="s">
        <v>200</v>
      </c>
      <c r="G66" s="27">
        <v>29686.181700000001</v>
      </c>
      <c r="H66" s="27">
        <v>32772.067000000003</v>
      </c>
      <c r="I66" s="27">
        <v>34408.150699999998</v>
      </c>
      <c r="J66" s="27">
        <v>34924.649799999999</v>
      </c>
      <c r="K66" s="27">
        <v>29880.5236</v>
      </c>
      <c r="L66" s="27">
        <v>23833.596399999999</v>
      </c>
      <c r="M66" s="27">
        <v>16738.572700000001</v>
      </c>
      <c r="N66" s="27">
        <v>10162.291999999999</v>
      </c>
      <c r="O66" s="27">
        <v>5286.4758000000002</v>
      </c>
      <c r="P66" s="27">
        <v>1153.3716999999999</v>
      </c>
      <c r="Q66" s="27">
        <v>-980.6386</v>
      </c>
      <c r="R66" s="27">
        <v>-2074.2381</v>
      </c>
      <c r="S66" s="27" t="s">
        <v>200</v>
      </c>
      <c r="T66" s="27">
        <v>-3185.5520000000001</v>
      </c>
      <c r="U66" s="27" t="s">
        <v>200</v>
      </c>
      <c r="V66" s="27">
        <v>-3576.4328</v>
      </c>
      <c r="W66" s="27" t="s">
        <v>200</v>
      </c>
      <c r="X66" s="27">
        <v>-4168.3765999999996</v>
      </c>
      <c r="Y66" s="27" t="s">
        <v>200</v>
      </c>
      <c r="Z66" s="27">
        <v>-5226.8055999999997</v>
      </c>
    </row>
    <row r="67" spans="1:26">
      <c r="A67" s="27" t="s">
        <v>282</v>
      </c>
      <c r="B67" s="27" t="s">
        <v>283</v>
      </c>
      <c r="C67" s="27" t="s">
        <v>198</v>
      </c>
      <c r="D67" s="27" t="s">
        <v>1153</v>
      </c>
      <c r="E67" s="27" t="s">
        <v>75</v>
      </c>
      <c r="F67" s="27" t="s">
        <v>200</v>
      </c>
      <c r="G67" s="27" t="s">
        <v>200</v>
      </c>
      <c r="H67" s="27">
        <v>33161.588080258283</v>
      </c>
      <c r="I67" s="27">
        <v>37353.234950565507</v>
      </c>
      <c r="J67" s="27">
        <v>36804.182278657747</v>
      </c>
      <c r="K67" s="27" t="s">
        <v>200</v>
      </c>
      <c r="L67" s="27">
        <v>16071.176489293741</v>
      </c>
      <c r="M67" s="27" t="s">
        <v>200</v>
      </c>
      <c r="N67" s="27">
        <v>7878.8139821480236</v>
      </c>
      <c r="O67" s="27" t="s">
        <v>200</v>
      </c>
      <c r="P67" s="27">
        <v>3968.1707876033211</v>
      </c>
      <c r="Q67" s="27" t="s">
        <v>200</v>
      </c>
      <c r="R67" s="27">
        <v>2566.8425250424962</v>
      </c>
      <c r="S67" s="27" t="s">
        <v>200</v>
      </c>
      <c r="T67" s="27">
        <v>1762.2888351001591</v>
      </c>
      <c r="U67" s="27" t="s">
        <v>200</v>
      </c>
      <c r="V67" s="27">
        <v>1299.9514332651061</v>
      </c>
      <c r="W67" s="27" t="s">
        <v>200</v>
      </c>
      <c r="X67" s="27">
        <v>1144.3386143040291</v>
      </c>
      <c r="Y67" s="27" t="s">
        <v>200</v>
      </c>
      <c r="Z67" s="27">
        <v>1123.8084899224871</v>
      </c>
    </row>
    <row r="68" spans="1:26">
      <c r="A68" s="27" t="s">
        <v>203</v>
      </c>
      <c r="B68" s="27" t="s">
        <v>284</v>
      </c>
      <c r="C68" s="27" t="s">
        <v>198</v>
      </c>
      <c r="D68" s="27" t="s">
        <v>1153</v>
      </c>
      <c r="E68" s="27" t="s">
        <v>75</v>
      </c>
      <c r="F68" s="27" t="s">
        <v>200</v>
      </c>
      <c r="G68" s="27">
        <v>29686.181700000001</v>
      </c>
      <c r="H68" s="27">
        <v>32772.067000000003</v>
      </c>
      <c r="I68" s="27">
        <v>34408.150699999998</v>
      </c>
      <c r="J68" s="27">
        <v>34924.649799999999</v>
      </c>
      <c r="K68" s="27">
        <v>28225.761699999999</v>
      </c>
      <c r="L68" s="27">
        <v>22478.945500000002</v>
      </c>
      <c r="M68" s="27">
        <v>16209.973099999999</v>
      </c>
      <c r="N68" s="27">
        <v>10550.939</v>
      </c>
      <c r="O68" s="27">
        <v>5984.5517</v>
      </c>
      <c r="P68" s="27">
        <v>1938.6027999999999</v>
      </c>
      <c r="Q68" s="27">
        <v>-547.39840000000004</v>
      </c>
      <c r="R68" s="27">
        <v>-2262.5162999999998</v>
      </c>
      <c r="S68" s="27" t="s">
        <v>200</v>
      </c>
      <c r="T68" s="27">
        <v>-4065.0329999999999</v>
      </c>
      <c r="U68" s="27" t="s">
        <v>200</v>
      </c>
      <c r="V68" s="27">
        <v>-4633.1651000000002</v>
      </c>
      <c r="W68" s="27" t="s">
        <v>200</v>
      </c>
      <c r="X68" s="27">
        <v>-5080.6673000000001</v>
      </c>
      <c r="Y68" s="27" t="s">
        <v>200</v>
      </c>
      <c r="Z68" s="27">
        <v>-5661.9134000000004</v>
      </c>
    </row>
    <row r="69" spans="1:26">
      <c r="A69" s="27" t="s">
        <v>203</v>
      </c>
      <c r="B69" s="27" t="s">
        <v>285</v>
      </c>
      <c r="C69" s="27" t="s">
        <v>198</v>
      </c>
      <c r="D69" s="27" t="s">
        <v>1153</v>
      </c>
      <c r="E69" s="27" t="s">
        <v>75</v>
      </c>
      <c r="F69" s="27" t="s">
        <v>200</v>
      </c>
      <c r="G69" s="27">
        <v>30505.4542</v>
      </c>
      <c r="H69" s="27">
        <v>33284.161599999999</v>
      </c>
      <c r="I69" s="27">
        <v>34823.913699999997</v>
      </c>
      <c r="J69" s="27">
        <v>35198.894</v>
      </c>
      <c r="K69" s="27">
        <v>28678.149600000001</v>
      </c>
      <c r="L69" s="27">
        <v>24020.187600000001</v>
      </c>
      <c r="M69" s="27">
        <v>19177.2304</v>
      </c>
      <c r="N69" s="27">
        <v>15085.2595</v>
      </c>
      <c r="O69" s="27">
        <v>11995.9112</v>
      </c>
      <c r="P69" s="27">
        <v>8750.4721000000009</v>
      </c>
      <c r="Q69" s="27">
        <v>5891.8726999999999</v>
      </c>
      <c r="R69" s="27">
        <v>3133.5839000000001</v>
      </c>
      <c r="S69" s="27" t="s">
        <v>200</v>
      </c>
      <c r="T69" s="27">
        <v>-947.28399999999999</v>
      </c>
      <c r="U69" s="27" t="s">
        <v>200</v>
      </c>
      <c r="V69" s="27">
        <v>-3524.8921999999998</v>
      </c>
      <c r="W69" s="27" t="s">
        <v>200</v>
      </c>
      <c r="X69" s="27">
        <v>-5012.6283000000003</v>
      </c>
      <c r="Y69" s="27" t="s">
        <v>200</v>
      </c>
      <c r="Z69" s="27">
        <v>-6419.8944000000001</v>
      </c>
    </row>
    <row r="70" spans="1:26">
      <c r="A70" s="27" t="s">
        <v>196</v>
      </c>
      <c r="B70" s="27" t="s">
        <v>286</v>
      </c>
      <c r="C70" s="27" t="s">
        <v>198</v>
      </c>
      <c r="D70" s="27" t="s">
        <v>1153</v>
      </c>
      <c r="E70" s="27" t="s">
        <v>75</v>
      </c>
      <c r="F70" s="27" t="s">
        <v>200</v>
      </c>
      <c r="G70" s="27">
        <v>29686.181700000001</v>
      </c>
      <c r="H70" s="27">
        <v>32690.5713</v>
      </c>
      <c r="I70" s="27">
        <v>34292.949200000003</v>
      </c>
      <c r="J70" s="27">
        <v>35177.357600000003</v>
      </c>
      <c r="K70" s="27">
        <v>25062.9771</v>
      </c>
      <c r="L70" s="27">
        <v>14749.352800000001</v>
      </c>
      <c r="M70" s="27">
        <v>9387.259</v>
      </c>
      <c r="N70" s="27">
        <v>4049.0295999999998</v>
      </c>
      <c r="O70" s="27">
        <v>2311.8532</v>
      </c>
      <c r="P70" s="27">
        <v>2038.9638</v>
      </c>
      <c r="Q70" s="27">
        <v>2221.7413000000001</v>
      </c>
      <c r="R70" s="27">
        <v>1711.5452</v>
      </c>
      <c r="S70" s="27" t="s">
        <v>200</v>
      </c>
      <c r="T70" s="27">
        <v>1247.7565999999999</v>
      </c>
      <c r="U70" s="27" t="s">
        <v>200</v>
      </c>
      <c r="V70" s="27">
        <v>1360.1815999999999</v>
      </c>
      <c r="W70" s="27" t="s">
        <v>200</v>
      </c>
      <c r="X70" s="27">
        <v>1398.7806</v>
      </c>
      <c r="Y70" s="27" t="s">
        <v>200</v>
      </c>
      <c r="Z70" s="27">
        <v>1559.2897</v>
      </c>
    </row>
    <row r="71" spans="1:26">
      <c r="A71" s="27" t="s">
        <v>282</v>
      </c>
      <c r="B71" s="27" t="s">
        <v>243</v>
      </c>
      <c r="C71" s="27" t="s">
        <v>198</v>
      </c>
      <c r="D71" s="27" t="s">
        <v>1153</v>
      </c>
      <c r="E71" s="27" t="s">
        <v>75</v>
      </c>
      <c r="F71" s="27">
        <v>26469.2741105321</v>
      </c>
      <c r="G71" s="27">
        <v>30784.244953380901</v>
      </c>
      <c r="H71" s="27">
        <v>33161.588091442412</v>
      </c>
      <c r="I71" s="27" t="s">
        <v>200</v>
      </c>
      <c r="J71" s="27">
        <v>35153.604858398401</v>
      </c>
      <c r="K71" s="27" t="s">
        <v>200</v>
      </c>
      <c r="L71" s="27">
        <v>21833.0565567017</v>
      </c>
      <c r="M71" s="27" t="s">
        <v>200</v>
      </c>
      <c r="N71" s="27">
        <v>11911.9777304331</v>
      </c>
      <c r="O71" s="27" t="s">
        <v>200</v>
      </c>
      <c r="P71" s="27">
        <v>4222.9937071800196</v>
      </c>
      <c r="Q71" s="27" t="s">
        <v>200</v>
      </c>
      <c r="R71" s="27">
        <v>-3750.5781515439289</v>
      </c>
      <c r="S71" s="27" t="s">
        <v>200</v>
      </c>
      <c r="T71" s="27">
        <v>-7886.914308150609</v>
      </c>
      <c r="U71" s="27" t="s">
        <v>200</v>
      </c>
      <c r="V71" s="27">
        <v>-9938.1906378467902</v>
      </c>
      <c r="W71" s="27" t="s">
        <v>200</v>
      </c>
      <c r="X71" s="27">
        <v>-11505.797013864199</v>
      </c>
      <c r="Y71" s="27" t="s">
        <v>200</v>
      </c>
      <c r="Z71" s="27">
        <v>-13050.518776823699</v>
      </c>
    </row>
    <row r="72" spans="1:26">
      <c r="A72" s="27" t="s">
        <v>207</v>
      </c>
      <c r="B72" s="27" t="s">
        <v>202</v>
      </c>
      <c r="C72" s="27" t="s">
        <v>198</v>
      </c>
      <c r="D72" s="27" t="s">
        <v>1153</v>
      </c>
      <c r="E72" s="27" t="s">
        <v>75</v>
      </c>
      <c r="F72" s="27">
        <v>26469.274100257051</v>
      </c>
      <c r="G72" s="27">
        <v>30784.244921158999</v>
      </c>
      <c r="H72" s="27">
        <v>33161.588080258269</v>
      </c>
      <c r="I72" s="27">
        <v>37419.73414582487</v>
      </c>
      <c r="J72" s="27">
        <v>36716.205387277827</v>
      </c>
      <c r="K72" s="27">
        <v>25951.293261512361</v>
      </c>
      <c r="L72" s="27">
        <v>20082.165208871749</v>
      </c>
      <c r="M72" s="27">
        <v>15334.72625467834</v>
      </c>
      <c r="N72" s="27">
        <v>11877.085672507579</v>
      </c>
      <c r="O72" s="27">
        <v>8863.0312376391103</v>
      </c>
      <c r="P72" s="27">
        <v>6411.0312529054127</v>
      </c>
      <c r="Q72" s="27">
        <v>4666.6368709870349</v>
      </c>
      <c r="R72" s="27">
        <v>3512.9946288629872</v>
      </c>
      <c r="S72" s="27" t="s">
        <v>200</v>
      </c>
      <c r="T72" s="27">
        <v>4078.890672569928</v>
      </c>
      <c r="U72" s="27" t="s">
        <v>200</v>
      </c>
      <c r="V72" s="27">
        <v>5122.4325452379398</v>
      </c>
      <c r="W72" s="27" t="s">
        <v>200</v>
      </c>
      <c r="X72" s="27">
        <v>5677.176998857175</v>
      </c>
      <c r="Y72" s="27" t="s">
        <v>200</v>
      </c>
      <c r="Z72" s="27">
        <v>5865.7220303386093</v>
      </c>
    </row>
    <row r="73" spans="1:26">
      <c r="A73" s="27" t="s">
        <v>207</v>
      </c>
      <c r="B73" s="27" t="s">
        <v>273</v>
      </c>
      <c r="C73" s="27" t="s">
        <v>198</v>
      </c>
      <c r="D73" s="27" t="s">
        <v>1153</v>
      </c>
      <c r="E73" s="27" t="s">
        <v>75</v>
      </c>
      <c r="F73" s="27" t="s">
        <v>200</v>
      </c>
      <c r="G73" s="27" t="s">
        <v>200</v>
      </c>
      <c r="H73" s="27">
        <v>33161.588080000001</v>
      </c>
      <c r="I73" s="27">
        <v>37419.734149999997</v>
      </c>
      <c r="J73" s="27">
        <v>36716.205390000003</v>
      </c>
      <c r="K73" s="27">
        <v>25410.188689999999</v>
      </c>
      <c r="L73" s="27">
        <v>18911.686379999999</v>
      </c>
      <c r="M73" s="27">
        <v>13748.23503</v>
      </c>
      <c r="N73" s="27">
        <v>10308.80969</v>
      </c>
      <c r="O73" s="27">
        <v>7495.3495149999999</v>
      </c>
      <c r="P73" s="27">
        <v>5182.3684910000002</v>
      </c>
      <c r="Q73" s="27">
        <v>3739.3021910000002</v>
      </c>
      <c r="R73" s="27">
        <v>3487.7447360000001</v>
      </c>
      <c r="S73" s="27" t="s">
        <v>200</v>
      </c>
      <c r="T73" s="27">
        <v>4054.717975</v>
      </c>
      <c r="U73" s="27" t="s">
        <v>200</v>
      </c>
      <c r="V73" s="27">
        <v>4997.869181</v>
      </c>
      <c r="W73" s="27" t="s">
        <v>200</v>
      </c>
      <c r="X73" s="27">
        <v>5497.5853719999996</v>
      </c>
      <c r="Y73" s="27" t="s">
        <v>200</v>
      </c>
      <c r="Z73" s="27">
        <v>5390.5557799999997</v>
      </c>
    </row>
    <row r="74" spans="1:26">
      <c r="A74" s="27" t="s">
        <v>247</v>
      </c>
      <c r="B74" s="27" t="s">
        <v>288</v>
      </c>
      <c r="C74" s="27" t="s">
        <v>198</v>
      </c>
      <c r="D74" s="27" t="s">
        <v>1153</v>
      </c>
      <c r="E74" s="27" t="s">
        <v>75</v>
      </c>
      <c r="F74" s="27">
        <v>24347.46484375</v>
      </c>
      <c r="G74" s="27">
        <v>28679.248046875</v>
      </c>
      <c r="H74" s="27">
        <v>32416.009765625</v>
      </c>
      <c r="I74" s="27" t="s">
        <v>200</v>
      </c>
      <c r="J74" s="27">
        <v>37963.609375</v>
      </c>
      <c r="K74" s="27" t="s">
        <v>200</v>
      </c>
      <c r="L74" s="27">
        <v>25488.837890625</v>
      </c>
      <c r="M74" s="27" t="s">
        <v>200</v>
      </c>
      <c r="N74" s="27">
        <v>18031.51953125</v>
      </c>
      <c r="O74" s="27" t="s">
        <v>200</v>
      </c>
      <c r="P74" s="27">
        <v>10790.6689453125</v>
      </c>
      <c r="Q74" s="27" t="s">
        <v>200</v>
      </c>
      <c r="R74" s="27">
        <v>3404.89086914062</v>
      </c>
      <c r="S74" s="27" t="s">
        <v>200</v>
      </c>
      <c r="T74" s="27">
        <v>-773.20379638671909</v>
      </c>
      <c r="U74" s="27" t="s">
        <v>200</v>
      </c>
      <c r="V74" s="27">
        <v>-3236.82836914062</v>
      </c>
      <c r="W74" s="27" t="s">
        <v>200</v>
      </c>
      <c r="X74" s="27">
        <v>-4117.72509765625</v>
      </c>
      <c r="Y74" s="27" t="s">
        <v>200</v>
      </c>
      <c r="Z74" s="27">
        <v>-5229.853515625</v>
      </c>
    </row>
    <row r="75" spans="1:26">
      <c r="A75" s="27" t="s">
        <v>211</v>
      </c>
      <c r="B75" s="27" t="s">
        <v>256</v>
      </c>
      <c r="C75" s="27" t="s">
        <v>198</v>
      </c>
      <c r="D75" s="27" t="s">
        <v>1153</v>
      </c>
      <c r="E75" s="27" t="s">
        <v>75</v>
      </c>
      <c r="F75" s="27" t="s">
        <v>200</v>
      </c>
      <c r="G75" s="27">
        <v>30870.858901200001</v>
      </c>
      <c r="H75" s="27">
        <v>33145.237935099998</v>
      </c>
      <c r="I75" s="27" t="s">
        <v>200</v>
      </c>
      <c r="J75" s="27">
        <v>35463.464571899996</v>
      </c>
      <c r="K75" s="27" t="s">
        <v>200</v>
      </c>
      <c r="L75" s="27">
        <v>17510.3847867</v>
      </c>
      <c r="M75" s="27" t="s">
        <v>200</v>
      </c>
      <c r="N75" s="27">
        <v>10090.8288383</v>
      </c>
      <c r="O75" s="27" t="s">
        <v>200</v>
      </c>
      <c r="P75" s="27">
        <v>4721.3678511999997</v>
      </c>
      <c r="Q75" s="27" t="s">
        <v>200</v>
      </c>
      <c r="R75" s="27">
        <v>1050.7811918</v>
      </c>
      <c r="S75" s="27" t="s">
        <v>200</v>
      </c>
      <c r="T75" s="27">
        <v>-3790.4340499999998</v>
      </c>
      <c r="U75" s="27" t="s">
        <v>200</v>
      </c>
      <c r="V75" s="27">
        <v>-8063.3331731999997</v>
      </c>
      <c r="W75" s="27" t="s">
        <v>200</v>
      </c>
      <c r="X75" s="27">
        <v>-9329.6411439000003</v>
      </c>
      <c r="Y75" s="27" t="s">
        <v>200</v>
      </c>
      <c r="Z75" s="27">
        <v>-10050.0521159</v>
      </c>
    </row>
    <row r="76" spans="1:26">
      <c r="A76" s="27" t="s">
        <v>196</v>
      </c>
      <c r="B76" s="27" t="s">
        <v>267</v>
      </c>
      <c r="C76" s="27" t="s">
        <v>198</v>
      </c>
      <c r="D76" s="27" t="s">
        <v>1153</v>
      </c>
      <c r="E76" s="27" t="s">
        <v>75</v>
      </c>
      <c r="F76" s="27" t="s">
        <v>200</v>
      </c>
      <c r="G76" s="27">
        <v>29686.181700000001</v>
      </c>
      <c r="H76" s="27">
        <v>32690.5713</v>
      </c>
      <c r="I76" s="27">
        <v>34292.949200000003</v>
      </c>
      <c r="J76" s="27">
        <v>35177.357600000003</v>
      </c>
      <c r="K76" s="27">
        <v>27012.051899999999</v>
      </c>
      <c r="L76" s="27">
        <v>18694.386600000002</v>
      </c>
      <c r="M76" s="27">
        <v>13048.9697</v>
      </c>
      <c r="N76" s="27">
        <v>7676.2821000000004</v>
      </c>
      <c r="O76" s="27">
        <v>3706.3166999999999</v>
      </c>
      <c r="P76" s="27">
        <v>1463.8896</v>
      </c>
      <c r="Q76" s="27">
        <v>1210.739</v>
      </c>
      <c r="R76" s="27">
        <v>1233.3018</v>
      </c>
      <c r="S76" s="27" t="s">
        <v>200</v>
      </c>
      <c r="T76" s="27">
        <v>1122.2624000000001</v>
      </c>
      <c r="U76" s="27" t="s">
        <v>200</v>
      </c>
      <c r="V76" s="27">
        <v>1290.2487000000001</v>
      </c>
      <c r="W76" s="27" t="s">
        <v>200</v>
      </c>
      <c r="X76" s="27">
        <v>1417.6104</v>
      </c>
      <c r="Y76" s="27" t="s">
        <v>200</v>
      </c>
      <c r="Z76" s="27">
        <v>1507.9366</v>
      </c>
    </row>
    <row r="77" spans="1:26">
      <c r="A77" s="27" t="s">
        <v>207</v>
      </c>
      <c r="B77" s="27" t="s">
        <v>201</v>
      </c>
      <c r="C77" s="27" t="s">
        <v>198</v>
      </c>
      <c r="D77" s="27" t="s">
        <v>1153</v>
      </c>
      <c r="E77" s="27" t="s">
        <v>75</v>
      </c>
      <c r="F77" s="27" t="s">
        <v>200</v>
      </c>
      <c r="G77" s="27" t="s">
        <v>200</v>
      </c>
      <c r="H77" s="27">
        <v>33161.588080000001</v>
      </c>
      <c r="I77" s="27">
        <v>37419.734149999997</v>
      </c>
      <c r="J77" s="27">
        <v>36716.205390000003</v>
      </c>
      <c r="K77" s="27">
        <v>25641.655470000002</v>
      </c>
      <c r="L77" s="27">
        <v>19548.443370000001</v>
      </c>
      <c r="M77" s="27">
        <v>14786.472529999999</v>
      </c>
      <c r="N77" s="27">
        <v>11501.9406</v>
      </c>
      <c r="O77" s="27">
        <v>8553.9795560000002</v>
      </c>
      <c r="P77" s="27">
        <v>6216.6811230000003</v>
      </c>
      <c r="Q77" s="27">
        <v>4445.9257399999997</v>
      </c>
      <c r="R77" s="27">
        <v>3504.959308</v>
      </c>
      <c r="S77" s="27" t="s">
        <v>200</v>
      </c>
      <c r="T77" s="27">
        <v>4105.1477889999996</v>
      </c>
      <c r="U77" s="27" t="s">
        <v>200</v>
      </c>
      <c r="V77" s="27">
        <v>5127.8938319999997</v>
      </c>
      <c r="W77" s="27" t="s">
        <v>200</v>
      </c>
      <c r="X77" s="27">
        <v>5696.7938249999997</v>
      </c>
      <c r="Y77" s="27" t="s">
        <v>200</v>
      </c>
      <c r="Z77" s="27">
        <v>5816.8984270000001</v>
      </c>
    </row>
    <row r="78" spans="1:26">
      <c r="A78" s="27" t="s">
        <v>196</v>
      </c>
      <c r="B78" s="27" t="s">
        <v>289</v>
      </c>
      <c r="C78" s="27" t="s">
        <v>198</v>
      </c>
      <c r="D78" s="27" t="s">
        <v>1153</v>
      </c>
      <c r="E78" s="27" t="s">
        <v>75</v>
      </c>
      <c r="F78" s="27" t="s">
        <v>200</v>
      </c>
      <c r="G78" s="27">
        <v>30505.4542</v>
      </c>
      <c r="H78" s="27">
        <v>32966.842400000001</v>
      </c>
      <c r="I78" s="27">
        <v>34555.426399999997</v>
      </c>
      <c r="J78" s="27">
        <v>34734.834699999999</v>
      </c>
      <c r="K78" s="27">
        <v>27900.752499999999</v>
      </c>
      <c r="L78" s="27">
        <v>21330.550200000001</v>
      </c>
      <c r="M78" s="27">
        <v>15102.895699999999</v>
      </c>
      <c r="N78" s="27">
        <v>9269.7963999999993</v>
      </c>
      <c r="O78" s="27">
        <v>5151.9714000000004</v>
      </c>
      <c r="P78" s="27">
        <v>2793.8962999999999</v>
      </c>
      <c r="Q78" s="27">
        <v>1892.2085999999999</v>
      </c>
      <c r="R78" s="27">
        <v>1376.6449</v>
      </c>
      <c r="S78" s="27" t="s">
        <v>200</v>
      </c>
      <c r="T78" s="27">
        <v>876.37969999999996</v>
      </c>
      <c r="U78" s="27" t="s">
        <v>200</v>
      </c>
      <c r="V78" s="27">
        <v>749.58159999999998</v>
      </c>
      <c r="W78" s="27" t="s">
        <v>200</v>
      </c>
      <c r="X78" s="27">
        <v>565.29999999999995</v>
      </c>
      <c r="Y78" s="27" t="s">
        <v>200</v>
      </c>
      <c r="Z78" s="27">
        <v>442.92509999999999</v>
      </c>
    </row>
    <row r="79" spans="1:26">
      <c r="A79" s="27" t="s">
        <v>233</v>
      </c>
      <c r="B79" s="27" t="s">
        <v>230</v>
      </c>
      <c r="C79" s="27" t="s">
        <v>198</v>
      </c>
      <c r="D79" s="27" t="s">
        <v>1153</v>
      </c>
      <c r="E79" s="27" t="s">
        <v>75</v>
      </c>
      <c r="F79" s="27" t="s">
        <v>200</v>
      </c>
      <c r="G79" s="27" t="s">
        <v>200</v>
      </c>
      <c r="H79" s="27">
        <v>31475.04075788</v>
      </c>
      <c r="I79" s="27">
        <v>34268.271930520074</v>
      </c>
      <c r="J79" s="27">
        <v>34627.920437701658</v>
      </c>
      <c r="K79" s="27">
        <v>21253.931632199328</v>
      </c>
      <c r="L79" s="27">
        <v>14759.049184525649</v>
      </c>
      <c r="M79" s="27">
        <v>9325.2468280464818</v>
      </c>
      <c r="N79" s="27">
        <v>6108.7131941646076</v>
      </c>
      <c r="O79" s="27">
        <v>3621.98987606538</v>
      </c>
      <c r="P79" s="27">
        <v>1805.9367123764141</v>
      </c>
      <c r="Q79" s="27">
        <v>1052.0218250587311</v>
      </c>
      <c r="R79" s="27">
        <v>1641.139252350727</v>
      </c>
      <c r="S79" s="27">
        <v>1704.3277942406439</v>
      </c>
      <c r="T79" s="27">
        <v>1661.53788936864</v>
      </c>
      <c r="U79" s="27">
        <v>1825.1076415852081</v>
      </c>
      <c r="V79" s="27">
        <v>2009.064010764992</v>
      </c>
      <c r="W79" s="27">
        <v>2124.217011732419</v>
      </c>
      <c r="X79" s="27">
        <v>2326.5041883091531</v>
      </c>
      <c r="Y79" s="27">
        <v>2132.9024955518171</v>
      </c>
      <c r="Z79" s="27">
        <v>1996.7736180636209</v>
      </c>
    </row>
    <row r="80" spans="1:26">
      <c r="A80" s="27" t="s">
        <v>211</v>
      </c>
      <c r="B80" s="27" t="s">
        <v>290</v>
      </c>
      <c r="C80" s="27" t="s">
        <v>198</v>
      </c>
      <c r="D80" s="27" t="s">
        <v>1153</v>
      </c>
      <c r="E80" s="27" t="s">
        <v>75</v>
      </c>
      <c r="F80" s="27">
        <v>26469.274110158301</v>
      </c>
      <c r="G80" s="27">
        <v>30784.244954109199</v>
      </c>
      <c r="H80" s="27">
        <v>33161.588089942903</v>
      </c>
      <c r="I80" s="27" t="s">
        <v>200</v>
      </c>
      <c r="J80" s="27">
        <v>34928.950817425997</v>
      </c>
      <c r="K80" s="27" t="s">
        <v>200</v>
      </c>
      <c r="L80" s="27">
        <v>15899.475358434</v>
      </c>
      <c r="M80" s="27" t="s">
        <v>200</v>
      </c>
      <c r="N80" s="27">
        <v>7750.1840216033497</v>
      </c>
      <c r="O80" s="27" t="s">
        <v>200</v>
      </c>
      <c r="P80" s="27">
        <v>1460.5926433116999</v>
      </c>
      <c r="Q80" s="27" t="s">
        <v>200</v>
      </c>
      <c r="R80" s="27">
        <v>-5439.4583302359097</v>
      </c>
      <c r="S80" s="27" t="s">
        <v>200</v>
      </c>
      <c r="T80" s="27">
        <v>-7121.1496961911498</v>
      </c>
      <c r="U80" s="27" t="s">
        <v>200</v>
      </c>
      <c r="V80" s="27">
        <v>-8289.6823797291909</v>
      </c>
      <c r="W80" s="27" t="s">
        <v>200</v>
      </c>
      <c r="X80" s="27">
        <v>-9349.8846539907208</v>
      </c>
      <c r="Y80" s="27" t="s">
        <v>200</v>
      </c>
      <c r="Z80" s="27">
        <v>-10029.949015865301</v>
      </c>
    </row>
    <row r="81" spans="1:26">
      <c r="A81" s="27" t="s">
        <v>226</v>
      </c>
      <c r="B81" s="27" t="s">
        <v>291</v>
      </c>
      <c r="C81" s="27" t="s">
        <v>198</v>
      </c>
      <c r="D81" s="27" t="s">
        <v>1153</v>
      </c>
      <c r="E81" s="27" t="s">
        <v>75</v>
      </c>
      <c r="F81" s="27" t="s">
        <v>200</v>
      </c>
      <c r="G81" s="27">
        <v>28327.518800000002</v>
      </c>
      <c r="H81" s="27">
        <v>31048.083699999999</v>
      </c>
      <c r="I81" s="27">
        <v>35306.958100000003</v>
      </c>
      <c r="J81" s="27">
        <v>38502.408100000001</v>
      </c>
      <c r="K81" s="27">
        <v>31904.099399999999</v>
      </c>
      <c r="L81" s="27">
        <v>24169.633300000001</v>
      </c>
      <c r="M81" s="27">
        <v>15209.272499999999</v>
      </c>
      <c r="N81" s="27">
        <v>7071.0464000000002</v>
      </c>
      <c r="O81" s="27">
        <v>930.39080000000001</v>
      </c>
      <c r="P81" s="27">
        <v>-3390.6525999999999</v>
      </c>
      <c r="Q81" s="27">
        <v>-6513.7924000000003</v>
      </c>
      <c r="R81" s="27">
        <v>-8750.2285000000011</v>
      </c>
      <c r="S81" s="27" t="s">
        <v>200</v>
      </c>
      <c r="T81" s="27">
        <v>-10891.457899999999</v>
      </c>
      <c r="U81" s="27" t="s">
        <v>200</v>
      </c>
      <c r="V81" s="27">
        <v>-12295.829400000001</v>
      </c>
      <c r="W81" s="27" t="s">
        <v>200</v>
      </c>
      <c r="X81" s="27">
        <v>-13270.503500000001</v>
      </c>
      <c r="Y81" s="27" t="s">
        <v>200</v>
      </c>
      <c r="Z81" s="27">
        <v>-13715.4845</v>
      </c>
    </row>
    <row r="82" spans="1:26">
      <c r="A82" s="27" t="s">
        <v>261</v>
      </c>
      <c r="B82" s="27" t="s">
        <v>292</v>
      </c>
      <c r="C82" s="27" t="s">
        <v>198</v>
      </c>
      <c r="D82" s="27" t="s">
        <v>1153</v>
      </c>
      <c r="E82" s="27" t="s">
        <v>75</v>
      </c>
      <c r="F82" s="27" t="s">
        <v>200</v>
      </c>
      <c r="G82" s="27">
        <v>28240.375762939449</v>
      </c>
      <c r="H82" s="27">
        <v>32430.217468261719</v>
      </c>
      <c r="I82" s="27">
        <v>34944.964660644531</v>
      </c>
      <c r="J82" s="27">
        <v>36254.061065673828</v>
      </c>
      <c r="K82" s="27">
        <v>34081.020935058586</v>
      </c>
      <c r="L82" s="27">
        <v>21313.38786315918</v>
      </c>
      <c r="M82" s="27">
        <v>12692.34820556641</v>
      </c>
      <c r="N82" s="27">
        <v>7435.5968322753906</v>
      </c>
      <c r="O82" s="27">
        <v>3446.973406791687</v>
      </c>
      <c r="P82" s="27">
        <v>1269.6216149330139</v>
      </c>
      <c r="Q82" s="27">
        <v>611.18454599380493</v>
      </c>
      <c r="R82" s="27">
        <v>-53.383576154708862</v>
      </c>
      <c r="S82" s="27">
        <v>-485.43706059455872</v>
      </c>
      <c r="T82" s="27">
        <v>36.247236490249627</v>
      </c>
      <c r="U82" s="27">
        <v>38.509799718856812</v>
      </c>
      <c r="V82" s="27">
        <v>-434.37977600097662</v>
      </c>
      <c r="W82" s="27">
        <v>-691.30909585952759</v>
      </c>
      <c r="X82" s="27">
        <v>-664.84255933761597</v>
      </c>
      <c r="Y82" s="27">
        <v>-599.3097128868103</v>
      </c>
      <c r="Z82" s="27">
        <v>-678.48935359716415</v>
      </c>
    </row>
    <row r="83" spans="1:26">
      <c r="A83" s="27" t="s">
        <v>261</v>
      </c>
      <c r="B83" s="27" t="s">
        <v>293</v>
      </c>
      <c r="C83" s="27" t="s">
        <v>198</v>
      </c>
      <c r="D83" s="27" t="s">
        <v>1153</v>
      </c>
      <c r="E83" s="27" t="s">
        <v>75</v>
      </c>
      <c r="F83" s="27" t="s">
        <v>200</v>
      </c>
      <c r="G83" s="27">
        <v>28363.568572998051</v>
      </c>
      <c r="H83" s="27">
        <v>32605.319488525391</v>
      </c>
      <c r="I83" s="27">
        <v>35169.803344726563</v>
      </c>
      <c r="J83" s="27">
        <v>36494.657135009773</v>
      </c>
      <c r="K83" s="27">
        <v>33783.084381103523</v>
      </c>
      <c r="L83" s="27">
        <v>21232.589019775391</v>
      </c>
      <c r="M83" s="27">
        <v>13144.65745925903</v>
      </c>
      <c r="N83" s="27">
        <v>8295.1188106536865</v>
      </c>
      <c r="O83" s="27">
        <v>5212.2796850204468</v>
      </c>
      <c r="P83" s="27">
        <v>3289.126823425293</v>
      </c>
      <c r="Q83" s="27">
        <v>2425.482914447784</v>
      </c>
      <c r="R83" s="27">
        <v>1922.363210678101</v>
      </c>
      <c r="S83" s="27">
        <v>1655.729122161865</v>
      </c>
      <c r="T83" s="27">
        <v>1512.175800800323</v>
      </c>
      <c r="U83" s="27">
        <v>1349.8738851547239</v>
      </c>
      <c r="V83" s="27">
        <v>983.16647005081177</v>
      </c>
      <c r="W83" s="27">
        <v>668.7149338722229</v>
      </c>
      <c r="X83" s="27">
        <v>612.29722166061401</v>
      </c>
      <c r="Y83" s="27">
        <v>571.41093444824219</v>
      </c>
      <c r="Z83" s="27">
        <v>439.50807571411133</v>
      </c>
    </row>
    <row r="84" spans="1:26">
      <c r="A84" s="27" t="s">
        <v>196</v>
      </c>
      <c r="B84" s="27" t="s">
        <v>280</v>
      </c>
      <c r="C84" s="27" t="s">
        <v>198</v>
      </c>
      <c r="D84" s="27" t="s">
        <v>1153</v>
      </c>
      <c r="E84" s="27" t="s">
        <v>75</v>
      </c>
      <c r="F84" s="27" t="s">
        <v>200</v>
      </c>
      <c r="G84" s="27">
        <v>29686.181700000001</v>
      </c>
      <c r="H84" s="27">
        <v>32690.5713</v>
      </c>
      <c r="I84" s="27">
        <v>34292.949200000003</v>
      </c>
      <c r="J84" s="27">
        <v>35177.357600000003</v>
      </c>
      <c r="K84" s="27">
        <v>28753.179499999998</v>
      </c>
      <c r="L84" s="27">
        <v>21710.040099999998</v>
      </c>
      <c r="M84" s="27">
        <v>16112.5772</v>
      </c>
      <c r="N84" s="27">
        <v>11606.180899999999</v>
      </c>
      <c r="O84" s="27">
        <v>7423.7988999999998</v>
      </c>
      <c r="P84" s="27">
        <v>3474.5790999999999</v>
      </c>
      <c r="Q84" s="27">
        <v>1547.6204</v>
      </c>
      <c r="R84" s="27">
        <v>735.48389999999995</v>
      </c>
      <c r="S84" s="27" t="s">
        <v>200</v>
      </c>
      <c r="T84" s="27">
        <v>910.18029999999999</v>
      </c>
      <c r="U84" s="27" t="s">
        <v>200</v>
      </c>
      <c r="V84" s="27">
        <v>1157.7344000000001</v>
      </c>
      <c r="W84" s="27" t="s">
        <v>200</v>
      </c>
      <c r="X84" s="27">
        <v>1389.4757999999999</v>
      </c>
      <c r="Y84" s="27" t="s">
        <v>200</v>
      </c>
      <c r="Z84" s="27">
        <v>1481.2143000000001</v>
      </c>
    </row>
    <row r="85" spans="1:26">
      <c r="A85" s="27" t="s">
        <v>218</v>
      </c>
      <c r="B85" s="27" t="s">
        <v>294</v>
      </c>
      <c r="C85" s="27" t="s">
        <v>198</v>
      </c>
      <c r="D85" s="27" t="s">
        <v>1153</v>
      </c>
      <c r="E85" s="27" t="s">
        <v>75</v>
      </c>
      <c r="F85" s="27" t="s">
        <v>200</v>
      </c>
      <c r="G85" s="27">
        <v>29273.0245</v>
      </c>
      <c r="H85" s="27">
        <v>33221.260600000001</v>
      </c>
      <c r="I85" s="27">
        <v>38417.441500000001</v>
      </c>
      <c r="J85" s="27">
        <v>39143.705000000002</v>
      </c>
      <c r="K85" s="27">
        <v>27865.62</v>
      </c>
      <c r="L85" s="27">
        <v>16609.41</v>
      </c>
      <c r="M85" s="27">
        <v>7090.2460000000001</v>
      </c>
      <c r="N85" s="27">
        <v>2803.3130000000001</v>
      </c>
      <c r="O85" s="27">
        <v>788.9606</v>
      </c>
      <c r="P85" s="27">
        <v>-675.57939999999996</v>
      </c>
      <c r="Q85" s="27">
        <v>-1903.55</v>
      </c>
      <c r="R85" s="27">
        <v>-2781.627</v>
      </c>
      <c r="S85" s="27" t="s">
        <v>200</v>
      </c>
      <c r="T85" s="27">
        <v>-3694.14</v>
      </c>
      <c r="U85" s="27" t="s">
        <v>200</v>
      </c>
      <c r="V85" s="27">
        <v>-4358.2159999999994</v>
      </c>
      <c r="W85" s="27" t="s">
        <v>200</v>
      </c>
      <c r="X85" s="27">
        <v>-4697.5540000000001</v>
      </c>
      <c r="Y85" s="27" t="s">
        <v>200</v>
      </c>
      <c r="Z85" s="27">
        <v>-4060.5210000000002</v>
      </c>
    </row>
    <row r="86" spans="1:26">
      <c r="A86" s="27" t="s">
        <v>261</v>
      </c>
      <c r="B86" s="27" t="s">
        <v>295</v>
      </c>
      <c r="C86" s="27" t="s">
        <v>198</v>
      </c>
      <c r="D86" s="27" t="s">
        <v>1153</v>
      </c>
      <c r="E86" s="27" t="s">
        <v>75</v>
      </c>
      <c r="F86" s="27" t="s">
        <v>200</v>
      </c>
      <c r="G86" s="27">
        <v>28364.071655273441</v>
      </c>
      <c r="H86" s="27">
        <v>32606.287994384769</v>
      </c>
      <c r="I86" s="27">
        <v>35171.652160644531</v>
      </c>
      <c r="J86" s="27">
        <v>36536.313232421882</v>
      </c>
      <c r="K86" s="27">
        <v>34175.157257080078</v>
      </c>
      <c r="L86" s="27">
        <v>22384.637344360352</v>
      </c>
      <c r="M86" s="27">
        <v>14526.65436172485</v>
      </c>
      <c r="N86" s="27">
        <v>9870.8478336334247</v>
      </c>
      <c r="O86" s="27">
        <v>6352.9598894119263</v>
      </c>
      <c r="P86" s="27">
        <v>3868.2984480857849</v>
      </c>
      <c r="Q86" s="27">
        <v>2703.345638275146</v>
      </c>
      <c r="R86" s="27">
        <v>2151.2658486366272</v>
      </c>
      <c r="S86" s="27">
        <v>1950.7539215087891</v>
      </c>
      <c r="T86" s="27">
        <v>2016.4630694389341</v>
      </c>
      <c r="U86" s="27">
        <v>2075.0233082771301</v>
      </c>
      <c r="V86" s="27">
        <v>1954.6689457893369</v>
      </c>
      <c r="W86" s="27">
        <v>1872.400230884552</v>
      </c>
      <c r="X86" s="27">
        <v>1860.564831256866</v>
      </c>
      <c r="Y86" s="27">
        <v>1859.19440984726</v>
      </c>
      <c r="Z86" s="27">
        <v>1840.116992950439</v>
      </c>
    </row>
    <row r="87" spans="1:26">
      <c r="A87" s="27" t="s">
        <v>1152</v>
      </c>
      <c r="B87" s="27" t="s">
        <v>286</v>
      </c>
      <c r="C87" s="27" t="s">
        <v>198</v>
      </c>
      <c r="D87" s="27" t="s">
        <v>1153</v>
      </c>
      <c r="E87" s="27" t="s">
        <v>75</v>
      </c>
      <c r="F87" s="27" t="s">
        <v>200</v>
      </c>
      <c r="G87" s="27" t="s">
        <v>200</v>
      </c>
      <c r="H87" s="27">
        <v>33549.548520999997</v>
      </c>
      <c r="I87" s="27">
        <v>36137.012739999998</v>
      </c>
      <c r="J87" s="27">
        <v>35206.483897500002</v>
      </c>
      <c r="K87" s="27">
        <v>23008.692208</v>
      </c>
      <c r="L87" s="27">
        <v>14503.6504045</v>
      </c>
      <c r="M87" s="27">
        <v>11911.424333000001</v>
      </c>
      <c r="N87" s="27">
        <v>8222.4671130000006</v>
      </c>
      <c r="O87" s="27">
        <v>3229.8091920000002</v>
      </c>
      <c r="P87" s="27">
        <v>971.28627199999983</v>
      </c>
      <c r="Q87" s="27" t="s">
        <v>200</v>
      </c>
      <c r="R87" s="27">
        <v>1543.049534</v>
      </c>
      <c r="S87" s="27" t="s">
        <v>200</v>
      </c>
      <c r="T87" s="27">
        <v>1280.031786</v>
      </c>
      <c r="U87" s="27" t="s">
        <v>200</v>
      </c>
      <c r="V87" s="27">
        <v>720.26171200000022</v>
      </c>
      <c r="W87" s="27" t="s">
        <v>200</v>
      </c>
      <c r="X87" s="27">
        <v>535.53003600000079</v>
      </c>
      <c r="Y87" s="27" t="s">
        <v>200</v>
      </c>
      <c r="Z87" s="27">
        <v>129.0007049999999</v>
      </c>
    </row>
    <row r="88" spans="1:26">
      <c r="A88" s="27" t="s">
        <v>196</v>
      </c>
      <c r="B88" s="27" t="s">
        <v>296</v>
      </c>
      <c r="C88" s="27" t="s">
        <v>198</v>
      </c>
      <c r="D88" s="27" t="s">
        <v>1153</v>
      </c>
      <c r="E88" s="27" t="s">
        <v>75</v>
      </c>
      <c r="F88" s="27" t="s">
        <v>200</v>
      </c>
      <c r="G88" s="27">
        <v>30505.4542</v>
      </c>
      <c r="H88" s="27">
        <v>33298.763400000003</v>
      </c>
      <c r="I88" s="27">
        <v>34867.681499999999</v>
      </c>
      <c r="J88" s="27">
        <v>35256.589800000002</v>
      </c>
      <c r="K88" s="27">
        <v>28032.1155</v>
      </c>
      <c r="L88" s="27">
        <v>19180.793399999999</v>
      </c>
      <c r="M88" s="27">
        <v>12683.2207</v>
      </c>
      <c r="N88" s="27">
        <v>8820.1936999999998</v>
      </c>
      <c r="O88" s="27">
        <v>6467.3711000000003</v>
      </c>
      <c r="P88" s="27">
        <v>4538.7927</v>
      </c>
      <c r="Q88" s="27">
        <v>3012.0558000000001</v>
      </c>
      <c r="R88" s="27">
        <v>1774.8488</v>
      </c>
      <c r="S88" s="27" t="s">
        <v>200</v>
      </c>
      <c r="T88" s="27">
        <v>324.45159999999998</v>
      </c>
      <c r="U88" s="27" t="s">
        <v>200</v>
      </c>
      <c r="V88" s="27">
        <v>378.20069999999998</v>
      </c>
      <c r="W88" s="27" t="s">
        <v>200</v>
      </c>
      <c r="X88" s="27">
        <v>347.4357</v>
      </c>
      <c r="Y88" s="27" t="s">
        <v>200</v>
      </c>
      <c r="Z88" s="27">
        <v>379.95010000000002</v>
      </c>
    </row>
    <row r="89" spans="1:26">
      <c r="A89" s="27" t="s">
        <v>196</v>
      </c>
      <c r="B89" s="27" t="s">
        <v>297</v>
      </c>
      <c r="C89" s="27" t="s">
        <v>198</v>
      </c>
      <c r="D89" s="27" t="s">
        <v>1153</v>
      </c>
      <c r="E89" s="27" t="s">
        <v>75</v>
      </c>
      <c r="F89" s="27" t="s">
        <v>200</v>
      </c>
      <c r="G89" s="27" t="s">
        <v>200</v>
      </c>
      <c r="H89" s="27">
        <v>32718.375</v>
      </c>
      <c r="I89" s="27">
        <v>34772.930699999997</v>
      </c>
      <c r="J89" s="27">
        <v>35431.871599999999</v>
      </c>
      <c r="K89" s="27">
        <v>27180.525099999999</v>
      </c>
      <c r="L89" s="27">
        <v>17995.753199999999</v>
      </c>
      <c r="M89" s="27">
        <v>12160.0129</v>
      </c>
      <c r="N89" s="27">
        <v>7316.1220999999996</v>
      </c>
      <c r="O89" s="27">
        <v>3235.5403000000001</v>
      </c>
      <c r="P89" s="27">
        <v>338.596</v>
      </c>
      <c r="Q89" s="27">
        <v>-936.98590000000002</v>
      </c>
      <c r="R89" s="27">
        <v>-1235.4581000000001</v>
      </c>
      <c r="S89" s="27" t="s">
        <v>200</v>
      </c>
      <c r="T89" s="27">
        <v>-1192.6963000000001</v>
      </c>
      <c r="U89" s="27" t="s">
        <v>200</v>
      </c>
      <c r="V89" s="27">
        <v>-983.71950000000004</v>
      </c>
      <c r="W89" s="27" t="s">
        <v>200</v>
      </c>
      <c r="X89" s="27">
        <v>-991.95809999999994</v>
      </c>
      <c r="Y89" s="27" t="s">
        <v>200</v>
      </c>
      <c r="Z89" s="27">
        <v>-1364.8503000000001</v>
      </c>
    </row>
    <row r="90" spans="1:26">
      <c r="A90" s="27" t="s">
        <v>244</v>
      </c>
      <c r="B90" s="27" t="s">
        <v>267</v>
      </c>
      <c r="C90" s="27" t="s">
        <v>198</v>
      </c>
      <c r="D90" s="27" t="s">
        <v>1153</v>
      </c>
      <c r="E90" s="27" t="s">
        <v>75</v>
      </c>
      <c r="F90" s="27" t="s">
        <v>200</v>
      </c>
      <c r="G90" s="27" t="s">
        <v>200</v>
      </c>
      <c r="H90" s="27" t="s">
        <v>200</v>
      </c>
      <c r="I90" s="27">
        <v>35320.083582523679</v>
      </c>
      <c r="J90" s="27">
        <v>36960.376584823724</v>
      </c>
      <c r="K90" s="27">
        <v>27108.80427811425</v>
      </c>
      <c r="L90" s="27">
        <v>20946.434717568649</v>
      </c>
      <c r="M90" s="27">
        <v>12332.11771359217</v>
      </c>
      <c r="N90" s="27">
        <v>6366.828571945699</v>
      </c>
      <c r="O90" s="27">
        <v>2278.8573459023978</v>
      </c>
      <c r="P90" s="27">
        <v>2835.878184333797</v>
      </c>
      <c r="Q90" s="27">
        <v>3218.141624631287</v>
      </c>
      <c r="R90" s="27">
        <v>3558.1511673945602</v>
      </c>
      <c r="S90" s="27">
        <v>3818.7647202640642</v>
      </c>
      <c r="T90" s="27">
        <v>4079.7099220240898</v>
      </c>
      <c r="U90" s="27">
        <v>4589.1539279854742</v>
      </c>
      <c r="V90" s="27">
        <v>5094.019113831333</v>
      </c>
      <c r="W90" s="27">
        <v>5363.6790361613484</v>
      </c>
      <c r="X90" s="27">
        <v>5633.1209312873243</v>
      </c>
      <c r="Y90" s="27">
        <v>5736.952969613787</v>
      </c>
      <c r="Z90" s="27">
        <v>5822.4331940207676</v>
      </c>
    </row>
    <row r="91" spans="1:26">
      <c r="A91" s="27" t="s">
        <v>261</v>
      </c>
      <c r="B91" s="27" t="s">
        <v>298</v>
      </c>
      <c r="C91" s="27" t="s">
        <v>198</v>
      </c>
      <c r="D91" s="27" t="s">
        <v>1153</v>
      </c>
      <c r="E91" s="27" t="s">
        <v>75</v>
      </c>
      <c r="F91" s="27" t="s">
        <v>200</v>
      </c>
      <c r="G91" s="27">
        <v>28352.610260009769</v>
      </c>
      <c r="H91" s="27">
        <v>32570.479827880859</v>
      </c>
      <c r="I91" s="27">
        <v>35105.182495117188</v>
      </c>
      <c r="J91" s="27">
        <v>36436.324768066414</v>
      </c>
      <c r="K91" s="27">
        <v>33978.3642578125</v>
      </c>
      <c r="L91" s="27">
        <v>21405.813468933109</v>
      </c>
      <c r="M91" s="27">
        <v>12941.502552032471</v>
      </c>
      <c r="N91" s="27">
        <v>7723.6707859039307</v>
      </c>
      <c r="O91" s="27">
        <v>4282.73974609375</v>
      </c>
      <c r="P91" s="27">
        <v>2308.866007328033</v>
      </c>
      <c r="Q91" s="27">
        <v>1378.219220161438</v>
      </c>
      <c r="R91" s="27">
        <v>800.2306079864502</v>
      </c>
      <c r="S91" s="27">
        <v>390.44933605194092</v>
      </c>
      <c r="T91" s="27">
        <v>141.51312494277951</v>
      </c>
      <c r="U91" s="27">
        <v>86.157510757446289</v>
      </c>
      <c r="V91" s="27">
        <v>-516.97621607780457</v>
      </c>
      <c r="W91" s="27">
        <v>-964.60595607757557</v>
      </c>
      <c r="X91" s="27">
        <v>-773.21315383911133</v>
      </c>
      <c r="Y91" s="27">
        <v>-796.88201355934143</v>
      </c>
      <c r="Z91" s="27">
        <v>-618.15989619493484</v>
      </c>
    </row>
    <row r="92" spans="1:26">
      <c r="A92" s="27" t="s">
        <v>261</v>
      </c>
      <c r="B92" s="27" t="s">
        <v>299</v>
      </c>
      <c r="C92" s="27" t="s">
        <v>198</v>
      </c>
      <c r="D92" s="27" t="s">
        <v>1153</v>
      </c>
      <c r="E92" s="27" t="s">
        <v>75</v>
      </c>
      <c r="F92" s="27" t="s">
        <v>200</v>
      </c>
      <c r="G92" s="27">
        <v>28240.375762939449</v>
      </c>
      <c r="H92" s="27">
        <v>32430.217468261719</v>
      </c>
      <c r="I92" s="27">
        <v>34944.964660644531</v>
      </c>
      <c r="J92" s="27">
        <v>36273.047607421882</v>
      </c>
      <c r="K92" s="27">
        <v>36043.864105224609</v>
      </c>
      <c r="L92" s="27">
        <v>33581.577178955078</v>
      </c>
      <c r="M92" s="27">
        <v>22313.21083068848</v>
      </c>
      <c r="N92" s="27">
        <v>11246.023880004879</v>
      </c>
      <c r="O92" s="27">
        <v>5015.9089918136597</v>
      </c>
      <c r="P92" s="27">
        <v>174.31850433349609</v>
      </c>
      <c r="Q92" s="27">
        <v>-2655.253570079803</v>
      </c>
      <c r="R92" s="27">
        <v>-4309.7622784376144</v>
      </c>
      <c r="S92" s="27">
        <v>-5061.2400234937668</v>
      </c>
      <c r="T92" s="27">
        <v>-5394.1698932647714</v>
      </c>
      <c r="U92" s="27">
        <v>-5258.3061584234238</v>
      </c>
      <c r="V92" s="27">
        <v>-5384.9602378606796</v>
      </c>
      <c r="W92" s="27">
        <v>-5721.039919257164</v>
      </c>
      <c r="X92" s="27">
        <v>-5498.7197848558426</v>
      </c>
      <c r="Y92" s="27">
        <v>-5386.8572332262993</v>
      </c>
      <c r="Z92" s="27">
        <v>-5975.0179008245468</v>
      </c>
    </row>
    <row r="93" spans="1:26">
      <c r="A93" s="27" t="s">
        <v>207</v>
      </c>
      <c r="B93" s="27" t="s">
        <v>267</v>
      </c>
      <c r="C93" s="27" t="s">
        <v>198</v>
      </c>
      <c r="D93" s="27" t="s">
        <v>1153</v>
      </c>
      <c r="E93" s="27" t="s">
        <v>75</v>
      </c>
      <c r="F93" s="27">
        <v>26469.274100257051</v>
      </c>
      <c r="G93" s="27">
        <v>30784.244921158999</v>
      </c>
      <c r="H93" s="27">
        <v>33161.588080258269</v>
      </c>
      <c r="I93" s="27">
        <v>37419.73414582487</v>
      </c>
      <c r="J93" s="27">
        <v>38495.450684429343</v>
      </c>
      <c r="K93" s="27">
        <v>24991.663946289129</v>
      </c>
      <c r="L93" s="27">
        <v>16382.53036448491</v>
      </c>
      <c r="M93" s="27">
        <v>11600.687738688939</v>
      </c>
      <c r="N93" s="27">
        <v>8182.8312050201221</v>
      </c>
      <c r="O93" s="27">
        <v>5550.0286580755683</v>
      </c>
      <c r="P93" s="27">
        <v>3941.055048100824</v>
      </c>
      <c r="Q93" s="27">
        <v>3218.9084721389531</v>
      </c>
      <c r="R93" s="27">
        <v>3553.3760695657438</v>
      </c>
      <c r="S93" s="27" t="s">
        <v>200</v>
      </c>
      <c r="T93" s="27">
        <v>4097.5044739258919</v>
      </c>
      <c r="U93" s="27" t="s">
        <v>200</v>
      </c>
      <c r="V93" s="27">
        <v>5105.9255213317683</v>
      </c>
      <c r="W93" s="27" t="s">
        <v>200</v>
      </c>
      <c r="X93" s="27">
        <v>5646.799235105319</v>
      </c>
      <c r="Y93" s="27" t="s">
        <v>200</v>
      </c>
      <c r="Z93" s="27">
        <v>5834.8422929426461</v>
      </c>
    </row>
    <row r="100" spans="3:30">
      <c r="C100" s="3" t="s">
        <v>69</v>
      </c>
      <c r="F100" s="27">
        <f>MEDIAN(F2:F98)</f>
        <v>26469.274100257051</v>
      </c>
      <c r="G100" s="27">
        <f t="shared" ref="G100:Z100" si="0">MEDIAN(G2:G98)</f>
        <v>29555.039799999999</v>
      </c>
      <c r="H100" s="27">
        <f t="shared" si="0"/>
        <v>32773.0075</v>
      </c>
      <c r="I100" s="27">
        <f t="shared" si="0"/>
        <v>35051.237974646298</v>
      </c>
      <c r="J100" s="27">
        <f t="shared" si="0"/>
        <v>36284.075472216791</v>
      </c>
      <c r="K100" s="27">
        <f t="shared" si="0"/>
        <v>28896.188699999999</v>
      </c>
      <c r="L100" s="27">
        <f t="shared" si="0"/>
        <v>21512.7467</v>
      </c>
      <c r="M100" s="27">
        <f t="shared" si="0"/>
        <v>15102.895699999999</v>
      </c>
      <c r="N100" s="27">
        <f t="shared" si="0"/>
        <v>10208.2994</v>
      </c>
      <c r="O100" s="27">
        <f t="shared" si="0"/>
        <v>5718.8780000000024</v>
      </c>
      <c r="P100" s="27">
        <f t="shared" si="0"/>
        <v>3590.8440000000001</v>
      </c>
      <c r="Q100" s="27">
        <f t="shared" si="0"/>
        <v>1747.4752990308762</v>
      </c>
      <c r="R100" s="27">
        <f t="shared" si="0"/>
        <v>784.29796075355853</v>
      </c>
      <c r="S100" s="27">
        <f t="shared" si="0"/>
        <v>11.4832</v>
      </c>
      <c r="T100" s="27">
        <f t="shared" si="0"/>
        <v>-385.59601750702063</v>
      </c>
      <c r="U100" s="27">
        <f t="shared" si="0"/>
        <v>0.02</v>
      </c>
      <c r="V100" s="27">
        <f t="shared" si="0"/>
        <v>-1537.1613500000001</v>
      </c>
      <c r="W100" s="27">
        <f t="shared" si="0"/>
        <v>-691.30909585952759</v>
      </c>
      <c r="X100" s="27">
        <f t="shared" si="0"/>
        <v>-2377.09645</v>
      </c>
      <c r="Y100" s="27">
        <f t="shared" si="0"/>
        <v>-599.3097128868103</v>
      </c>
      <c r="Z100" s="27">
        <f t="shared" si="0"/>
        <v>-3623.0903294800246</v>
      </c>
    </row>
    <row r="101" spans="3:30">
      <c r="C101" s="3" t="s">
        <v>72</v>
      </c>
      <c r="F101" s="27">
        <f>_xlfn.PERCENTILE.INC(F2:F98,0.25)</f>
        <v>26469.274100257051</v>
      </c>
      <c r="G101" s="27">
        <f t="shared" ref="G101:Z101" si="1">_xlfn.PERCENTILE.INC(G2:G98,0.25)</f>
        <v>28966.331124999997</v>
      </c>
      <c r="H101" s="27">
        <f t="shared" si="1"/>
        <v>32570.747718811035</v>
      </c>
      <c r="I101" s="27">
        <f t="shared" si="1"/>
        <v>34408.150699999998</v>
      </c>
      <c r="J101" s="27">
        <f t="shared" si="1"/>
        <v>35177.357600000003</v>
      </c>
      <c r="K101" s="27">
        <f t="shared" si="1"/>
        <v>27060.802919703528</v>
      </c>
      <c r="L101" s="27">
        <f t="shared" si="1"/>
        <v>18651.538563630373</v>
      </c>
      <c r="M101" s="27">
        <f t="shared" si="1"/>
        <v>12687.784452783206</v>
      </c>
      <c r="N101" s="27">
        <f t="shared" si="1"/>
        <v>7747.9375434063004</v>
      </c>
      <c r="O101" s="27">
        <f t="shared" si="1"/>
        <v>3668.4732883262632</v>
      </c>
      <c r="P101" s="27">
        <f t="shared" si="1"/>
        <v>1240.5591361997604</v>
      </c>
      <c r="Q101" s="27">
        <f t="shared" si="1"/>
        <v>-597.81454999999994</v>
      </c>
      <c r="R101" s="27">
        <f t="shared" si="1"/>
        <v>-2087.4474250000003</v>
      </c>
      <c r="S101" s="27">
        <f t="shared" si="1"/>
        <v>-3532.6422000000002</v>
      </c>
      <c r="T101" s="27">
        <f t="shared" si="1"/>
        <v>-3718.2135125</v>
      </c>
      <c r="U101" s="27">
        <f t="shared" si="1"/>
        <v>-4238.7656792117123</v>
      </c>
      <c r="V101" s="27">
        <f t="shared" si="1"/>
        <v>-5800.2052255308081</v>
      </c>
      <c r="W101" s="27">
        <f t="shared" si="1"/>
        <v>-5901.4644955988788</v>
      </c>
      <c r="X101" s="27">
        <f t="shared" si="1"/>
        <v>-7116.7989634122723</v>
      </c>
      <c r="Y101" s="27">
        <f t="shared" si="1"/>
        <v>-7190.4539371462351</v>
      </c>
      <c r="Z101" s="27">
        <f t="shared" si="1"/>
        <v>-7428.2141775282425</v>
      </c>
    </row>
    <row r="102" spans="3:30">
      <c r="C102" s="3" t="s">
        <v>73</v>
      </c>
      <c r="F102" s="27">
        <f>_xlfn.PERCENTILE.INC(F2:F98,0.75)</f>
        <v>26469.274100257051</v>
      </c>
      <c r="G102" s="27">
        <f t="shared" ref="G102:Z102" si="2">_xlfn.PERCENTILE.INC(G2:G98,0.75)</f>
        <v>30505.4542</v>
      </c>
      <c r="H102" s="27">
        <f t="shared" si="2"/>
        <v>33161.588089942903</v>
      </c>
      <c r="I102" s="27">
        <f t="shared" si="2"/>
        <v>35765.558324999998</v>
      </c>
      <c r="J102" s="27">
        <f t="shared" si="2"/>
        <v>38034.971023567698</v>
      </c>
      <c r="K102" s="27">
        <f t="shared" si="2"/>
        <v>30862.73</v>
      </c>
      <c r="L102" s="27">
        <f t="shared" si="2"/>
        <v>23723.980899999999</v>
      </c>
      <c r="M102" s="27">
        <f t="shared" si="2"/>
        <v>17221.83655</v>
      </c>
      <c r="N102" s="27">
        <f t="shared" si="2"/>
        <v>12369.915274999999</v>
      </c>
      <c r="O102" s="27">
        <f t="shared" si="2"/>
        <v>8406.3480060451802</v>
      </c>
      <c r="P102" s="27">
        <f t="shared" si="2"/>
        <v>5792.4838243196928</v>
      </c>
      <c r="Q102" s="27">
        <f t="shared" si="2"/>
        <v>3324.1534750000001</v>
      </c>
      <c r="R102" s="27">
        <f t="shared" si="2"/>
        <v>3036.4875277343749</v>
      </c>
      <c r="S102" s="27">
        <f t="shared" si="2"/>
        <v>1870.7019869939386</v>
      </c>
      <c r="T102" s="27">
        <f t="shared" si="2"/>
        <v>1309.2712664406449</v>
      </c>
      <c r="U102" s="27">
        <f t="shared" si="2"/>
        <v>1277.5131251392968</v>
      </c>
      <c r="V102" s="27">
        <f t="shared" si="2"/>
        <v>821.74166751270297</v>
      </c>
      <c r="W102" s="27">
        <f t="shared" si="2"/>
        <v>808.90974985999537</v>
      </c>
      <c r="X102" s="27">
        <f t="shared" si="2"/>
        <v>577.04930541515341</v>
      </c>
      <c r="Y102" s="27">
        <f t="shared" si="2"/>
        <v>691.87609906233058</v>
      </c>
      <c r="Z102" s="27">
        <f t="shared" si="2"/>
        <v>440.36233178558348</v>
      </c>
    </row>
    <row r="104" spans="3:30">
      <c r="F104" s="27">
        <f>MAX(F$2:F$98)</f>
        <v>26469.2741105321</v>
      </c>
      <c r="G104" s="27">
        <f t="shared" ref="G104:AD104" si="3">MAX(G$2:G$98)</f>
        <v>30872.6830935</v>
      </c>
      <c r="H104" s="27">
        <f t="shared" si="3"/>
        <v>33750.415374999997</v>
      </c>
      <c r="I104" s="27">
        <f t="shared" si="3"/>
        <v>38417.441500000001</v>
      </c>
      <c r="J104" s="27">
        <f t="shared" si="3"/>
        <v>40561.246124999998</v>
      </c>
      <c r="K104" s="27">
        <f t="shared" si="3"/>
        <v>36677</v>
      </c>
      <c r="L104" s="27">
        <f t="shared" si="3"/>
        <v>33581.577178955078</v>
      </c>
      <c r="M104" s="27">
        <f t="shared" si="3"/>
        <v>26677.99</v>
      </c>
      <c r="N104" s="27">
        <f t="shared" si="3"/>
        <v>26403.876371428902</v>
      </c>
      <c r="O104" s="27">
        <f t="shared" si="3"/>
        <v>19359.900000000001</v>
      </c>
      <c r="P104" s="27">
        <f t="shared" si="3"/>
        <v>18274.855415978502</v>
      </c>
      <c r="Q104" s="27">
        <f t="shared" si="3"/>
        <v>12272.22</v>
      </c>
      <c r="R104" s="27">
        <f t="shared" si="3"/>
        <v>9535.4715098448505</v>
      </c>
      <c r="S104" s="27">
        <f t="shared" si="3"/>
        <v>3818.7647202640642</v>
      </c>
      <c r="T104" s="27">
        <f t="shared" si="3"/>
        <v>4957.7826176915396</v>
      </c>
      <c r="U104" s="27">
        <f t="shared" si="3"/>
        <v>4603.0546646446028</v>
      </c>
      <c r="V104" s="27">
        <f t="shared" si="3"/>
        <v>5127.8938319999997</v>
      </c>
      <c r="W104" s="27">
        <f t="shared" si="3"/>
        <v>5399.7161125909333</v>
      </c>
      <c r="X104" s="27">
        <f t="shared" si="3"/>
        <v>5752.5963823446746</v>
      </c>
      <c r="Y104" s="27">
        <f t="shared" si="3"/>
        <v>5771.4457287737023</v>
      </c>
      <c r="Z104" s="27">
        <f t="shared" si="3"/>
        <v>5955.9909202753952</v>
      </c>
      <c r="AA104" s="27">
        <f t="shared" si="3"/>
        <v>0</v>
      </c>
      <c r="AB104" s="27">
        <f t="shared" si="3"/>
        <v>0</v>
      </c>
      <c r="AC104" s="27">
        <f t="shared" si="3"/>
        <v>0</v>
      </c>
      <c r="AD104" s="27">
        <f t="shared" si="3"/>
        <v>0</v>
      </c>
    </row>
    <row r="105" spans="3:30">
      <c r="F105" s="27">
        <f>MEDIAN(F$2:F$98)</f>
        <v>26469.274100257051</v>
      </c>
      <c r="G105" s="27">
        <f t="shared" ref="G105:AD105" si="4">MEDIAN(G$2:G$98)</f>
        <v>29555.039799999999</v>
      </c>
      <c r="H105" s="27">
        <f t="shared" si="4"/>
        <v>32773.0075</v>
      </c>
      <c r="I105" s="27">
        <f t="shared" si="4"/>
        <v>35051.237974646298</v>
      </c>
      <c r="J105" s="27">
        <f t="shared" si="4"/>
        <v>36284.075472216791</v>
      </c>
      <c r="K105" s="27">
        <f t="shared" si="4"/>
        <v>28896.188699999999</v>
      </c>
      <c r="L105" s="27">
        <f t="shared" si="4"/>
        <v>21512.7467</v>
      </c>
      <c r="M105" s="27">
        <f t="shared" si="4"/>
        <v>15102.895699999999</v>
      </c>
      <c r="N105" s="27">
        <f t="shared" si="4"/>
        <v>10208.2994</v>
      </c>
      <c r="O105" s="27">
        <f t="shared" si="4"/>
        <v>5718.8780000000024</v>
      </c>
      <c r="P105" s="27">
        <f t="shared" si="4"/>
        <v>3590.8440000000001</v>
      </c>
      <c r="Q105" s="27">
        <f t="shared" si="4"/>
        <v>1747.4752990308762</v>
      </c>
      <c r="R105" s="27">
        <f t="shared" si="4"/>
        <v>784.29796075355853</v>
      </c>
      <c r="S105" s="27">
        <f t="shared" si="4"/>
        <v>11.4832</v>
      </c>
      <c r="T105" s="27">
        <f t="shared" si="4"/>
        <v>-385.59601750702063</v>
      </c>
      <c r="U105" s="27">
        <f t="shared" si="4"/>
        <v>0.02</v>
      </c>
      <c r="V105" s="27">
        <f t="shared" si="4"/>
        <v>-1537.1613500000001</v>
      </c>
      <c r="W105" s="27">
        <f t="shared" si="4"/>
        <v>-691.30909585952759</v>
      </c>
      <c r="X105" s="27">
        <f t="shared" si="4"/>
        <v>-2377.09645</v>
      </c>
      <c r="Y105" s="27">
        <f t="shared" si="4"/>
        <v>-599.3097128868103</v>
      </c>
      <c r="Z105" s="27">
        <f t="shared" si="4"/>
        <v>-3623.0903294800246</v>
      </c>
      <c r="AA105" s="27" t="e">
        <f t="shared" si="4"/>
        <v>#NUM!</v>
      </c>
      <c r="AB105" s="27" t="e">
        <f t="shared" si="4"/>
        <v>#NUM!</v>
      </c>
      <c r="AC105" s="27" t="e">
        <f t="shared" si="4"/>
        <v>#NUM!</v>
      </c>
      <c r="AD105" s="27" t="e">
        <f t="shared" si="4"/>
        <v>#NUM!</v>
      </c>
    </row>
    <row r="106" spans="3:30">
      <c r="F106" s="27">
        <f>MIN(F$2:F$98)</f>
        <v>24347.46484375</v>
      </c>
      <c r="G106" s="27">
        <f t="shared" ref="G106:AD106" si="5">MIN(G$2:G$98)</f>
        <v>27888.711020527899</v>
      </c>
      <c r="H106" s="27">
        <f t="shared" si="5"/>
        <v>30444.0141</v>
      </c>
      <c r="I106" s="27">
        <f t="shared" si="5"/>
        <v>32677.111400000002</v>
      </c>
      <c r="J106" s="27">
        <f t="shared" si="5"/>
        <v>33089.013400000003</v>
      </c>
      <c r="K106" s="27">
        <f t="shared" si="5"/>
        <v>19422.135484663999</v>
      </c>
      <c r="L106" s="27">
        <f t="shared" si="5"/>
        <v>-17.508899041712901</v>
      </c>
      <c r="M106" s="27">
        <f t="shared" si="5"/>
        <v>-5816.9530128057804</v>
      </c>
      <c r="N106" s="27">
        <f t="shared" si="5"/>
        <v>-4235.3556796220801</v>
      </c>
      <c r="O106" s="27">
        <f t="shared" si="5"/>
        <v>-4565.6740975476896</v>
      </c>
      <c r="P106" s="27">
        <f t="shared" si="5"/>
        <v>-8565</v>
      </c>
      <c r="Q106" s="27">
        <f t="shared" si="5"/>
        <v>-6513.7924000000003</v>
      </c>
      <c r="R106" s="27">
        <f t="shared" si="5"/>
        <v>-11630</v>
      </c>
      <c r="S106" s="27">
        <f t="shared" si="5"/>
        <v>-7856.6286484374996</v>
      </c>
      <c r="T106" s="27">
        <f t="shared" si="5"/>
        <v>-12650</v>
      </c>
      <c r="U106" s="27">
        <f t="shared" si="5"/>
        <v>-10513.06790625</v>
      </c>
      <c r="V106" s="27">
        <f t="shared" si="5"/>
        <v>-13450</v>
      </c>
      <c r="W106" s="27">
        <f t="shared" si="5"/>
        <v>-13595.592000000001</v>
      </c>
      <c r="X106" s="27">
        <f t="shared" si="5"/>
        <v>-14064.910062499999</v>
      </c>
      <c r="Y106" s="27">
        <f t="shared" si="5"/>
        <v>-14043.256187499999</v>
      </c>
      <c r="Z106" s="27">
        <f t="shared" si="5"/>
        <v>-14866.517009972</v>
      </c>
      <c r="AA106" s="27">
        <f t="shared" si="5"/>
        <v>0</v>
      </c>
      <c r="AB106" s="27">
        <f t="shared" si="5"/>
        <v>0</v>
      </c>
      <c r="AC106" s="27">
        <f t="shared" si="5"/>
        <v>0</v>
      </c>
      <c r="AD106" s="27">
        <f t="shared" si="5"/>
        <v>0</v>
      </c>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B021F4-E36B-4836-82A2-60FA2BDDB6AA}">
  <sheetPr codeName="Sheet32">
    <tabColor theme="7" tint="0.79998168889431442"/>
  </sheetPr>
  <dimension ref="A1:AD106"/>
  <sheetViews>
    <sheetView topLeftCell="B1" workbookViewId="0">
      <pane ySplit="1" topLeftCell="A29" activePane="bottomLeft" state="frozen"/>
      <selection pane="bottomLeft" activeCell="E127" sqref="E127"/>
      <selection activeCell="P95" sqref="P95"/>
    </sheetView>
  </sheetViews>
  <sheetFormatPr defaultColWidth="9.140625" defaultRowHeight="15.75"/>
  <cols>
    <col min="1" max="16384" width="9.140625" style="27"/>
  </cols>
  <sheetData>
    <row r="1" spans="1:30">
      <c r="A1" s="27" t="s">
        <v>193</v>
      </c>
      <c r="B1" s="27" t="s">
        <v>194</v>
      </c>
      <c r="C1" s="27" t="s">
        <v>195</v>
      </c>
      <c r="D1" s="27" t="s">
        <v>64</v>
      </c>
      <c r="E1" s="27" t="s">
        <v>65</v>
      </c>
      <c r="F1" s="27">
        <v>2000</v>
      </c>
      <c r="G1" s="27">
        <v>2005</v>
      </c>
      <c r="H1" s="27">
        <v>2010</v>
      </c>
      <c r="I1" s="27">
        <v>2015</v>
      </c>
      <c r="J1" s="27">
        <v>2020</v>
      </c>
      <c r="K1" s="27">
        <v>2021</v>
      </c>
      <c r="L1" s="27">
        <v>2022</v>
      </c>
      <c r="M1" s="27">
        <v>2023</v>
      </c>
      <c r="N1" s="27">
        <v>2024</v>
      </c>
      <c r="O1" s="27">
        <v>2025</v>
      </c>
      <c r="P1" s="27">
        <v>2030</v>
      </c>
      <c r="Q1" s="27">
        <v>2035</v>
      </c>
      <c r="R1" s="27">
        <v>2040</v>
      </c>
      <c r="S1" s="27">
        <v>2045</v>
      </c>
      <c r="T1" s="27">
        <v>2050</v>
      </c>
      <c r="U1" s="27">
        <v>2055</v>
      </c>
      <c r="V1" s="27">
        <v>2060</v>
      </c>
      <c r="W1" s="27">
        <v>2065</v>
      </c>
      <c r="X1" s="27">
        <v>2070</v>
      </c>
      <c r="Y1" s="27">
        <v>2075</v>
      </c>
      <c r="Z1" s="27">
        <v>2080</v>
      </c>
      <c r="AA1" s="27">
        <v>2085</v>
      </c>
      <c r="AB1" s="27">
        <v>2090</v>
      </c>
      <c r="AC1" s="27">
        <v>2095</v>
      </c>
      <c r="AD1" s="27">
        <v>2100</v>
      </c>
    </row>
    <row r="2" spans="1:30">
      <c r="A2" s="27" t="s">
        <v>196</v>
      </c>
      <c r="B2" s="27" t="s">
        <v>197</v>
      </c>
      <c r="C2" s="27" t="s">
        <v>198</v>
      </c>
      <c r="D2" s="27" t="s">
        <v>1154</v>
      </c>
      <c r="E2" s="27" t="s">
        <v>75</v>
      </c>
      <c r="F2" s="27" t="s">
        <v>200</v>
      </c>
      <c r="G2" s="27">
        <v>3716.6813999999999</v>
      </c>
      <c r="H2" s="27">
        <v>4189.5450000000001</v>
      </c>
      <c r="I2" s="27">
        <v>4257.2275</v>
      </c>
      <c r="J2" s="27">
        <v>4085.4883</v>
      </c>
      <c r="K2" s="27" t="s">
        <v>200</v>
      </c>
      <c r="L2" s="27" t="s">
        <v>200</v>
      </c>
      <c r="M2" s="27" t="s">
        <v>200</v>
      </c>
      <c r="N2" s="27" t="s">
        <v>200</v>
      </c>
      <c r="O2" s="27">
        <v>891.99829999999997</v>
      </c>
      <c r="P2" s="27">
        <v>-75.762100000000004</v>
      </c>
      <c r="Q2" s="27">
        <v>-448.82799999999997</v>
      </c>
      <c r="R2" s="27">
        <v>-396.85509999999999</v>
      </c>
      <c r="S2" s="27">
        <v>-249.12100000000001</v>
      </c>
      <c r="T2" s="27">
        <v>-176.5532</v>
      </c>
      <c r="U2" s="27">
        <v>-234.9537</v>
      </c>
      <c r="V2" s="27">
        <v>-397.56689999999998</v>
      </c>
      <c r="W2" s="27" t="s">
        <v>200</v>
      </c>
      <c r="X2" s="27">
        <v>-603.06830000000002</v>
      </c>
      <c r="Y2" s="27" t="s">
        <v>200</v>
      </c>
      <c r="Z2" s="27">
        <v>-792.03520000000003</v>
      </c>
      <c r="AA2" s="27" t="s">
        <v>200</v>
      </c>
      <c r="AB2" s="27">
        <v>-903.2867</v>
      </c>
      <c r="AC2" s="27" t="s">
        <v>200</v>
      </c>
      <c r="AD2" s="27">
        <v>-916.33100000000002</v>
      </c>
    </row>
    <row r="3" spans="1:30">
      <c r="A3" s="27" t="s">
        <v>196</v>
      </c>
      <c r="B3" s="27" t="s">
        <v>201</v>
      </c>
      <c r="C3" s="27" t="s">
        <v>198</v>
      </c>
      <c r="D3" s="27" t="s">
        <v>1154</v>
      </c>
      <c r="E3" s="27" t="s">
        <v>75</v>
      </c>
      <c r="F3" s="27" t="s">
        <v>200</v>
      </c>
      <c r="G3" s="27" t="s">
        <v>200</v>
      </c>
      <c r="H3" s="27">
        <v>4436.7767000000003</v>
      </c>
      <c r="I3" s="27">
        <v>4501.4933000000001</v>
      </c>
      <c r="J3" s="27">
        <v>4377.8167000000003</v>
      </c>
      <c r="K3" s="27" t="s">
        <v>200</v>
      </c>
      <c r="L3" s="27" t="s">
        <v>200</v>
      </c>
      <c r="M3" s="27" t="s">
        <v>200</v>
      </c>
      <c r="N3" s="27" t="s">
        <v>200</v>
      </c>
      <c r="O3" s="27">
        <v>936.65</v>
      </c>
      <c r="P3" s="27">
        <v>-20.093299999999999</v>
      </c>
      <c r="Q3" s="27">
        <v>-348.44330000000002</v>
      </c>
      <c r="R3" s="27">
        <v>-159.16999999999999</v>
      </c>
      <c r="S3" s="27">
        <v>150.11330000000001</v>
      </c>
      <c r="T3" s="27">
        <v>253.99</v>
      </c>
      <c r="U3" s="27">
        <v>73.076700000000002</v>
      </c>
      <c r="V3" s="27">
        <v>-222.05330000000001</v>
      </c>
      <c r="W3" s="27" t="s">
        <v>200</v>
      </c>
      <c r="X3" s="27">
        <v>-438.27670000000001</v>
      </c>
      <c r="Y3" s="27" t="s">
        <v>200</v>
      </c>
      <c r="Z3" s="27">
        <v>-515.64329999999995</v>
      </c>
      <c r="AA3" s="27" t="s">
        <v>200</v>
      </c>
      <c r="AB3" s="27">
        <v>-484.14670000000001</v>
      </c>
      <c r="AC3" s="27" t="s">
        <v>200</v>
      </c>
      <c r="AD3" s="27">
        <v>-396</v>
      </c>
    </row>
    <row r="4" spans="1:30">
      <c r="A4" s="27" t="s">
        <v>196</v>
      </c>
      <c r="B4" s="27" t="s">
        <v>202</v>
      </c>
      <c r="C4" s="27" t="s">
        <v>198</v>
      </c>
      <c r="D4" s="27" t="s">
        <v>1154</v>
      </c>
      <c r="E4" s="27" t="s">
        <v>75</v>
      </c>
      <c r="F4" s="27" t="s">
        <v>200</v>
      </c>
      <c r="G4" s="27">
        <v>3713.6169</v>
      </c>
      <c r="H4" s="27">
        <v>4185.6859000000004</v>
      </c>
      <c r="I4" s="27">
        <v>4371.4515000000001</v>
      </c>
      <c r="J4" s="27">
        <v>4278.8032999999996</v>
      </c>
      <c r="K4" s="27" t="s">
        <v>200</v>
      </c>
      <c r="L4" s="27" t="s">
        <v>200</v>
      </c>
      <c r="M4" s="27" t="s">
        <v>200</v>
      </c>
      <c r="N4" s="27" t="s">
        <v>200</v>
      </c>
      <c r="O4" s="27">
        <v>904.76260000000002</v>
      </c>
      <c r="P4" s="27">
        <v>-17.657299999999999</v>
      </c>
      <c r="Q4" s="27">
        <v>-353.24020000000002</v>
      </c>
      <c r="R4" s="27">
        <v>-265.56009999999998</v>
      </c>
      <c r="S4" s="27">
        <v>-93.934899999999999</v>
      </c>
      <c r="T4" s="27">
        <v>6.9207000000000001</v>
      </c>
      <c r="U4" s="27">
        <v>23.812899999999999</v>
      </c>
      <c r="V4" s="27">
        <v>-27.382999999999999</v>
      </c>
      <c r="W4" s="27" t="s">
        <v>200</v>
      </c>
      <c r="X4" s="27">
        <v>-153.5607</v>
      </c>
      <c r="Y4" s="27" t="s">
        <v>200</v>
      </c>
      <c r="Z4" s="27">
        <v>-319.66300000000001</v>
      </c>
      <c r="AA4" s="27" t="s">
        <v>200</v>
      </c>
      <c r="AB4" s="27">
        <v>-413.15190000000001</v>
      </c>
      <c r="AC4" s="27" t="s">
        <v>200</v>
      </c>
      <c r="AD4" s="27">
        <v>-371.79050000000001</v>
      </c>
    </row>
    <row r="5" spans="1:30">
      <c r="A5" s="27" t="s">
        <v>203</v>
      </c>
      <c r="B5" s="27" t="s">
        <v>204</v>
      </c>
      <c r="C5" s="27" t="s">
        <v>198</v>
      </c>
      <c r="D5" s="27" t="s">
        <v>1154</v>
      </c>
      <c r="E5" s="27" t="s">
        <v>75</v>
      </c>
      <c r="F5" s="27" t="s">
        <v>200</v>
      </c>
      <c r="G5" s="27">
        <v>3773.0367000000001</v>
      </c>
      <c r="H5" s="27">
        <v>4037.5133000000001</v>
      </c>
      <c r="I5" s="27">
        <v>3990.6167</v>
      </c>
      <c r="J5" s="27">
        <v>3853.41</v>
      </c>
      <c r="K5" s="27" t="s">
        <v>200</v>
      </c>
      <c r="L5" s="27" t="s">
        <v>200</v>
      </c>
      <c r="M5" s="27" t="s">
        <v>200</v>
      </c>
      <c r="N5" s="27" t="s">
        <v>200</v>
      </c>
      <c r="O5" s="27">
        <v>1096.5533</v>
      </c>
      <c r="P5" s="27">
        <v>143.07329999999999</v>
      </c>
      <c r="Q5" s="27">
        <v>-198.99</v>
      </c>
      <c r="R5" s="27">
        <v>-151.47</v>
      </c>
      <c r="S5" s="27">
        <v>-79.1267</v>
      </c>
      <c r="T5" s="27">
        <v>-72.856700000000004</v>
      </c>
      <c r="U5" s="27">
        <v>-72.893299999999996</v>
      </c>
      <c r="V5" s="27">
        <v>-63.03</v>
      </c>
      <c r="W5" s="27" t="s">
        <v>200</v>
      </c>
      <c r="X5" s="27">
        <v>-99.22</v>
      </c>
      <c r="Y5" s="27" t="s">
        <v>200</v>
      </c>
      <c r="Z5" s="27">
        <v>-197.5967</v>
      </c>
      <c r="AA5" s="27" t="s">
        <v>200</v>
      </c>
      <c r="AB5" s="27">
        <v>-278.41000000000003</v>
      </c>
      <c r="AC5" s="27" t="s">
        <v>200</v>
      </c>
      <c r="AD5" s="27">
        <v>-266.3467</v>
      </c>
    </row>
    <row r="6" spans="1:30">
      <c r="A6" s="27" t="s">
        <v>205</v>
      </c>
      <c r="B6" s="27" t="s">
        <v>206</v>
      </c>
      <c r="C6" s="27" t="s">
        <v>198</v>
      </c>
      <c r="D6" s="27" t="s">
        <v>1154</v>
      </c>
      <c r="E6" s="27" t="s">
        <v>75</v>
      </c>
      <c r="F6" s="27" t="s">
        <v>200</v>
      </c>
      <c r="G6" s="27">
        <v>4533.16</v>
      </c>
      <c r="H6" s="27">
        <v>4091.41</v>
      </c>
      <c r="I6" s="27">
        <v>4152.7700000000004</v>
      </c>
      <c r="J6" s="27">
        <v>3010.49</v>
      </c>
      <c r="K6" s="27" t="s">
        <v>200</v>
      </c>
      <c r="L6" s="27" t="s">
        <v>200</v>
      </c>
      <c r="M6" s="27" t="s">
        <v>200</v>
      </c>
      <c r="N6" s="27" t="s">
        <v>200</v>
      </c>
      <c r="O6" s="27">
        <v>1936.24</v>
      </c>
      <c r="P6" s="27">
        <v>-1007.44</v>
      </c>
      <c r="Q6" s="27">
        <v>-2652.54</v>
      </c>
      <c r="R6" s="27">
        <v>-3520.53</v>
      </c>
      <c r="S6" s="27">
        <v>-3933.98</v>
      </c>
      <c r="T6" s="27">
        <v>-4083.14</v>
      </c>
      <c r="U6" s="27">
        <v>-4079.8</v>
      </c>
      <c r="V6" s="27">
        <v>-3989.52</v>
      </c>
      <c r="W6" s="27">
        <v>-3850.72</v>
      </c>
      <c r="X6" s="27">
        <v>-3686.1</v>
      </c>
      <c r="Y6" s="27">
        <v>-3509.16</v>
      </c>
      <c r="Z6" s="27">
        <v>-3328.1</v>
      </c>
      <c r="AA6" s="27">
        <v>-3147.95</v>
      </c>
      <c r="AB6" s="27">
        <v>-2971.83</v>
      </c>
      <c r="AC6" s="27">
        <v>-2801.67</v>
      </c>
      <c r="AD6" s="27">
        <v>-2638.65</v>
      </c>
    </row>
    <row r="7" spans="1:30">
      <c r="A7" s="27" t="s">
        <v>207</v>
      </c>
      <c r="B7" s="27" t="s">
        <v>208</v>
      </c>
      <c r="C7" s="27" t="s">
        <v>198</v>
      </c>
      <c r="D7" s="27" t="s">
        <v>1154</v>
      </c>
      <c r="E7" s="27" t="s">
        <v>75</v>
      </c>
      <c r="F7" s="27">
        <v>5811.8708999999999</v>
      </c>
      <c r="G7" s="27">
        <v>5837.5441666666666</v>
      </c>
      <c r="H7" s="27">
        <v>6249.0666333333338</v>
      </c>
      <c r="I7" s="27">
        <v>5862.1313666666674</v>
      </c>
      <c r="J7" s="27">
        <v>5470.9691666666668</v>
      </c>
      <c r="K7" s="27" t="s">
        <v>200</v>
      </c>
      <c r="L7" s="27" t="s">
        <v>200</v>
      </c>
      <c r="M7" s="27" t="s">
        <v>200</v>
      </c>
      <c r="N7" s="27" t="s">
        <v>200</v>
      </c>
      <c r="O7" s="27">
        <v>2778.0055400670558</v>
      </c>
      <c r="P7" s="27">
        <v>86.386139702841461</v>
      </c>
      <c r="Q7" s="27">
        <v>-678.55135659408438</v>
      </c>
      <c r="R7" s="27">
        <v>-1437.1417870794421</v>
      </c>
      <c r="S7" s="27">
        <v>-2006.7676905970261</v>
      </c>
      <c r="T7" s="27">
        <v>-2584.9009412427899</v>
      </c>
      <c r="U7" s="27">
        <v>-2977.1090174633032</v>
      </c>
      <c r="V7" s="27">
        <v>-3365.0946086857762</v>
      </c>
      <c r="W7" s="27" t="s">
        <v>200</v>
      </c>
      <c r="X7" s="27">
        <v>-4073.593091646168</v>
      </c>
      <c r="Y7" s="27" t="s">
        <v>200</v>
      </c>
      <c r="Z7" s="27">
        <v>-5044.8678395871984</v>
      </c>
      <c r="AA7" s="27" t="s">
        <v>200</v>
      </c>
      <c r="AB7" s="27">
        <v>-5708.2452991749733</v>
      </c>
      <c r="AC7" s="27" t="s">
        <v>200</v>
      </c>
      <c r="AD7" s="27">
        <v>-5939.7626096184849</v>
      </c>
    </row>
    <row r="8" spans="1:30">
      <c r="A8" s="27" t="s">
        <v>209</v>
      </c>
      <c r="B8" s="27" t="s">
        <v>210</v>
      </c>
      <c r="C8" s="27" t="s">
        <v>198</v>
      </c>
      <c r="D8" s="27" t="s">
        <v>1154</v>
      </c>
      <c r="E8" s="27" t="s">
        <v>75</v>
      </c>
      <c r="F8" s="27" t="s">
        <v>200</v>
      </c>
      <c r="G8" s="27" t="s">
        <v>200</v>
      </c>
      <c r="H8" s="27">
        <v>3302.4528</v>
      </c>
      <c r="I8" s="27">
        <v>3243.7833999999998</v>
      </c>
      <c r="J8" s="27">
        <v>3188.9090000000001</v>
      </c>
      <c r="K8" s="27" t="s">
        <v>200</v>
      </c>
      <c r="L8" s="27" t="s">
        <v>200</v>
      </c>
      <c r="M8" s="27" t="s">
        <v>200</v>
      </c>
      <c r="N8" s="27" t="s">
        <v>200</v>
      </c>
      <c r="O8" s="27">
        <v>1416.2754</v>
      </c>
      <c r="P8" s="27">
        <v>227.44279999999989</v>
      </c>
      <c r="Q8" s="27">
        <v>-1522.5962999999999</v>
      </c>
      <c r="R8" s="27">
        <v>-2983.4041000000002</v>
      </c>
      <c r="S8" s="27">
        <v>-2344.0034000000001</v>
      </c>
      <c r="T8" s="27">
        <v>-3023.0907000000002</v>
      </c>
      <c r="U8" s="27">
        <v>-4420.2905999999984</v>
      </c>
      <c r="V8" s="27">
        <v>-3983.1961000000001</v>
      </c>
      <c r="W8" s="27">
        <v>-3709.406300000001</v>
      </c>
      <c r="X8" s="27">
        <v>-3424.7501000000002</v>
      </c>
      <c r="Y8" s="27">
        <v>-3220.4758999999999</v>
      </c>
      <c r="Z8" s="27">
        <v>-2903.9265999999998</v>
      </c>
      <c r="AA8" s="27">
        <v>-2721.1900999999998</v>
      </c>
      <c r="AB8" s="27">
        <v>-2500.5891000000001</v>
      </c>
      <c r="AC8" s="27">
        <v>-2302.8978999999999</v>
      </c>
      <c r="AD8" s="27">
        <v>-2089.1878999999999</v>
      </c>
    </row>
    <row r="9" spans="1:30">
      <c r="A9" s="27" t="s">
        <v>211</v>
      </c>
      <c r="B9" s="27" t="s">
        <v>212</v>
      </c>
      <c r="C9" s="27" t="s">
        <v>198</v>
      </c>
      <c r="D9" s="27" t="s">
        <v>1154</v>
      </c>
      <c r="E9" s="27" t="s">
        <v>75</v>
      </c>
      <c r="F9" s="27">
        <v>6592.3125</v>
      </c>
      <c r="G9" s="27">
        <v>6762.78955078125</v>
      </c>
      <c r="H9" s="27">
        <v>6933.2001953125</v>
      </c>
      <c r="I9" s="27" t="s">
        <v>200</v>
      </c>
      <c r="J9" s="27">
        <v>6108.45751953125</v>
      </c>
      <c r="K9" s="27" t="s">
        <v>200</v>
      </c>
      <c r="L9" s="27" t="s">
        <v>200</v>
      </c>
      <c r="M9" s="27" t="s">
        <v>200</v>
      </c>
      <c r="N9" s="27" t="s">
        <v>200</v>
      </c>
      <c r="O9" s="27" t="s">
        <v>200</v>
      </c>
      <c r="P9" s="27">
        <v>-95.031234741210895</v>
      </c>
      <c r="Q9" s="27" t="s">
        <v>200</v>
      </c>
      <c r="R9" s="27">
        <v>-1401.10485839844</v>
      </c>
      <c r="S9" s="27" t="s">
        <v>200</v>
      </c>
      <c r="T9" s="27">
        <v>-1961.37231445312</v>
      </c>
      <c r="U9" s="27" t="s">
        <v>200</v>
      </c>
      <c r="V9" s="27">
        <v>-3460.861328125</v>
      </c>
      <c r="W9" s="27" t="s">
        <v>200</v>
      </c>
      <c r="X9" s="27">
        <v>-3760.23974609375</v>
      </c>
      <c r="Y9" s="27" t="s">
        <v>200</v>
      </c>
      <c r="Z9" s="27">
        <v>-4414.66064453125</v>
      </c>
      <c r="AA9" s="27" t="s">
        <v>200</v>
      </c>
      <c r="AB9" s="27">
        <v>-4400.99658203125</v>
      </c>
      <c r="AC9" s="27" t="s">
        <v>200</v>
      </c>
      <c r="AD9" s="27">
        <v>-4162.06396484375</v>
      </c>
    </row>
    <row r="10" spans="1:30">
      <c r="A10" s="27" t="s">
        <v>196</v>
      </c>
      <c r="B10" s="27" t="s">
        <v>213</v>
      </c>
      <c r="C10" s="27" t="s">
        <v>198</v>
      </c>
      <c r="D10" s="27" t="s">
        <v>1154</v>
      </c>
      <c r="E10" s="27" t="s">
        <v>75</v>
      </c>
      <c r="F10" s="27" t="s">
        <v>200</v>
      </c>
      <c r="G10" s="27">
        <v>3717.7867000000001</v>
      </c>
      <c r="H10" s="27">
        <v>4189.8630000000003</v>
      </c>
      <c r="I10" s="27">
        <v>4262.6962999999996</v>
      </c>
      <c r="J10" s="27">
        <v>4081.9681999999998</v>
      </c>
      <c r="K10" s="27" t="s">
        <v>200</v>
      </c>
      <c r="L10" s="27" t="s">
        <v>200</v>
      </c>
      <c r="M10" s="27" t="s">
        <v>200</v>
      </c>
      <c r="N10" s="27" t="s">
        <v>200</v>
      </c>
      <c r="O10" s="27">
        <v>1413.5917999999999</v>
      </c>
      <c r="P10" s="27">
        <v>371.20280000000002</v>
      </c>
      <c r="Q10" s="27">
        <v>-366.4581</v>
      </c>
      <c r="R10" s="27">
        <v>-862.14059999999995</v>
      </c>
      <c r="S10" s="27">
        <v>-1215.1459</v>
      </c>
      <c r="T10" s="27">
        <v>-1404.1803</v>
      </c>
      <c r="U10" s="27">
        <v>-1470.7302999999999</v>
      </c>
      <c r="V10" s="27">
        <v>-1520.9078</v>
      </c>
      <c r="W10" s="27" t="s">
        <v>200</v>
      </c>
      <c r="X10" s="27">
        <v>-1639.8786</v>
      </c>
      <c r="Y10" s="27" t="s">
        <v>200</v>
      </c>
      <c r="Z10" s="27">
        <v>-1861.2681</v>
      </c>
      <c r="AA10" s="27" t="s">
        <v>200</v>
      </c>
      <c r="AB10" s="27">
        <v>-2119.8643999999999</v>
      </c>
      <c r="AC10" s="27" t="s">
        <v>200</v>
      </c>
      <c r="AD10" s="27">
        <v>-2272.3402999999998</v>
      </c>
    </row>
    <row r="11" spans="1:30">
      <c r="A11" s="27" t="s">
        <v>214</v>
      </c>
      <c r="B11" s="27" t="s">
        <v>215</v>
      </c>
      <c r="C11" s="27" t="s">
        <v>198</v>
      </c>
      <c r="D11" s="27" t="s">
        <v>1154</v>
      </c>
      <c r="E11" s="27" t="s">
        <v>75</v>
      </c>
      <c r="F11" s="27" t="s">
        <v>200</v>
      </c>
      <c r="G11" s="27">
        <v>2501.5965718553311</v>
      </c>
      <c r="H11" s="27">
        <v>3128.4515856696698</v>
      </c>
      <c r="I11" s="27" t="s">
        <v>200</v>
      </c>
      <c r="J11" s="27">
        <v>619.78073033800001</v>
      </c>
      <c r="K11" s="27" t="s">
        <v>200</v>
      </c>
      <c r="L11" s="27" t="s">
        <v>200</v>
      </c>
      <c r="M11" s="27" t="s">
        <v>200</v>
      </c>
      <c r="N11" s="27" t="s">
        <v>200</v>
      </c>
      <c r="O11" s="27" t="s">
        <v>200</v>
      </c>
      <c r="P11" s="27">
        <v>-12488.5021949233</v>
      </c>
      <c r="Q11" s="27" t="s">
        <v>200</v>
      </c>
      <c r="R11" s="27">
        <v>-15823.989061030299</v>
      </c>
      <c r="S11" s="27" t="s">
        <v>200</v>
      </c>
      <c r="T11" s="27">
        <v>-15012.151015077299</v>
      </c>
      <c r="U11" s="27" t="s">
        <v>200</v>
      </c>
      <c r="V11" s="27">
        <v>-10169.0711688867</v>
      </c>
      <c r="W11" s="27" t="s">
        <v>200</v>
      </c>
      <c r="X11" s="27">
        <v>-6359.1595523096703</v>
      </c>
      <c r="Y11" s="27" t="s">
        <v>200</v>
      </c>
      <c r="Z11" s="27">
        <v>-4254.3429956279997</v>
      </c>
      <c r="AA11" s="27" t="s">
        <v>200</v>
      </c>
      <c r="AB11" s="27">
        <v>-3490.33760549833</v>
      </c>
      <c r="AC11" s="27" t="s">
        <v>200</v>
      </c>
      <c r="AD11" s="27">
        <v>-2807.64939866033</v>
      </c>
    </row>
    <row r="12" spans="1:30">
      <c r="A12" s="27" t="s">
        <v>216</v>
      </c>
      <c r="B12" s="27" t="s">
        <v>217</v>
      </c>
      <c r="C12" s="27" t="s">
        <v>198</v>
      </c>
      <c r="D12" s="27" t="s">
        <v>1154</v>
      </c>
      <c r="E12" s="27" t="s">
        <v>75</v>
      </c>
      <c r="F12" s="27">
        <v>5811.8708999999999</v>
      </c>
      <c r="G12" s="27">
        <v>5837.5441666666702</v>
      </c>
      <c r="H12" s="27">
        <v>6249.0666333333302</v>
      </c>
      <c r="I12" s="27">
        <v>5862.1313666666701</v>
      </c>
      <c r="J12" s="27">
        <v>5475.0853666666699</v>
      </c>
      <c r="K12" s="27">
        <v>4880.4089400000003</v>
      </c>
      <c r="L12" s="27">
        <v>4298.38043656422</v>
      </c>
      <c r="M12" s="27">
        <v>3677.8858022101699</v>
      </c>
      <c r="N12" s="27">
        <v>3059.8935485408201</v>
      </c>
      <c r="O12" s="27">
        <v>2729.54283044263</v>
      </c>
      <c r="P12" s="27">
        <v>-1.7111803248594799</v>
      </c>
      <c r="Q12" s="27">
        <v>-748.50953728455704</v>
      </c>
      <c r="R12" s="27">
        <v>-1509.79809392979</v>
      </c>
      <c r="S12" s="27">
        <v>-2084.5973246910899</v>
      </c>
      <c r="T12" s="27">
        <v>-2678.2356609465401</v>
      </c>
      <c r="U12" s="27">
        <v>-3098.6189723458201</v>
      </c>
      <c r="V12" s="27">
        <v>-3424.7138913690601</v>
      </c>
      <c r="W12" s="27" t="s">
        <v>200</v>
      </c>
      <c r="X12" s="27">
        <v>-4058.6165121765498</v>
      </c>
      <c r="Y12" s="27" t="s">
        <v>200</v>
      </c>
      <c r="Z12" s="27">
        <v>-5127.3045135744596</v>
      </c>
      <c r="AA12" s="27" t="s">
        <v>200</v>
      </c>
      <c r="AB12" s="27">
        <v>-5688.8160150371104</v>
      </c>
      <c r="AC12" s="27" t="s">
        <v>200</v>
      </c>
      <c r="AD12" s="27">
        <v>-5883.3061428320798</v>
      </c>
    </row>
    <row r="13" spans="1:30">
      <c r="A13" s="27" t="s">
        <v>218</v>
      </c>
      <c r="B13" s="27" t="s">
        <v>219</v>
      </c>
      <c r="C13" s="27" t="s">
        <v>198</v>
      </c>
      <c r="D13" s="27" t="s">
        <v>1154</v>
      </c>
      <c r="E13" s="27" t="s">
        <v>75</v>
      </c>
      <c r="F13" s="27" t="s">
        <v>200</v>
      </c>
      <c r="G13" s="27">
        <v>6920.6133</v>
      </c>
      <c r="H13" s="27">
        <v>6905.8346000000001</v>
      </c>
      <c r="I13" s="27">
        <v>6998.7379000000001</v>
      </c>
      <c r="J13" s="27">
        <v>6768.4403000000002</v>
      </c>
      <c r="K13" s="27" t="s">
        <v>200</v>
      </c>
      <c r="L13" s="27" t="s">
        <v>200</v>
      </c>
      <c r="M13" s="27" t="s">
        <v>200</v>
      </c>
      <c r="N13" s="27" t="s">
        <v>200</v>
      </c>
      <c r="O13" s="27">
        <v>4128.9920000000002</v>
      </c>
      <c r="P13" s="27">
        <v>315.17380000000003</v>
      </c>
      <c r="Q13" s="27">
        <v>-4481.0320000000002</v>
      </c>
      <c r="R13" s="27">
        <v>-7316.6090000000004</v>
      </c>
      <c r="S13" s="27">
        <v>-8104.4589999999998</v>
      </c>
      <c r="T13" s="27">
        <v>-7661.7719999999999</v>
      </c>
      <c r="U13" s="27">
        <v>-7301.43</v>
      </c>
      <c r="V13" s="27">
        <v>-6879.5430000000024</v>
      </c>
      <c r="W13" s="27" t="s">
        <v>200</v>
      </c>
      <c r="X13" s="27">
        <v>-5648.2240000000002</v>
      </c>
      <c r="Y13" s="27" t="s">
        <v>200</v>
      </c>
      <c r="Z13" s="27">
        <v>-4065.5740000000001</v>
      </c>
      <c r="AA13" s="27" t="s">
        <v>200</v>
      </c>
      <c r="AB13" s="27">
        <v>-2910.6370000000002</v>
      </c>
      <c r="AC13" s="27" t="s">
        <v>200</v>
      </c>
      <c r="AD13" s="27">
        <v>-2408.2759999999998</v>
      </c>
    </row>
    <row r="14" spans="1:30">
      <c r="A14" s="27" t="s">
        <v>220</v>
      </c>
      <c r="B14" s="27" t="s">
        <v>221</v>
      </c>
      <c r="C14" s="27" t="s">
        <v>198</v>
      </c>
      <c r="D14" s="27" t="s">
        <v>1154</v>
      </c>
      <c r="E14" s="27" t="s">
        <v>75</v>
      </c>
      <c r="F14" s="27" t="s">
        <v>200</v>
      </c>
      <c r="G14" s="27">
        <v>4033.3333333333289</v>
      </c>
      <c r="H14" s="27">
        <v>3336.6666666666702</v>
      </c>
      <c r="I14" s="27" t="s">
        <v>200</v>
      </c>
      <c r="J14" s="27">
        <v>2518.4645795552001</v>
      </c>
      <c r="K14" s="27" t="s">
        <v>200</v>
      </c>
      <c r="L14" s="27" t="s">
        <v>200</v>
      </c>
      <c r="M14" s="27" t="s">
        <v>200</v>
      </c>
      <c r="N14" s="27" t="s">
        <v>200</v>
      </c>
      <c r="O14" s="27" t="s">
        <v>200</v>
      </c>
      <c r="P14" s="27">
        <v>-81.069012284289897</v>
      </c>
      <c r="Q14" s="27" t="s">
        <v>200</v>
      </c>
      <c r="R14" s="27">
        <v>-316.538303555943</v>
      </c>
      <c r="S14" s="27" t="s">
        <v>200</v>
      </c>
      <c r="T14" s="27">
        <v>-599.02813033166296</v>
      </c>
      <c r="U14" s="27" t="s">
        <v>200</v>
      </c>
      <c r="V14" s="27">
        <v>-952.5332274941768</v>
      </c>
      <c r="W14" s="27" t="s">
        <v>200</v>
      </c>
      <c r="X14" s="27">
        <v>-1123.51147201509</v>
      </c>
      <c r="Y14" s="27" t="s">
        <v>200</v>
      </c>
      <c r="Z14" s="27">
        <v>-1068.6165079852501</v>
      </c>
      <c r="AA14" s="27" t="s">
        <v>200</v>
      </c>
      <c r="AB14" s="27">
        <v>-1271.8085456505601</v>
      </c>
      <c r="AC14" s="27" t="s">
        <v>200</v>
      </c>
      <c r="AD14" s="27">
        <v>-1446.6352747374499</v>
      </c>
    </row>
    <row r="15" spans="1:30">
      <c r="A15" s="27" t="s">
        <v>222</v>
      </c>
      <c r="B15" s="27" t="s">
        <v>223</v>
      </c>
      <c r="C15" s="27" t="s">
        <v>198</v>
      </c>
      <c r="D15" s="27" t="s">
        <v>1154</v>
      </c>
      <c r="E15" s="27" t="s">
        <v>75</v>
      </c>
      <c r="F15" s="27" t="s">
        <v>200</v>
      </c>
      <c r="G15" s="27">
        <v>3650.3865999999998</v>
      </c>
      <c r="H15" s="27">
        <v>4219.1677</v>
      </c>
      <c r="I15" s="27">
        <v>4373.5944</v>
      </c>
      <c r="J15" s="27">
        <v>4270.8635000000004</v>
      </c>
      <c r="K15" s="27" t="s">
        <v>200</v>
      </c>
      <c r="L15" s="27" t="s">
        <v>200</v>
      </c>
      <c r="M15" s="27" t="s">
        <v>200</v>
      </c>
      <c r="N15" s="27" t="s">
        <v>200</v>
      </c>
      <c r="O15" s="27">
        <v>1611.5775000000001</v>
      </c>
      <c r="P15" s="27">
        <v>453.56509999999997</v>
      </c>
      <c r="Q15" s="27">
        <v>25.622399999999999</v>
      </c>
      <c r="R15" s="27">
        <v>61.866599999999998</v>
      </c>
      <c r="S15" s="27">
        <v>131.9794</v>
      </c>
      <c r="T15" s="27">
        <v>77.058199999999999</v>
      </c>
      <c r="U15" s="27">
        <v>-92.363100000000003</v>
      </c>
      <c r="V15" s="27">
        <v>-313.35250000000002</v>
      </c>
      <c r="W15" s="27" t="s">
        <v>200</v>
      </c>
      <c r="X15" s="27">
        <v>-524.39850000000001</v>
      </c>
      <c r="Y15" s="27" t="s">
        <v>200</v>
      </c>
      <c r="Z15" s="27">
        <v>-676.3098</v>
      </c>
      <c r="AA15" s="27" t="s">
        <v>200</v>
      </c>
      <c r="AB15" s="27">
        <v>-727.95759999999996</v>
      </c>
      <c r="AC15" s="27" t="s">
        <v>200</v>
      </c>
      <c r="AD15" s="27">
        <v>-686.03719999999998</v>
      </c>
    </row>
    <row r="16" spans="1:30">
      <c r="A16" s="27" t="s">
        <v>196</v>
      </c>
      <c r="B16" s="27" t="s">
        <v>224</v>
      </c>
      <c r="C16" s="27" t="s">
        <v>198</v>
      </c>
      <c r="D16" s="27" t="s">
        <v>1154</v>
      </c>
      <c r="E16" s="27" t="s">
        <v>75</v>
      </c>
      <c r="F16" s="27" t="s">
        <v>200</v>
      </c>
      <c r="G16" s="27">
        <v>3716.6813999999999</v>
      </c>
      <c r="H16" s="27">
        <v>4189.5450000000001</v>
      </c>
      <c r="I16" s="27">
        <v>4257.2275</v>
      </c>
      <c r="J16" s="27">
        <v>4085.4883</v>
      </c>
      <c r="K16" s="27" t="s">
        <v>200</v>
      </c>
      <c r="L16" s="27" t="s">
        <v>200</v>
      </c>
      <c r="M16" s="27" t="s">
        <v>200</v>
      </c>
      <c r="N16" s="27" t="s">
        <v>200</v>
      </c>
      <c r="O16" s="27">
        <v>938.47919999999999</v>
      </c>
      <c r="P16" s="27">
        <v>-47.7363</v>
      </c>
      <c r="Q16" s="27">
        <v>-432.64699999999999</v>
      </c>
      <c r="R16" s="27">
        <v>-372.29489999999998</v>
      </c>
      <c r="S16" s="27">
        <v>-207.50960000000001</v>
      </c>
      <c r="T16" s="27">
        <v>-125.19629999999999</v>
      </c>
      <c r="U16" s="27">
        <v>-186.05629999999999</v>
      </c>
      <c r="V16" s="27">
        <v>-356.20729999999998</v>
      </c>
      <c r="W16" s="27" t="s">
        <v>200</v>
      </c>
      <c r="X16" s="27">
        <v>-560.70600000000002</v>
      </c>
      <c r="Y16" s="27" t="s">
        <v>200</v>
      </c>
      <c r="Z16" s="27">
        <v>-735.37170000000003</v>
      </c>
      <c r="AA16" s="27" t="s">
        <v>200</v>
      </c>
      <c r="AB16" s="27">
        <v>-829.98310000000004</v>
      </c>
      <c r="AC16" s="27" t="s">
        <v>200</v>
      </c>
      <c r="AD16" s="27">
        <v>-836.38070000000005</v>
      </c>
    </row>
    <row r="17" spans="1:30">
      <c r="A17" s="27" t="s">
        <v>207</v>
      </c>
      <c r="B17" s="27" t="s">
        <v>225</v>
      </c>
      <c r="C17" s="27" t="s">
        <v>198</v>
      </c>
      <c r="D17" s="27" t="s">
        <v>1154</v>
      </c>
      <c r="E17" s="27" t="s">
        <v>75</v>
      </c>
      <c r="F17" s="27">
        <v>5811.8708999999999</v>
      </c>
      <c r="G17" s="27">
        <v>5837.5441666666666</v>
      </c>
      <c r="H17" s="27">
        <v>6249.0666333333338</v>
      </c>
      <c r="I17" s="27">
        <v>5862.1313666666674</v>
      </c>
      <c r="J17" s="27">
        <v>5470.9691666666668</v>
      </c>
      <c r="K17" s="27" t="s">
        <v>200</v>
      </c>
      <c r="L17" s="27" t="s">
        <v>200</v>
      </c>
      <c r="M17" s="27" t="s">
        <v>200</v>
      </c>
      <c r="N17" s="27" t="s">
        <v>200</v>
      </c>
      <c r="O17" s="27">
        <v>2772.231366666666</v>
      </c>
      <c r="P17" s="27">
        <v>74.405232730697932</v>
      </c>
      <c r="Q17" s="27">
        <v>-691.70050259250365</v>
      </c>
      <c r="R17" s="27">
        <v>-1451.7783267984171</v>
      </c>
      <c r="S17" s="27">
        <v>-2039.271663662229</v>
      </c>
      <c r="T17" s="27">
        <v>-2635.191850288114</v>
      </c>
      <c r="U17" s="27">
        <v>-3019.3692964355241</v>
      </c>
      <c r="V17" s="27">
        <v>-3403.2458008884591</v>
      </c>
      <c r="W17" s="27" t="s">
        <v>200</v>
      </c>
      <c r="X17" s="27">
        <v>-4062.555388722606</v>
      </c>
      <c r="Y17" s="27" t="s">
        <v>200</v>
      </c>
      <c r="Z17" s="27">
        <v>-5062.1285139883594</v>
      </c>
      <c r="AA17" s="27" t="s">
        <v>200</v>
      </c>
      <c r="AB17" s="27">
        <v>-5746.4527402374524</v>
      </c>
      <c r="AC17" s="27" t="s">
        <v>200</v>
      </c>
      <c r="AD17" s="27">
        <v>-5948.4068949641878</v>
      </c>
    </row>
    <row r="18" spans="1:30">
      <c r="A18" s="27" t="s">
        <v>226</v>
      </c>
      <c r="B18" s="27" t="s">
        <v>227</v>
      </c>
      <c r="C18" s="27" t="s">
        <v>198</v>
      </c>
      <c r="D18" s="27" t="s">
        <v>1154</v>
      </c>
      <c r="E18" s="27" t="s">
        <v>75</v>
      </c>
      <c r="F18" s="27" t="s">
        <v>200</v>
      </c>
      <c r="G18" s="27">
        <v>4527.9134999999997</v>
      </c>
      <c r="H18" s="27">
        <v>5512.6163999999999</v>
      </c>
      <c r="I18" s="27">
        <v>6692.9022999999997</v>
      </c>
      <c r="J18" s="27">
        <v>6020.9519999999984</v>
      </c>
      <c r="K18" s="27" t="s">
        <v>200</v>
      </c>
      <c r="L18" s="27" t="s">
        <v>200</v>
      </c>
      <c r="M18" s="27" t="s">
        <v>200</v>
      </c>
      <c r="N18" s="27" t="s">
        <v>200</v>
      </c>
      <c r="O18" s="27">
        <v>3088.1044999999999</v>
      </c>
      <c r="P18" s="27">
        <v>508.84859999999998</v>
      </c>
      <c r="Q18" s="27">
        <v>-1118.0009</v>
      </c>
      <c r="R18" s="27">
        <v>-2650.1662999999999</v>
      </c>
      <c r="S18" s="27">
        <v>-3847.2927</v>
      </c>
      <c r="T18" s="27">
        <v>-4591.4807000000001</v>
      </c>
      <c r="U18" s="27">
        <v>-4844.2736999999997</v>
      </c>
      <c r="V18" s="27">
        <v>-4344.8474999999999</v>
      </c>
      <c r="W18" s="27" t="s">
        <v>200</v>
      </c>
      <c r="X18" s="27">
        <v>-3172.5318000000002</v>
      </c>
      <c r="Y18" s="27" t="s">
        <v>200</v>
      </c>
      <c r="Z18" s="27">
        <v>-1984.2039</v>
      </c>
      <c r="AA18" s="27" t="s">
        <v>200</v>
      </c>
      <c r="AB18" s="27">
        <v>-1302.1971000000001</v>
      </c>
      <c r="AC18" s="27" t="s">
        <v>200</v>
      </c>
      <c r="AD18" s="27">
        <v>-949.05989999999997</v>
      </c>
    </row>
    <row r="19" spans="1:30">
      <c r="A19" s="27" t="s">
        <v>226</v>
      </c>
      <c r="B19" s="27" t="s">
        <v>228</v>
      </c>
      <c r="C19" s="27" t="s">
        <v>198</v>
      </c>
      <c r="D19" s="27" t="s">
        <v>1154</v>
      </c>
      <c r="E19" s="27" t="s">
        <v>75</v>
      </c>
      <c r="F19" s="27" t="s">
        <v>200</v>
      </c>
      <c r="G19" s="27">
        <v>4523.6156000000001</v>
      </c>
      <c r="H19" s="27">
        <v>5334.2510000000002</v>
      </c>
      <c r="I19" s="27">
        <v>6207.1692999999996</v>
      </c>
      <c r="J19" s="27">
        <v>5661.357</v>
      </c>
      <c r="K19" s="27" t="s">
        <v>200</v>
      </c>
      <c r="L19" s="27" t="s">
        <v>200</v>
      </c>
      <c r="M19" s="27" t="s">
        <v>200</v>
      </c>
      <c r="N19" s="27" t="s">
        <v>200</v>
      </c>
      <c r="O19" s="27">
        <v>3085.0655000000002</v>
      </c>
      <c r="P19" s="27">
        <v>650.89620000000002</v>
      </c>
      <c r="Q19" s="27">
        <v>-883.69240000000002</v>
      </c>
      <c r="R19" s="27">
        <v>-2334.9913000000001</v>
      </c>
      <c r="S19" s="27">
        <v>-3688.2957000000001</v>
      </c>
      <c r="T19" s="27">
        <v>-4765.5834000000004</v>
      </c>
      <c r="U19" s="27">
        <v>-5451.2942999999996</v>
      </c>
      <c r="V19" s="27">
        <v>-5605.5550000000003</v>
      </c>
      <c r="W19" s="27" t="s">
        <v>200</v>
      </c>
      <c r="X19" s="27">
        <v>-5500.9237999999996</v>
      </c>
      <c r="Y19" s="27" t="s">
        <v>200</v>
      </c>
      <c r="Z19" s="27">
        <v>-5574.6082999999999</v>
      </c>
      <c r="AA19" s="27" t="s">
        <v>200</v>
      </c>
      <c r="AB19" s="27">
        <v>-5514.3716000000004</v>
      </c>
      <c r="AC19" s="27" t="s">
        <v>200</v>
      </c>
      <c r="AD19" s="27">
        <v>-5232.1975000000002</v>
      </c>
    </row>
    <row r="20" spans="1:30">
      <c r="A20" s="27" t="s">
        <v>207</v>
      </c>
      <c r="B20" s="27" t="s">
        <v>229</v>
      </c>
      <c r="C20" s="27" t="s">
        <v>198</v>
      </c>
      <c r="D20" s="27" t="s">
        <v>1154</v>
      </c>
      <c r="E20" s="27" t="s">
        <v>75</v>
      </c>
      <c r="F20" s="27">
        <v>5811.8708999999999</v>
      </c>
      <c r="G20" s="27">
        <v>5837.5441666666666</v>
      </c>
      <c r="H20" s="27">
        <v>6249.0666333333338</v>
      </c>
      <c r="I20" s="27">
        <v>5862.1313666666674</v>
      </c>
      <c r="J20" s="27">
        <v>5470.9691666666668</v>
      </c>
      <c r="K20" s="27" t="s">
        <v>200</v>
      </c>
      <c r="L20" s="27" t="s">
        <v>200</v>
      </c>
      <c r="M20" s="27" t="s">
        <v>200</v>
      </c>
      <c r="N20" s="27" t="s">
        <v>200</v>
      </c>
      <c r="O20" s="27">
        <v>2766.598313948658</v>
      </c>
      <c r="P20" s="27">
        <v>64.188586093422416</v>
      </c>
      <c r="Q20" s="27">
        <v>-701.22289528689862</v>
      </c>
      <c r="R20" s="27">
        <v>-1459.1345342447789</v>
      </c>
      <c r="S20" s="27">
        <v>-2053.4099884869611</v>
      </c>
      <c r="T20" s="27">
        <v>-2657.4094082599499</v>
      </c>
      <c r="U20" s="27">
        <v>-3048.6772618805421</v>
      </c>
      <c r="V20" s="27">
        <v>-3429.5735635334991</v>
      </c>
      <c r="W20" s="27" t="s">
        <v>200</v>
      </c>
      <c r="X20" s="27">
        <v>-4081.6381030553898</v>
      </c>
      <c r="Y20" s="27" t="s">
        <v>200</v>
      </c>
      <c r="Z20" s="27">
        <v>-5088.8739407778212</v>
      </c>
      <c r="AA20" s="27" t="s">
        <v>200</v>
      </c>
      <c r="AB20" s="27">
        <v>-5752.5977916775028</v>
      </c>
      <c r="AC20" s="27" t="s">
        <v>200</v>
      </c>
      <c r="AD20" s="27">
        <v>-5955.9907680666965</v>
      </c>
    </row>
    <row r="21" spans="1:30">
      <c r="A21" s="27" t="s">
        <v>207</v>
      </c>
      <c r="B21" s="27" t="s">
        <v>230</v>
      </c>
      <c r="C21" s="27" t="s">
        <v>198</v>
      </c>
      <c r="D21" s="27" t="s">
        <v>1154</v>
      </c>
      <c r="E21" s="27" t="s">
        <v>75</v>
      </c>
      <c r="F21" s="27">
        <v>5811.8708999999999</v>
      </c>
      <c r="G21" s="27">
        <v>5837.5441666666666</v>
      </c>
      <c r="H21" s="27">
        <v>6249.0666333333338</v>
      </c>
      <c r="I21" s="27">
        <v>5862.1313666666674</v>
      </c>
      <c r="J21" s="27">
        <v>5470.9691666666668</v>
      </c>
      <c r="K21" s="27" t="s">
        <v>200</v>
      </c>
      <c r="L21" s="27" t="s">
        <v>200</v>
      </c>
      <c r="M21" s="27" t="s">
        <v>200</v>
      </c>
      <c r="N21" s="27" t="s">
        <v>200</v>
      </c>
      <c r="O21" s="27">
        <v>2542.1881712418449</v>
      </c>
      <c r="P21" s="27">
        <v>-366.09091007335928</v>
      </c>
      <c r="Q21" s="27">
        <v>-1127.8403110954489</v>
      </c>
      <c r="R21" s="27">
        <v>-1897.958189539301</v>
      </c>
      <c r="S21" s="27">
        <v>-2401.608065473933</v>
      </c>
      <c r="T21" s="27">
        <v>-2917.934917220774</v>
      </c>
      <c r="U21" s="27">
        <v>-3219.5966993407092</v>
      </c>
      <c r="V21" s="27">
        <v>-3553.2133224221138</v>
      </c>
      <c r="W21" s="27" t="s">
        <v>200</v>
      </c>
      <c r="X21" s="27">
        <v>-4056.375516778548</v>
      </c>
      <c r="Y21" s="27" t="s">
        <v>200</v>
      </c>
      <c r="Z21" s="27">
        <v>-5091.0788833636661</v>
      </c>
      <c r="AA21" s="27" t="s">
        <v>200</v>
      </c>
      <c r="AB21" s="27">
        <v>-5688.3797885395916</v>
      </c>
      <c r="AC21" s="27" t="s">
        <v>200</v>
      </c>
      <c r="AD21" s="27">
        <v>-5889.9359580958489</v>
      </c>
    </row>
    <row r="22" spans="1:30">
      <c r="A22" s="27" t="s">
        <v>231</v>
      </c>
      <c r="B22" s="27" t="s">
        <v>232</v>
      </c>
      <c r="C22" s="27" t="s">
        <v>198</v>
      </c>
      <c r="D22" s="27" t="s">
        <v>1154</v>
      </c>
      <c r="E22" s="27" t="s">
        <v>75</v>
      </c>
      <c r="F22" s="27" t="s">
        <v>200</v>
      </c>
      <c r="G22" s="27">
        <v>1949.45026320698</v>
      </c>
      <c r="H22" s="27">
        <v>2479.7480392790599</v>
      </c>
      <c r="I22" s="27">
        <v>3260.79235465483</v>
      </c>
      <c r="J22" s="27">
        <v>580.84887615562297</v>
      </c>
      <c r="K22" s="27" t="s">
        <v>200</v>
      </c>
      <c r="L22" s="27" t="s">
        <v>200</v>
      </c>
      <c r="M22" s="27" t="s">
        <v>200</v>
      </c>
      <c r="N22" s="27" t="s">
        <v>200</v>
      </c>
      <c r="O22" s="27">
        <v>-403.96931658234797</v>
      </c>
      <c r="P22" s="27">
        <v>-1078.9401886785899</v>
      </c>
      <c r="Q22" s="27">
        <v>-2183.0501557011098</v>
      </c>
      <c r="R22" s="27">
        <v>-4306.0662864872902</v>
      </c>
      <c r="S22" s="27">
        <v>-3502.8299689751698</v>
      </c>
      <c r="T22" s="27">
        <v>-2880.4076994624302</v>
      </c>
      <c r="U22" s="27">
        <v>-2340.6926739236801</v>
      </c>
      <c r="V22" s="27">
        <v>-1981.1551905461199</v>
      </c>
      <c r="W22" s="27">
        <v>-1711.94653779173</v>
      </c>
      <c r="X22" s="27">
        <v>-1496.63903543676</v>
      </c>
      <c r="Y22" s="27">
        <v>-1311.13310544722</v>
      </c>
      <c r="Z22" s="27">
        <v>-1152.2311574482101</v>
      </c>
      <c r="AA22" s="27">
        <v>-1025.47999869304</v>
      </c>
      <c r="AB22" s="27">
        <v>-919.94066512901804</v>
      </c>
      <c r="AC22" s="27">
        <v>-849.743094408057</v>
      </c>
      <c r="AD22" s="27">
        <v>-794.37081735206596</v>
      </c>
    </row>
    <row r="23" spans="1:30">
      <c r="A23" s="27" t="s">
        <v>233</v>
      </c>
      <c r="B23" s="27" t="s">
        <v>224</v>
      </c>
      <c r="C23" s="27" t="s">
        <v>198</v>
      </c>
      <c r="D23" s="27" t="s">
        <v>1154</v>
      </c>
      <c r="E23" s="27" t="s">
        <v>75</v>
      </c>
      <c r="F23" s="27" t="s">
        <v>200</v>
      </c>
      <c r="G23" s="27" t="s">
        <v>200</v>
      </c>
      <c r="H23" s="27">
        <v>2705.2860173333329</v>
      </c>
      <c r="I23" s="27">
        <v>2689.7768000000001</v>
      </c>
      <c r="J23" s="27">
        <v>2548.4863141909341</v>
      </c>
      <c r="K23" s="27" t="s">
        <v>200</v>
      </c>
      <c r="L23" s="27" t="s">
        <v>200</v>
      </c>
      <c r="M23" s="27" t="s">
        <v>200</v>
      </c>
      <c r="N23" s="27" t="s">
        <v>200</v>
      </c>
      <c r="O23" s="27">
        <v>-249.4600869077903</v>
      </c>
      <c r="P23" s="27">
        <v>-1311.848600756869</v>
      </c>
      <c r="Q23" s="27">
        <v>-1655.110427128307</v>
      </c>
      <c r="R23" s="27">
        <v>-1895.9657541369361</v>
      </c>
      <c r="S23" s="27">
        <v>-2218.6971909129779</v>
      </c>
      <c r="T23" s="27">
        <v>-2612.8996640452078</v>
      </c>
      <c r="U23" s="27">
        <v>-2979.2190188903419</v>
      </c>
      <c r="V23" s="27">
        <v>-3416.404508768202</v>
      </c>
      <c r="W23" s="27">
        <v>-3451.5633066796099</v>
      </c>
      <c r="X23" s="27">
        <v>-3268.6954548491012</v>
      </c>
      <c r="Y23" s="27">
        <v>-3253.3392363257208</v>
      </c>
      <c r="Z23" s="27">
        <v>-3458.024147525126</v>
      </c>
      <c r="AA23" s="27">
        <v>-3481.735439403722</v>
      </c>
      <c r="AB23" s="27">
        <v>-3549.4700777671369</v>
      </c>
      <c r="AC23" s="27">
        <v>-3527.0173773708821</v>
      </c>
      <c r="AD23" s="27">
        <v>-3420.0331422859849</v>
      </c>
    </row>
    <row r="24" spans="1:30">
      <c r="A24" s="27" t="s">
        <v>220</v>
      </c>
      <c r="B24" s="27" t="s">
        <v>215</v>
      </c>
      <c r="C24" s="27" t="s">
        <v>198</v>
      </c>
      <c r="D24" s="27" t="s">
        <v>1154</v>
      </c>
      <c r="E24" s="27" t="s">
        <v>75</v>
      </c>
      <c r="F24" s="27" t="s">
        <v>200</v>
      </c>
      <c r="G24" s="27">
        <v>4033.3333333333298</v>
      </c>
      <c r="H24" s="27">
        <v>3336.6666666666702</v>
      </c>
      <c r="I24" s="27" t="s">
        <v>200</v>
      </c>
      <c r="J24" s="27">
        <v>2516.4879437424102</v>
      </c>
      <c r="K24" s="27" t="s">
        <v>200</v>
      </c>
      <c r="L24" s="27" t="s">
        <v>200</v>
      </c>
      <c r="M24" s="27" t="s">
        <v>200</v>
      </c>
      <c r="N24" s="27" t="s">
        <v>200</v>
      </c>
      <c r="O24" s="27" t="s">
        <v>200</v>
      </c>
      <c r="P24" s="27">
        <v>-78.988867892104196</v>
      </c>
      <c r="Q24" s="27" t="s">
        <v>200</v>
      </c>
      <c r="R24" s="27">
        <v>-319.39483264608498</v>
      </c>
      <c r="S24" s="27" t="s">
        <v>200</v>
      </c>
      <c r="T24" s="27">
        <v>-608.791809094011</v>
      </c>
      <c r="U24" s="27" t="s">
        <v>200</v>
      </c>
      <c r="V24" s="27">
        <v>-955.57247912597097</v>
      </c>
      <c r="W24" s="27" t="s">
        <v>200</v>
      </c>
      <c r="X24" s="27">
        <v>-1123.5689800335001</v>
      </c>
      <c r="Y24" s="27" t="s">
        <v>200</v>
      </c>
      <c r="Z24" s="27">
        <v>-1078.92307507793</v>
      </c>
      <c r="AA24" s="27" t="s">
        <v>200</v>
      </c>
      <c r="AB24" s="27">
        <v>-1268.1170031588799</v>
      </c>
      <c r="AC24" s="27" t="s">
        <v>200</v>
      </c>
      <c r="AD24" s="27">
        <v>-1640.82055522627</v>
      </c>
    </row>
    <row r="25" spans="1:30">
      <c r="A25" s="27" t="s">
        <v>226</v>
      </c>
      <c r="B25" s="27" t="s">
        <v>234</v>
      </c>
      <c r="C25" s="27" t="s">
        <v>198</v>
      </c>
      <c r="D25" s="27" t="s">
        <v>1154</v>
      </c>
      <c r="E25" s="27" t="s">
        <v>75</v>
      </c>
      <c r="F25" s="27" t="s">
        <v>200</v>
      </c>
      <c r="G25" s="27">
        <v>4527.9134999999997</v>
      </c>
      <c r="H25" s="27">
        <v>5512.6163999999999</v>
      </c>
      <c r="I25" s="27">
        <v>6692.9022999999997</v>
      </c>
      <c r="J25" s="27">
        <v>5668.3696</v>
      </c>
      <c r="K25" s="27" t="s">
        <v>200</v>
      </c>
      <c r="L25" s="27" t="s">
        <v>200</v>
      </c>
      <c r="M25" s="27" t="s">
        <v>200</v>
      </c>
      <c r="N25" s="27" t="s">
        <v>200</v>
      </c>
      <c r="O25" s="27">
        <v>1707.2090000000001</v>
      </c>
      <c r="P25" s="27">
        <v>-1660.2028</v>
      </c>
      <c r="Q25" s="27">
        <v>-3327.7734999999998</v>
      </c>
      <c r="R25" s="27">
        <v>-4995.8344999999999</v>
      </c>
      <c r="S25" s="27">
        <v>-5742.6787000000004</v>
      </c>
      <c r="T25" s="27">
        <v>-4785.5627999999997</v>
      </c>
      <c r="U25" s="27">
        <v>-3629.0198999999998</v>
      </c>
      <c r="V25" s="27">
        <v>-2807.2417999999998</v>
      </c>
      <c r="W25" s="27" t="s">
        <v>200</v>
      </c>
      <c r="X25" s="27">
        <v>-1917.9503</v>
      </c>
      <c r="Y25" s="27" t="s">
        <v>200</v>
      </c>
      <c r="Z25" s="27">
        <v>-1169.8474000000001</v>
      </c>
      <c r="AA25" s="27" t="s">
        <v>200</v>
      </c>
      <c r="AB25" s="27">
        <v>-942.27980000000002</v>
      </c>
      <c r="AC25" s="27" t="s">
        <v>200</v>
      </c>
      <c r="AD25" s="27">
        <v>-966.17280000000005</v>
      </c>
    </row>
    <row r="26" spans="1:30">
      <c r="A26" s="27" t="s">
        <v>216</v>
      </c>
      <c r="B26" s="27" t="s">
        <v>235</v>
      </c>
      <c r="C26" s="27" t="s">
        <v>198</v>
      </c>
      <c r="D26" s="27" t="s">
        <v>1154</v>
      </c>
      <c r="E26" s="27" t="s">
        <v>75</v>
      </c>
      <c r="F26" s="27">
        <v>5811.8708999999999</v>
      </c>
      <c r="G26" s="27">
        <v>5837.5441666666702</v>
      </c>
      <c r="H26" s="27">
        <v>6249.0666333333302</v>
      </c>
      <c r="I26" s="27">
        <v>5862.1313666666701</v>
      </c>
      <c r="J26" s="27">
        <v>5475.0853666666699</v>
      </c>
      <c r="K26" s="27">
        <v>4880.0798933333299</v>
      </c>
      <c r="L26" s="27">
        <v>4302.2427171830896</v>
      </c>
      <c r="M26" s="27">
        <v>3708.2129225306599</v>
      </c>
      <c r="N26" s="27">
        <v>3070.4106640680002</v>
      </c>
      <c r="O26" s="27">
        <v>2752.0061914152302</v>
      </c>
      <c r="P26" s="27">
        <v>39.4361396624221</v>
      </c>
      <c r="Q26" s="27">
        <v>-720.26751160574702</v>
      </c>
      <c r="R26" s="27">
        <v>-1486.98646829825</v>
      </c>
      <c r="S26" s="27">
        <v>-2071.28974323495</v>
      </c>
      <c r="T26" s="27">
        <v>-2667.8907159462401</v>
      </c>
      <c r="U26" s="27">
        <v>-3084.58280852404</v>
      </c>
      <c r="V26" s="27">
        <v>-3401.5440773335499</v>
      </c>
      <c r="W26" s="27" t="s">
        <v>200</v>
      </c>
      <c r="X26" s="27">
        <v>-4037.9841860064398</v>
      </c>
      <c r="Y26" s="27" t="s">
        <v>200</v>
      </c>
      <c r="Z26" s="27">
        <v>-5119.1106919131398</v>
      </c>
      <c r="AA26" s="27" t="s">
        <v>200</v>
      </c>
      <c r="AB26" s="27">
        <v>-5710.1319343862697</v>
      </c>
      <c r="AC26" s="27" t="s">
        <v>200</v>
      </c>
      <c r="AD26" s="27">
        <v>-5906.6942777643198</v>
      </c>
    </row>
    <row r="27" spans="1:30">
      <c r="A27" s="27" t="s">
        <v>196</v>
      </c>
      <c r="B27" s="27" t="s">
        <v>236</v>
      </c>
      <c r="C27" s="27" t="s">
        <v>198</v>
      </c>
      <c r="D27" s="27" t="s">
        <v>1154</v>
      </c>
      <c r="E27" s="27" t="s">
        <v>75</v>
      </c>
      <c r="F27" s="27" t="s">
        <v>200</v>
      </c>
      <c r="G27" s="27" t="s">
        <v>200</v>
      </c>
      <c r="H27" s="27">
        <v>4436.7767000000003</v>
      </c>
      <c r="I27" s="27">
        <v>4501.4933000000001</v>
      </c>
      <c r="J27" s="27">
        <v>4377.8167000000003</v>
      </c>
      <c r="K27" s="27" t="s">
        <v>200</v>
      </c>
      <c r="L27" s="27" t="s">
        <v>200</v>
      </c>
      <c r="M27" s="27" t="s">
        <v>200</v>
      </c>
      <c r="N27" s="27" t="s">
        <v>200</v>
      </c>
      <c r="O27" s="27">
        <v>936.65</v>
      </c>
      <c r="P27" s="27">
        <v>-20.093299999999999</v>
      </c>
      <c r="Q27" s="27">
        <v>-348.44330000000002</v>
      </c>
      <c r="R27" s="27">
        <v>-159.16999999999999</v>
      </c>
      <c r="S27" s="27">
        <v>150.11330000000001</v>
      </c>
      <c r="T27" s="27">
        <v>253.99</v>
      </c>
      <c r="U27" s="27">
        <v>73.076700000000002</v>
      </c>
      <c r="V27" s="27">
        <v>-222.05330000000001</v>
      </c>
      <c r="W27" s="27" t="s">
        <v>200</v>
      </c>
      <c r="X27" s="27">
        <v>-438.27670000000001</v>
      </c>
      <c r="Y27" s="27" t="s">
        <v>200</v>
      </c>
      <c r="Z27" s="27">
        <v>-515.64329999999995</v>
      </c>
      <c r="AA27" s="27" t="s">
        <v>200</v>
      </c>
      <c r="AB27" s="27">
        <v>-484.14670000000001</v>
      </c>
      <c r="AC27" s="27" t="s">
        <v>200</v>
      </c>
      <c r="AD27" s="27">
        <v>-396</v>
      </c>
    </row>
    <row r="28" spans="1:30">
      <c r="A28" s="27" t="s">
        <v>231</v>
      </c>
      <c r="B28" s="27" t="s">
        <v>237</v>
      </c>
      <c r="C28" s="27" t="s">
        <v>198</v>
      </c>
      <c r="D28" s="27" t="s">
        <v>1154</v>
      </c>
      <c r="E28" s="27" t="s">
        <v>75</v>
      </c>
      <c r="F28" s="27" t="s">
        <v>200</v>
      </c>
      <c r="G28" s="27">
        <v>1949.45026320698</v>
      </c>
      <c r="H28" s="27">
        <v>2479.7480392790599</v>
      </c>
      <c r="I28" s="27">
        <v>3260.79235465483</v>
      </c>
      <c r="J28" s="27">
        <v>580.84887615562297</v>
      </c>
      <c r="K28" s="27" t="s">
        <v>200</v>
      </c>
      <c r="L28" s="27" t="s">
        <v>200</v>
      </c>
      <c r="M28" s="27" t="s">
        <v>200</v>
      </c>
      <c r="N28" s="27" t="s">
        <v>200</v>
      </c>
      <c r="O28" s="27">
        <v>-640.80441938840204</v>
      </c>
      <c r="P28" s="27">
        <v>-2114.3307091162301</v>
      </c>
      <c r="Q28" s="27">
        <v>-2442.0023717024301</v>
      </c>
      <c r="R28" s="27">
        <v>-2994.25174236882</v>
      </c>
      <c r="S28" s="27">
        <v>-3434.3271011752799</v>
      </c>
      <c r="T28" s="27">
        <v>-3139.36246640748</v>
      </c>
      <c r="U28" s="27">
        <v>-2420.8781153560399</v>
      </c>
      <c r="V28" s="27">
        <v>-1959.3559141375999</v>
      </c>
      <c r="W28" s="27">
        <v>-1641.5385390157201</v>
      </c>
      <c r="X28" s="27">
        <v>-1414.52551678751</v>
      </c>
      <c r="Y28" s="27">
        <v>-1241.6815465569</v>
      </c>
      <c r="Z28" s="27">
        <v>-1093.1885941278199</v>
      </c>
      <c r="AA28" s="27">
        <v>-972.32352082940497</v>
      </c>
      <c r="AB28" s="27">
        <v>-869.49504743901196</v>
      </c>
      <c r="AC28" s="27">
        <v>-800.33524056069905</v>
      </c>
      <c r="AD28" s="27">
        <v>-768.34211319369399</v>
      </c>
    </row>
    <row r="29" spans="1:30">
      <c r="A29" s="27" t="s">
        <v>233</v>
      </c>
      <c r="B29" s="27" t="s">
        <v>238</v>
      </c>
      <c r="C29" s="27" t="s">
        <v>198</v>
      </c>
      <c r="D29" s="27" t="s">
        <v>1154</v>
      </c>
      <c r="E29" s="27" t="s">
        <v>75</v>
      </c>
      <c r="F29" s="27" t="s">
        <v>200</v>
      </c>
      <c r="G29" s="27" t="s">
        <v>200</v>
      </c>
      <c r="H29" s="27">
        <v>2705.2860173333329</v>
      </c>
      <c r="I29" s="27">
        <v>2689.7768000000001</v>
      </c>
      <c r="J29" s="27">
        <v>2548.4863141909341</v>
      </c>
      <c r="K29" s="27" t="s">
        <v>200</v>
      </c>
      <c r="L29" s="27" t="s">
        <v>200</v>
      </c>
      <c r="M29" s="27" t="s">
        <v>200</v>
      </c>
      <c r="N29" s="27" t="s">
        <v>200</v>
      </c>
      <c r="O29" s="27">
        <v>-246.47244039663411</v>
      </c>
      <c r="P29" s="27">
        <v>-1306.3868227527171</v>
      </c>
      <c r="Q29" s="27">
        <v>-1634.2889210933199</v>
      </c>
      <c r="R29" s="27">
        <v>-1911.436718809626</v>
      </c>
      <c r="S29" s="27">
        <v>-2231.215991564547</v>
      </c>
      <c r="T29" s="27">
        <v>-2625.8647585516928</v>
      </c>
      <c r="U29" s="27">
        <v>-2992.513859707371</v>
      </c>
      <c r="V29" s="27">
        <v>-3378.8506099363922</v>
      </c>
      <c r="W29" s="27">
        <v>-3403.429701980026</v>
      </c>
      <c r="X29" s="27">
        <v>-3366.1963100950138</v>
      </c>
      <c r="Y29" s="27">
        <v>-3369.9585342786631</v>
      </c>
      <c r="Z29" s="27">
        <v>-3459.9643360197219</v>
      </c>
      <c r="AA29" s="27">
        <v>-3536.1238791049459</v>
      </c>
      <c r="AB29" s="27">
        <v>-3642.4315864097098</v>
      </c>
      <c r="AC29" s="27">
        <v>-3507.605665959039</v>
      </c>
      <c r="AD29" s="27">
        <v>-3418.2531760903621</v>
      </c>
    </row>
    <row r="30" spans="1:30">
      <c r="A30" s="27" t="s">
        <v>239</v>
      </c>
      <c r="B30" s="27" t="s">
        <v>240</v>
      </c>
      <c r="C30" s="27" t="s">
        <v>198</v>
      </c>
      <c r="D30" s="27" t="s">
        <v>1154</v>
      </c>
      <c r="E30" s="27" t="s">
        <v>75</v>
      </c>
      <c r="F30" s="27" t="s">
        <v>200</v>
      </c>
      <c r="G30" s="27">
        <v>5538</v>
      </c>
      <c r="H30" s="27">
        <v>4885</v>
      </c>
      <c r="I30" s="27" t="s">
        <v>200</v>
      </c>
      <c r="J30" s="27">
        <v>3940</v>
      </c>
      <c r="K30" s="27" t="s">
        <v>200</v>
      </c>
      <c r="L30" s="27" t="s">
        <v>200</v>
      </c>
      <c r="M30" s="27" t="s">
        <v>200</v>
      </c>
      <c r="N30" s="27" t="s">
        <v>200</v>
      </c>
      <c r="O30" s="27" t="s">
        <v>200</v>
      </c>
      <c r="P30" s="27">
        <v>4415</v>
      </c>
      <c r="Q30" s="27" t="s">
        <v>200</v>
      </c>
      <c r="R30" s="27">
        <v>4579</v>
      </c>
      <c r="S30" s="27" t="s">
        <v>200</v>
      </c>
      <c r="T30" s="27">
        <v>1314</v>
      </c>
      <c r="U30" s="27" t="s">
        <v>200</v>
      </c>
      <c r="V30" s="27">
        <v>1148</v>
      </c>
      <c r="W30" s="27" t="s">
        <v>200</v>
      </c>
      <c r="X30" s="27">
        <v>30.98</v>
      </c>
      <c r="Y30" s="27" t="s">
        <v>200</v>
      </c>
      <c r="Z30" s="27">
        <v>-188.8</v>
      </c>
      <c r="AA30" s="27" t="s">
        <v>200</v>
      </c>
      <c r="AB30" s="27">
        <v>345.2</v>
      </c>
      <c r="AC30" s="27" t="s">
        <v>200</v>
      </c>
      <c r="AD30" s="27">
        <v>-320.60000000000002</v>
      </c>
    </row>
    <row r="31" spans="1:30">
      <c r="A31" s="27" t="s">
        <v>207</v>
      </c>
      <c r="B31" s="27" t="s">
        <v>241</v>
      </c>
      <c r="C31" s="27" t="s">
        <v>198</v>
      </c>
      <c r="D31" s="27" t="s">
        <v>1154</v>
      </c>
      <c r="E31" s="27" t="s">
        <v>75</v>
      </c>
      <c r="F31" s="27">
        <v>5811.8708999999999</v>
      </c>
      <c r="G31" s="27">
        <v>5837.5441666666666</v>
      </c>
      <c r="H31" s="27">
        <v>6249.0666333333338</v>
      </c>
      <c r="I31" s="27">
        <v>5862.1313666666674</v>
      </c>
      <c r="J31" s="27">
        <v>5470.9691666666668</v>
      </c>
      <c r="K31" s="27" t="s">
        <v>200</v>
      </c>
      <c r="L31" s="27" t="s">
        <v>200</v>
      </c>
      <c r="M31" s="27" t="s">
        <v>200</v>
      </c>
      <c r="N31" s="27" t="s">
        <v>200</v>
      </c>
      <c r="O31" s="27">
        <v>2762.8692729925929</v>
      </c>
      <c r="P31" s="27">
        <v>56.247605338022687</v>
      </c>
      <c r="Q31" s="27">
        <v>-711.25180988263378</v>
      </c>
      <c r="R31" s="27">
        <v>-1481.5316187716251</v>
      </c>
      <c r="S31" s="27">
        <v>-2078.2778935678512</v>
      </c>
      <c r="T31" s="27">
        <v>-2675.9691402938929</v>
      </c>
      <c r="U31" s="27">
        <v>-3114.58910928148</v>
      </c>
      <c r="V31" s="27">
        <v>-3569.388819185267</v>
      </c>
      <c r="W31" s="27" t="s">
        <v>200</v>
      </c>
      <c r="X31" s="27">
        <v>-4120.8494924983879</v>
      </c>
      <c r="Y31" s="27" t="s">
        <v>200</v>
      </c>
      <c r="Z31" s="27">
        <v>-5115.5963716028891</v>
      </c>
      <c r="AA31" s="27" t="s">
        <v>200</v>
      </c>
      <c r="AB31" s="27">
        <v>-5716.3229589915654</v>
      </c>
      <c r="AC31" s="27" t="s">
        <v>200</v>
      </c>
      <c r="AD31" s="27">
        <v>-5920.4289438978603</v>
      </c>
    </row>
    <row r="32" spans="1:30">
      <c r="A32" s="27" t="s">
        <v>242</v>
      </c>
      <c r="B32" s="27" t="s">
        <v>243</v>
      </c>
      <c r="C32" s="27" t="s">
        <v>198</v>
      </c>
      <c r="D32" s="27" t="s">
        <v>1154</v>
      </c>
      <c r="E32" s="27" t="s">
        <v>75</v>
      </c>
      <c r="F32" s="27" t="s">
        <v>200</v>
      </c>
      <c r="G32" s="27">
        <v>3988.8472020999998</v>
      </c>
      <c r="H32" s="27">
        <v>2828.1610206770001</v>
      </c>
      <c r="I32" s="27">
        <v>2813.7140011400002</v>
      </c>
      <c r="J32" s="27">
        <v>2662.2108424944499</v>
      </c>
      <c r="K32" s="27" t="s">
        <v>200</v>
      </c>
      <c r="L32" s="27" t="s">
        <v>200</v>
      </c>
      <c r="M32" s="27" t="s">
        <v>200</v>
      </c>
      <c r="N32" s="27" t="s">
        <v>200</v>
      </c>
      <c r="O32" s="27">
        <v>-348.476019634777</v>
      </c>
      <c r="P32" s="27">
        <v>-1267.2212793427</v>
      </c>
      <c r="Q32" s="27">
        <v>-1597.11893003364</v>
      </c>
      <c r="R32" s="27">
        <v>-1797.9195958599601</v>
      </c>
      <c r="S32" s="27">
        <v>-1951.0719309564099</v>
      </c>
      <c r="T32" s="27">
        <v>-2258.7452569480001</v>
      </c>
      <c r="U32" s="27" t="s">
        <v>200</v>
      </c>
      <c r="V32" s="27">
        <v>-3075.4797181132799</v>
      </c>
      <c r="W32" s="27" t="s">
        <v>200</v>
      </c>
      <c r="X32" s="27">
        <v>-3244.04561767015</v>
      </c>
      <c r="Y32" s="27" t="s">
        <v>200</v>
      </c>
      <c r="Z32" s="27">
        <v>-3602.82819515971</v>
      </c>
      <c r="AA32" s="27" t="s">
        <v>200</v>
      </c>
      <c r="AB32" s="27">
        <v>-4225.4892062615199</v>
      </c>
      <c r="AC32" s="27" t="s">
        <v>200</v>
      </c>
      <c r="AD32" s="27">
        <v>-4424.2922094189298</v>
      </c>
    </row>
    <row r="33" spans="1:30">
      <c r="A33" s="27" t="s">
        <v>244</v>
      </c>
      <c r="B33" s="27" t="s">
        <v>202</v>
      </c>
      <c r="C33" s="27" t="s">
        <v>198</v>
      </c>
      <c r="D33" s="27" t="s">
        <v>1154</v>
      </c>
      <c r="E33" s="27" t="s">
        <v>75</v>
      </c>
      <c r="F33" s="27" t="s">
        <v>200</v>
      </c>
      <c r="G33" s="27" t="s">
        <v>200</v>
      </c>
      <c r="H33" s="27" t="s">
        <v>200</v>
      </c>
      <c r="I33" s="27">
        <v>5862.1313666666674</v>
      </c>
      <c r="J33" s="27">
        <v>5470.4657333333344</v>
      </c>
      <c r="K33" s="27" t="s">
        <v>200</v>
      </c>
      <c r="L33" s="27" t="s">
        <v>200</v>
      </c>
      <c r="M33" s="27" t="s">
        <v>200</v>
      </c>
      <c r="N33" s="27" t="s">
        <v>200</v>
      </c>
      <c r="O33" s="27">
        <v>2772.0596137091338</v>
      </c>
      <c r="P33" s="27">
        <v>78.179699317315979</v>
      </c>
      <c r="Q33" s="27">
        <v>-670.6918110390186</v>
      </c>
      <c r="R33" s="27">
        <v>-1436.575620247992</v>
      </c>
      <c r="S33" s="27">
        <v>-2033.7563595747081</v>
      </c>
      <c r="T33" s="27">
        <v>-2632.6627983456569</v>
      </c>
      <c r="U33" s="27">
        <v>-3069.0922610976818</v>
      </c>
      <c r="V33" s="27">
        <v>-3513.5223066815288</v>
      </c>
      <c r="W33" s="27">
        <v>-3798.7048347600689</v>
      </c>
      <c r="X33" s="27">
        <v>-4083.8873628386082</v>
      </c>
      <c r="Y33" s="27">
        <v>-4602.583738402991</v>
      </c>
      <c r="Z33" s="27">
        <v>-5121.2801139673747</v>
      </c>
      <c r="AA33" s="27">
        <v>-5399.136991986491</v>
      </c>
      <c r="AB33" s="27">
        <v>-5676.9938700056082</v>
      </c>
      <c r="AC33" s="27">
        <v>-5771.1119960171336</v>
      </c>
      <c r="AD33" s="27">
        <v>-5865.2301220286599</v>
      </c>
    </row>
    <row r="34" spans="1:30">
      <c r="A34" s="27" t="s">
        <v>242</v>
      </c>
      <c r="B34" s="27" t="s">
        <v>245</v>
      </c>
      <c r="C34" s="27" t="s">
        <v>198</v>
      </c>
      <c r="D34" s="27" t="s">
        <v>1154</v>
      </c>
      <c r="E34" s="27" t="s">
        <v>75</v>
      </c>
      <c r="F34" s="27" t="s">
        <v>200</v>
      </c>
      <c r="G34" s="27">
        <v>3988.8472020999998</v>
      </c>
      <c r="H34" s="27">
        <v>2828.1610206770001</v>
      </c>
      <c r="I34" s="27">
        <v>2813.7140011400002</v>
      </c>
      <c r="J34" s="27">
        <v>2662.2108424944499</v>
      </c>
      <c r="K34" s="27" t="s">
        <v>200</v>
      </c>
      <c r="L34" s="27" t="s">
        <v>200</v>
      </c>
      <c r="M34" s="27" t="s">
        <v>200</v>
      </c>
      <c r="N34" s="27" t="s">
        <v>200</v>
      </c>
      <c r="O34" s="27">
        <v>-226.115742586761</v>
      </c>
      <c r="P34" s="27">
        <v>-1323.09611324971</v>
      </c>
      <c r="Q34" s="27">
        <v>-1705.8070359380599</v>
      </c>
      <c r="R34" s="27">
        <v>-1945.06100999213</v>
      </c>
      <c r="S34" s="27">
        <v>-2368.63692033404</v>
      </c>
      <c r="T34" s="27">
        <v>-2841.11445074519</v>
      </c>
      <c r="U34" s="27" t="s">
        <v>200</v>
      </c>
      <c r="V34" s="27">
        <v>-3513.9703725934801</v>
      </c>
      <c r="W34" s="27" t="s">
        <v>200</v>
      </c>
      <c r="X34" s="27">
        <v>-3137.7765886270299</v>
      </c>
      <c r="Y34" s="27" t="s">
        <v>200</v>
      </c>
      <c r="Z34" s="27">
        <v>-3671.8634832828502</v>
      </c>
      <c r="AA34" s="27" t="s">
        <v>200</v>
      </c>
      <c r="AB34" s="27">
        <v>-4323.7083188993201</v>
      </c>
      <c r="AC34" s="27" t="s">
        <v>200</v>
      </c>
      <c r="AD34" s="27">
        <v>-4433.5733079478996</v>
      </c>
    </row>
    <row r="35" spans="1:30">
      <c r="A35" s="27" t="s">
        <v>246</v>
      </c>
      <c r="B35" s="27" t="s">
        <v>243</v>
      </c>
      <c r="C35" s="27" t="s">
        <v>198</v>
      </c>
      <c r="D35" s="27" t="s">
        <v>1154</v>
      </c>
      <c r="E35" s="27" t="s">
        <v>75</v>
      </c>
      <c r="F35" s="27" t="s">
        <v>200</v>
      </c>
      <c r="G35" s="27">
        <v>4591.2038000000002</v>
      </c>
      <c r="H35" s="27">
        <v>3376.7</v>
      </c>
      <c r="I35" s="27">
        <v>3325.4787999999999</v>
      </c>
      <c r="J35" s="27">
        <v>3386.7431999999999</v>
      </c>
      <c r="K35" s="27" t="s">
        <v>200</v>
      </c>
      <c r="L35" s="27" t="s">
        <v>200</v>
      </c>
      <c r="M35" s="27" t="s">
        <v>200</v>
      </c>
      <c r="N35" s="27" t="s">
        <v>200</v>
      </c>
      <c r="O35" s="27">
        <v>1344.9762000000001</v>
      </c>
      <c r="P35" s="27">
        <v>93.779799999999994</v>
      </c>
      <c r="Q35" s="27">
        <v>-1735.7999</v>
      </c>
      <c r="R35" s="27">
        <v>-3282.1945999999998</v>
      </c>
      <c r="S35" s="27">
        <v>-4555.8275000000003</v>
      </c>
      <c r="T35" s="27">
        <v>-5280.7205999999996</v>
      </c>
      <c r="U35" s="27">
        <v>-5620.1025</v>
      </c>
      <c r="V35" s="27">
        <v>-5539.2847000000002</v>
      </c>
      <c r="W35" s="27">
        <v>-5027.7912999999999</v>
      </c>
      <c r="X35" s="27">
        <v>-4886.4638999999997</v>
      </c>
      <c r="Y35" s="27">
        <v>-4699.7091</v>
      </c>
      <c r="Z35" s="27">
        <v>-4256.7061999999996</v>
      </c>
      <c r="AA35" s="27">
        <v>-3995.3996000000002</v>
      </c>
      <c r="AB35" s="27">
        <v>-3763.2838000000002</v>
      </c>
      <c r="AC35" s="27">
        <v>-3694.0338000000002</v>
      </c>
      <c r="AD35" s="27">
        <v>-3452.6684</v>
      </c>
    </row>
    <row r="36" spans="1:30">
      <c r="A36" s="27" t="s">
        <v>247</v>
      </c>
      <c r="B36" s="27" t="s">
        <v>248</v>
      </c>
      <c r="C36" s="27" t="s">
        <v>198</v>
      </c>
      <c r="D36" s="27" t="s">
        <v>1154</v>
      </c>
      <c r="E36" s="27" t="s">
        <v>75</v>
      </c>
      <c r="F36" s="27">
        <v>1811.52075195312</v>
      </c>
      <c r="G36" s="27">
        <v>2232.56713867188</v>
      </c>
      <c r="H36" s="27">
        <v>1629.14477539062</v>
      </c>
      <c r="I36" s="27" t="s">
        <v>200</v>
      </c>
      <c r="J36" s="27">
        <v>551.05218505859398</v>
      </c>
      <c r="K36" s="27" t="s">
        <v>200</v>
      </c>
      <c r="L36" s="27" t="s">
        <v>200</v>
      </c>
      <c r="M36" s="27" t="s">
        <v>200</v>
      </c>
      <c r="N36" s="27" t="s">
        <v>200</v>
      </c>
      <c r="O36" s="27" t="s">
        <v>200</v>
      </c>
      <c r="P36" s="27">
        <v>-2912.92163085938</v>
      </c>
      <c r="Q36" s="27" t="s">
        <v>200</v>
      </c>
      <c r="R36" s="27">
        <v>-2946.51171875</v>
      </c>
      <c r="S36" s="27" t="s">
        <v>200</v>
      </c>
      <c r="T36" s="27">
        <v>-2288.30639648438</v>
      </c>
      <c r="U36" s="27" t="s">
        <v>200</v>
      </c>
      <c r="V36" s="27">
        <v>-1268.73706054688</v>
      </c>
      <c r="W36" s="27" t="s">
        <v>200</v>
      </c>
      <c r="X36" s="27">
        <v>-1146.15905761719</v>
      </c>
      <c r="Y36" s="27" t="s">
        <v>200</v>
      </c>
      <c r="Z36" s="27">
        <v>-1310.32641601562</v>
      </c>
      <c r="AA36" s="27" t="s">
        <v>200</v>
      </c>
      <c r="AB36" s="27">
        <v>-1753.765625</v>
      </c>
      <c r="AC36" s="27" t="s">
        <v>200</v>
      </c>
      <c r="AD36" s="27">
        <v>-2299.45581054688</v>
      </c>
    </row>
    <row r="37" spans="1:30">
      <c r="A37" s="27" t="s">
        <v>203</v>
      </c>
      <c r="B37" s="27" t="s">
        <v>249</v>
      </c>
      <c r="C37" s="27" t="s">
        <v>198</v>
      </c>
      <c r="D37" s="27" t="s">
        <v>1154</v>
      </c>
      <c r="E37" s="27" t="s">
        <v>75</v>
      </c>
      <c r="F37" s="27" t="s">
        <v>200</v>
      </c>
      <c r="G37" s="27">
        <v>3773.0367000000001</v>
      </c>
      <c r="H37" s="27">
        <v>4037.5133000000001</v>
      </c>
      <c r="I37" s="27">
        <v>3990.6167</v>
      </c>
      <c r="J37" s="27">
        <v>3853.41</v>
      </c>
      <c r="K37" s="27" t="s">
        <v>200</v>
      </c>
      <c r="L37" s="27" t="s">
        <v>200</v>
      </c>
      <c r="M37" s="27" t="s">
        <v>200</v>
      </c>
      <c r="N37" s="27" t="s">
        <v>200</v>
      </c>
      <c r="O37" s="27">
        <v>1096.5533</v>
      </c>
      <c r="P37" s="27">
        <v>143.07329999999999</v>
      </c>
      <c r="Q37" s="27">
        <v>-198.99</v>
      </c>
      <c r="R37" s="27">
        <v>-151.47</v>
      </c>
      <c r="S37" s="27">
        <v>-79.1267</v>
      </c>
      <c r="T37" s="27">
        <v>-72.856700000000004</v>
      </c>
      <c r="U37" s="27">
        <v>-72.893299999999996</v>
      </c>
      <c r="V37" s="27">
        <v>-63.03</v>
      </c>
      <c r="W37" s="27" t="s">
        <v>200</v>
      </c>
      <c r="X37" s="27">
        <v>-99.22</v>
      </c>
      <c r="Y37" s="27" t="s">
        <v>200</v>
      </c>
      <c r="Z37" s="27">
        <v>-197.5967</v>
      </c>
      <c r="AA37" s="27" t="s">
        <v>200</v>
      </c>
      <c r="AB37" s="27">
        <v>-278.41000000000003</v>
      </c>
      <c r="AC37" s="27" t="s">
        <v>200</v>
      </c>
      <c r="AD37" s="27">
        <v>-266.3467</v>
      </c>
    </row>
    <row r="38" spans="1:30">
      <c r="A38" s="27" t="s">
        <v>196</v>
      </c>
      <c r="B38" s="27" t="s">
        <v>250</v>
      </c>
      <c r="C38" s="27" t="s">
        <v>198</v>
      </c>
      <c r="D38" s="27" t="s">
        <v>1154</v>
      </c>
      <c r="E38" s="27" t="s">
        <v>75</v>
      </c>
      <c r="F38" s="27" t="s">
        <v>200</v>
      </c>
      <c r="G38" s="27">
        <v>3716.7305999999999</v>
      </c>
      <c r="H38" s="27">
        <v>4182.1508999999996</v>
      </c>
      <c r="I38" s="27">
        <v>4245.2834000000003</v>
      </c>
      <c r="J38" s="27">
        <v>4069.1691000000001</v>
      </c>
      <c r="K38" s="27" t="s">
        <v>200</v>
      </c>
      <c r="L38" s="27" t="s">
        <v>200</v>
      </c>
      <c r="M38" s="27" t="s">
        <v>200</v>
      </c>
      <c r="N38" s="27" t="s">
        <v>200</v>
      </c>
      <c r="O38" s="27">
        <v>-207.0377</v>
      </c>
      <c r="P38" s="27">
        <v>-372.57389999999998</v>
      </c>
      <c r="Q38" s="27">
        <v>-358.25209999999998</v>
      </c>
      <c r="R38" s="27">
        <v>-146.43090000000001</v>
      </c>
      <c r="S38" s="27">
        <v>111.93729999999999</v>
      </c>
      <c r="T38" s="27">
        <v>233.87729999999999</v>
      </c>
      <c r="U38" s="27">
        <v>143.07730000000001</v>
      </c>
      <c r="V38" s="27">
        <v>-81.844999999999999</v>
      </c>
      <c r="W38" s="27" t="s">
        <v>200</v>
      </c>
      <c r="X38" s="27">
        <v>-300.7022</v>
      </c>
      <c r="Y38" s="27" t="s">
        <v>200</v>
      </c>
      <c r="Z38" s="27">
        <v>-420.11950000000002</v>
      </c>
      <c r="AA38" s="27" t="s">
        <v>200</v>
      </c>
      <c r="AB38" s="27">
        <v>-411.83080000000001</v>
      </c>
      <c r="AC38" s="27" t="s">
        <v>200</v>
      </c>
      <c r="AD38" s="27">
        <v>-315.4366</v>
      </c>
    </row>
    <row r="39" spans="1:30">
      <c r="A39" s="27" t="s">
        <v>203</v>
      </c>
      <c r="B39" s="27" t="s">
        <v>251</v>
      </c>
      <c r="C39" s="27" t="s">
        <v>198</v>
      </c>
      <c r="D39" s="27" t="s">
        <v>1154</v>
      </c>
      <c r="E39" s="27" t="s">
        <v>75</v>
      </c>
      <c r="F39" s="27" t="s">
        <v>200</v>
      </c>
      <c r="G39" s="27">
        <v>3773.0367000000001</v>
      </c>
      <c r="H39" s="27">
        <v>4037.5133000000001</v>
      </c>
      <c r="I39" s="27">
        <v>3990.6167</v>
      </c>
      <c r="J39" s="27">
        <v>3853.41</v>
      </c>
      <c r="K39" s="27" t="s">
        <v>200</v>
      </c>
      <c r="L39" s="27" t="s">
        <v>200</v>
      </c>
      <c r="M39" s="27" t="s">
        <v>200</v>
      </c>
      <c r="N39" s="27" t="s">
        <v>200</v>
      </c>
      <c r="O39" s="27">
        <v>1096.5533</v>
      </c>
      <c r="P39" s="27">
        <v>143.07329999999999</v>
      </c>
      <c r="Q39" s="27">
        <v>-198.99</v>
      </c>
      <c r="R39" s="27">
        <v>-151.47</v>
      </c>
      <c r="S39" s="27">
        <v>-79.1267</v>
      </c>
      <c r="T39" s="27">
        <v>-72.856700000000004</v>
      </c>
      <c r="U39" s="27">
        <v>-72.893299999999996</v>
      </c>
      <c r="V39" s="27">
        <v>-63.03</v>
      </c>
      <c r="W39" s="27" t="s">
        <v>200</v>
      </c>
      <c r="X39" s="27">
        <v>-99.22</v>
      </c>
      <c r="Y39" s="27" t="s">
        <v>200</v>
      </c>
      <c r="Z39" s="27">
        <v>-197.5967</v>
      </c>
      <c r="AA39" s="27" t="s">
        <v>200</v>
      </c>
      <c r="AB39" s="27">
        <v>-278.41000000000003</v>
      </c>
      <c r="AC39" s="27" t="s">
        <v>200</v>
      </c>
      <c r="AD39" s="27">
        <v>-266.3467</v>
      </c>
    </row>
    <row r="40" spans="1:30">
      <c r="A40" s="27" t="s">
        <v>205</v>
      </c>
      <c r="B40" s="27" t="s">
        <v>252</v>
      </c>
      <c r="C40" s="27" t="s">
        <v>198</v>
      </c>
      <c r="D40" s="27" t="s">
        <v>1154</v>
      </c>
      <c r="E40" s="27" t="s">
        <v>75</v>
      </c>
      <c r="F40" s="27" t="s">
        <v>200</v>
      </c>
      <c r="G40" s="27">
        <v>4533.16</v>
      </c>
      <c r="H40" s="27">
        <v>4091.41</v>
      </c>
      <c r="I40" s="27">
        <v>4152.7700000000004</v>
      </c>
      <c r="J40" s="27">
        <v>2919.12</v>
      </c>
      <c r="K40" s="27" t="s">
        <v>200</v>
      </c>
      <c r="L40" s="27" t="s">
        <v>200</v>
      </c>
      <c r="M40" s="27" t="s">
        <v>200</v>
      </c>
      <c r="N40" s="27" t="s">
        <v>200</v>
      </c>
      <c r="O40" s="27">
        <v>-295.54500000000002</v>
      </c>
      <c r="P40" s="27">
        <v>-4750.6899999999996</v>
      </c>
      <c r="Q40" s="27">
        <v>-7803.33</v>
      </c>
      <c r="R40" s="27">
        <v>-9665.93</v>
      </c>
      <c r="S40" s="27">
        <v>-10673</v>
      </c>
      <c r="T40" s="27">
        <v>-11056.1</v>
      </c>
      <c r="U40" s="27">
        <v>-10982.3</v>
      </c>
      <c r="V40" s="27">
        <v>-10576.7</v>
      </c>
      <c r="W40" s="27">
        <v>-9935.85</v>
      </c>
      <c r="X40" s="27">
        <v>-9135.8700000000008</v>
      </c>
      <c r="Y40" s="27">
        <v>-8237.1200000000008</v>
      </c>
      <c r="Z40" s="27">
        <v>-7287.5</v>
      </c>
      <c r="AA40" s="27">
        <v>-6324.66</v>
      </c>
      <c r="AB40" s="27">
        <v>-5377.63</v>
      </c>
      <c r="AC40" s="27">
        <v>-4468.21</v>
      </c>
      <c r="AD40" s="27">
        <v>-3612.13</v>
      </c>
    </row>
    <row r="41" spans="1:30">
      <c r="A41" s="27" t="s">
        <v>205</v>
      </c>
      <c r="B41" s="27" t="s">
        <v>253</v>
      </c>
      <c r="C41" s="27" t="s">
        <v>198</v>
      </c>
      <c r="D41" s="27" t="s">
        <v>1154</v>
      </c>
      <c r="E41" s="27" t="s">
        <v>75</v>
      </c>
      <c r="F41" s="27" t="s">
        <v>200</v>
      </c>
      <c r="G41" s="27">
        <v>4533.16</v>
      </c>
      <c r="H41" s="27">
        <v>4091.41</v>
      </c>
      <c r="I41" s="27">
        <v>4152.7700000000004</v>
      </c>
      <c r="J41" s="27">
        <v>3004.75</v>
      </c>
      <c r="K41" s="27" t="s">
        <v>200</v>
      </c>
      <c r="L41" s="27" t="s">
        <v>200</v>
      </c>
      <c r="M41" s="27" t="s">
        <v>200</v>
      </c>
      <c r="N41" s="27" t="s">
        <v>200</v>
      </c>
      <c r="O41" s="27">
        <v>541.76599999999996</v>
      </c>
      <c r="P41" s="27">
        <v>-2238.08</v>
      </c>
      <c r="Q41" s="27">
        <v>-3575.76</v>
      </c>
      <c r="R41" s="27">
        <v>-4158.76</v>
      </c>
      <c r="S41" s="27">
        <v>-4354.22</v>
      </c>
      <c r="T41" s="27">
        <v>-4351.26</v>
      </c>
      <c r="U41" s="27">
        <v>-4247.2700000000004</v>
      </c>
      <c r="V41" s="27">
        <v>-4092.57</v>
      </c>
      <c r="W41" s="27">
        <v>-3913.45</v>
      </c>
      <c r="X41" s="27">
        <v>-3723.97</v>
      </c>
      <c r="Y41" s="27">
        <v>-3531.89</v>
      </c>
      <c r="Z41" s="27">
        <v>-3341.69</v>
      </c>
      <c r="AA41" s="27">
        <v>-3156.05</v>
      </c>
      <c r="AB41" s="27">
        <v>-2976.64</v>
      </c>
      <c r="AC41" s="27">
        <v>-2804.52</v>
      </c>
      <c r="AD41" s="27">
        <v>-2640.34</v>
      </c>
    </row>
    <row r="42" spans="1:30">
      <c r="A42" s="27" t="s">
        <v>216</v>
      </c>
      <c r="B42" s="27" t="s">
        <v>254</v>
      </c>
      <c r="C42" s="27" t="s">
        <v>198</v>
      </c>
      <c r="D42" s="27" t="s">
        <v>1154</v>
      </c>
      <c r="E42" s="27" t="s">
        <v>75</v>
      </c>
      <c r="F42" s="27">
        <v>5811.8708999999999</v>
      </c>
      <c r="G42" s="27">
        <v>5837.5441666666702</v>
      </c>
      <c r="H42" s="27">
        <v>6249.0666333333302</v>
      </c>
      <c r="I42" s="27">
        <v>5862.1313666666701</v>
      </c>
      <c r="J42" s="27">
        <v>5473.1486333333296</v>
      </c>
      <c r="K42" s="27">
        <v>4873.8990025595203</v>
      </c>
      <c r="L42" s="27">
        <v>4266.3390733333299</v>
      </c>
      <c r="M42" s="27">
        <v>3661.0826222568498</v>
      </c>
      <c r="N42" s="27">
        <v>3053.2937326195402</v>
      </c>
      <c r="O42" s="27">
        <v>2625.0363333333298</v>
      </c>
      <c r="P42" s="27">
        <v>-193.458810163734</v>
      </c>
      <c r="Q42" s="27">
        <v>-875.51517729474097</v>
      </c>
      <c r="R42" s="27">
        <v>-1599.27269182652</v>
      </c>
      <c r="S42" s="27">
        <v>-2162.0373432410702</v>
      </c>
      <c r="T42" s="27">
        <v>-2744.69701549095</v>
      </c>
      <c r="U42" s="27">
        <v>-3135.1243170175899</v>
      </c>
      <c r="V42" s="27">
        <v>-3485.4414980710699</v>
      </c>
      <c r="W42" s="27" t="s">
        <v>200</v>
      </c>
      <c r="X42" s="27">
        <v>-4065.5789265907601</v>
      </c>
      <c r="Y42" s="27" t="s">
        <v>200</v>
      </c>
      <c r="Z42" s="27">
        <v>-5122.2046326600703</v>
      </c>
      <c r="AA42" s="27" t="s">
        <v>200</v>
      </c>
      <c r="AB42" s="27">
        <v>-5661.2780326596903</v>
      </c>
      <c r="AC42" s="27" t="s">
        <v>200</v>
      </c>
      <c r="AD42" s="27">
        <v>-5840.2198981773699</v>
      </c>
    </row>
    <row r="43" spans="1:30">
      <c r="A43" s="27" t="s">
        <v>255</v>
      </c>
      <c r="B43" s="27" t="s">
        <v>256</v>
      </c>
      <c r="C43" s="27" t="s">
        <v>198</v>
      </c>
      <c r="D43" s="27" t="s">
        <v>1154</v>
      </c>
      <c r="E43" s="27" t="s">
        <v>75</v>
      </c>
      <c r="F43" s="27" t="s">
        <v>200</v>
      </c>
      <c r="G43" s="27">
        <v>1500.55475</v>
      </c>
      <c r="H43" s="27">
        <v>1102.9960000000001</v>
      </c>
      <c r="I43" s="27">
        <v>1023.3759375</v>
      </c>
      <c r="J43" s="27">
        <v>1270.3747499999999</v>
      </c>
      <c r="K43" s="27" t="s">
        <v>200</v>
      </c>
      <c r="L43" s="27" t="s">
        <v>200</v>
      </c>
      <c r="M43" s="27" t="s">
        <v>200</v>
      </c>
      <c r="N43" s="27" t="s">
        <v>200</v>
      </c>
      <c r="O43" s="27">
        <v>137.17384375</v>
      </c>
      <c r="P43" s="27">
        <v>-1649.42975</v>
      </c>
      <c r="Q43" s="27">
        <v>-2328.404</v>
      </c>
      <c r="R43" s="27">
        <v>-1025.3063125000001</v>
      </c>
      <c r="S43" s="27">
        <v>-495.77946874999998</v>
      </c>
      <c r="T43" s="27">
        <v>-363.544625</v>
      </c>
      <c r="U43" s="27">
        <v>-423.62312500000002</v>
      </c>
      <c r="V43" s="27">
        <v>-17.651681640625</v>
      </c>
      <c r="W43" s="27">
        <v>-68.601476562499997</v>
      </c>
      <c r="X43" s="27">
        <v>-110.0767109375</v>
      </c>
      <c r="Y43" s="27">
        <v>-293.83546875000002</v>
      </c>
      <c r="Z43" s="27">
        <v>-611.83062500000005</v>
      </c>
      <c r="AA43" s="27">
        <v>-1046.84275</v>
      </c>
      <c r="AB43" s="27">
        <v>-1294.92975</v>
      </c>
      <c r="AC43" s="27">
        <v>-1575.296</v>
      </c>
      <c r="AD43" s="27">
        <v>-1614.0395000000001</v>
      </c>
    </row>
    <row r="44" spans="1:30">
      <c r="A44" s="27" t="s">
        <v>257</v>
      </c>
      <c r="B44" s="27" t="s">
        <v>197</v>
      </c>
      <c r="C44" s="27" t="s">
        <v>198</v>
      </c>
      <c r="D44" s="27" t="s">
        <v>1154</v>
      </c>
      <c r="E44" s="27" t="s">
        <v>75</v>
      </c>
      <c r="F44" s="27" t="s">
        <v>200</v>
      </c>
      <c r="G44" s="27" t="s">
        <v>200</v>
      </c>
      <c r="H44" s="27">
        <v>3236.3951999999999</v>
      </c>
      <c r="I44" s="27">
        <v>2984.3407999999999</v>
      </c>
      <c r="J44" s="27">
        <v>2934.6174999999998</v>
      </c>
      <c r="K44" s="27" t="s">
        <v>200</v>
      </c>
      <c r="L44" s="27" t="s">
        <v>200</v>
      </c>
      <c r="M44" s="27" t="s">
        <v>200</v>
      </c>
      <c r="N44" s="27" t="s">
        <v>200</v>
      </c>
      <c r="O44" s="27">
        <v>1855.4481000000001</v>
      </c>
      <c r="P44" s="27">
        <v>1064.7702999999999</v>
      </c>
      <c r="Q44" s="27">
        <v>-555.57979999999998</v>
      </c>
      <c r="R44" s="27">
        <v>-2617.9913999999999</v>
      </c>
      <c r="S44" s="27">
        <v>-4120.3680999999997</v>
      </c>
      <c r="T44" s="27">
        <v>-4504.9013000000004</v>
      </c>
      <c r="U44" s="27">
        <v>-4175.3230000000003</v>
      </c>
      <c r="V44" s="27">
        <v>-3694.1722</v>
      </c>
      <c r="W44" s="27">
        <v>-3256.5050000000001</v>
      </c>
      <c r="X44" s="27">
        <v>-2908.779</v>
      </c>
      <c r="Y44" s="27">
        <v>-2654.1109999999999</v>
      </c>
      <c r="Z44" s="27">
        <v>-2417.4675000000002</v>
      </c>
      <c r="AA44" s="27">
        <v>-2153.7485000000001</v>
      </c>
      <c r="AB44" s="27">
        <v>-1895.1415</v>
      </c>
      <c r="AC44" s="27">
        <v>-1670.6368</v>
      </c>
      <c r="AD44" s="27">
        <v>-1485.0027</v>
      </c>
    </row>
    <row r="45" spans="1:30">
      <c r="A45" s="27" t="s">
        <v>196</v>
      </c>
      <c r="B45" s="27" t="s">
        <v>258</v>
      </c>
      <c r="C45" s="27" t="s">
        <v>198</v>
      </c>
      <c r="D45" s="27" t="s">
        <v>1154</v>
      </c>
      <c r="E45" s="27" t="s">
        <v>75</v>
      </c>
      <c r="F45" s="27" t="s">
        <v>200</v>
      </c>
      <c r="G45" s="27">
        <v>3713.6169</v>
      </c>
      <c r="H45" s="27">
        <v>4185.6859000000004</v>
      </c>
      <c r="I45" s="27">
        <v>4371.4515000000001</v>
      </c>
      <c r="J45" s="27">
        <v>4278.8032999999996</v>
      </c>
      <c r="K45" s="27" t="s">
        <v>200</v>
      </c>
      <c r="L45" s="27" t="s">
        <v>200</v>
      </c>
      <c r="M45" s="27" t="s">
        <v>200</v>
      </c>
      <c r="N45" s="27" t="s">
        <v>200</v>
      </c>
      <c r="O45" s="27">
        <v>903.03959999999995</v>
      </c>
      <c r="P45" s="27">
        <v>-36.168300000000002</v>
      </c>
      <c r="Q45" s="27">
        <v>-367.15539999999999</v>
      </c>
      <c r="R45" s="27">
        <v>-276.87259999999998</v>
      </c>
      <c r="S45" s="27">
        <v>-143.38820000000001</v>
      </c>
      <c r="T45" s="27">
        <v>-108.0227</v>
      </c>
      <c r="U45" s="27">
        <v>-111.48180000000001</v>
      </c>
      <c r="V45" s="27">
        <v>-87.230500000000006</v>
      </c>
      <c r="W45" s="27" t="s">
        <v>200</v>
      </c>
      <c r="X45" s="27">
        <v>-91.888900000000007</v>
      </c>
      <c r="Y45" s="27" t="s">
        <v>200</v>
      </c>
      <c r="Z45" s="27">
        <v>-188.11779999999999</v>
      </c>
      <c r="AA45" s="27" t="s">
        <v>200</v>
      </c>
      <c r="AB45" s="27">
        <v>-292.62150000000003</v>
      </c>
      <c r="AC45" s="27" t="s">
        <v>200</v>
      </c>
      <c r="AD45" s="27">
        <v>-297.26339999999999</v>
      </c>
    </row>
    <row r="46" spans="1:30">
      <c r="A46" s="27" t="s">
        <v>247</v>
      </c>
      <c r="B46" s="27" t="s">
        <v>259</v>
      </c>
      <c r="C46" s="27" t="s">
        <v>198</v>
      </c>
      <c r="D46" s="27" t="s">
        <v>1154</v>
      </c>
      <c r="E46" s="27" t="s">
        <v>75</v>
      </c>
      <c r="F46" s="27">
        <v>1811.52075195312</v>
      </c>
      <c r="G46" s="27">
        <v>2232.56713867188</v>
      </c>
      <c r="H46" s="27">
        <v>1629.14477539062</v>
      </c>
      <c r="I46" s="27" t="s">
        <v>200</v>
      </c>
      <c r="J46" s="27">
        <v>555.15222167968807</v>
      </c>
      <c r="K46" s="27" t="s">
        <v>200</v>
      </c>
      <c r="L46" s="27" t="s">
        <v>200</v>
      </c>
      <c r="M46" s="27" t="s">
        <v>200</v>
      </c>
      <c r="N46" s="27" t="s">
        <v>200</v>
      </c>
      <c r="O46" s="27" t="s">
        <v>200</v>
      </c>
      <c r="P46" s="27">
        <v>-2868.94653320312</v>
      </c>
      <c r="Q46" s="27" t="s">
        <v>200</v>
      </c>
      <c r="R46" s="27">
        <v>-2768.05395507812</v>
      </c>
      <c r="S46" s="27" t="s">
        <v>200</v>
      </c>
      <c r="T46" s="27">
        <v>-1939.72033691406</v>
      </c>
      <c r="U46" s="27" t="s">
        <v>200</v>
      </c>
      <c r="V46" s="27">
        <v>-1076.59167480469</v>
      </c>
      <c r="W46" s="27" t="s">
        <v>200</v>
      </c>
      <c r="X46" s="27">
        <v>-879.65460205078091</v>
      </c>
      <c r="Y46" s="27" t="s">
        <v>200</v>
      </c>
      <c r="Z46" s="27">
        <v>-1397.91027832031</v>
      </c>
      <c r="AA46" s="27" t="s">
        <v>200</v>
      </c>
      <c r="AB46" s="27">
        <v>-1674.28771972656</v>
      </c>
      <c r="AC46" s="27" t="s">
        <v>200</v>
      </c>
      <c r="AD46" s="27">
        <v>-2429.55615234375</v>
      </c>
    </row>
    <row r="47" spans="1:30">
      <c r="A47" s="27" t="s">
        <v>233</v>
      </c>
      <c r="B47" s="27" t="s">
        <v>260</v>
      </c>
      <c r="C47" s="27" t="s">
        <v>198</v>
      </c>
      <c r="D47" s="27" t="s">
        <v>1154</v>
      </c>
      <c r="E47" s="27" t="s">
        <v>75</v>
      </c>
      <c r="F47" s="27" t="s">
        <v>200</v>
      </c>
      <c r="G47" s="27" t="s">
        <v>200</v>
      </c>
      <c r="H47" s="27">
        <v>2705.2860173333329</v>
      </c>
      <c r="I47" s="27">
        <v>2689.7768000000001</v>
      </c>
      <c r="J47" s="27">
        <v>2548.4863141909341</v>
      </c>
      <c r="K47" s="27" t="s">
        <v>200</v>
      </c>
      <c r="L47" s="27" t="s">
        <v>200</v>
      </c>
      <c r="M47" s="27" t="s">
        <v>200</v>
      </c>
      <c r="N47" s="27" t="s">
        <v>200</v>
      </c>
      <c r="O47" s="27">
        <v>-260.13180650163548</v>
      </c>
      <c r="P47" s="27">
        <v>-1301.119047666165</v>
      </c>
      <c r="Q47" s="27">
        <v>-1636.0844580283961</v>
      </c>
      <c r="R47" s="27">
        <v>-1920.6796251551509</v>
      </c>
      <c r="S47" s="27">
        <v>-2303.0226730165582</v>
      </c>
      <c r="T47" s="27">
        <v>-2655.060224454895</v>
      </c>
      <c r="U47" s="27">
        <v>-3014.25781079441</v>
      </c>
      <c r="V47" s="27">
        <v>-3382.414699290292</v>
      </c>
      <c r="W47" s="27">
        <v>-3407.9912156898322</v>
      </c>
      <c r="X47" s="27">
        <v>-3419.7079759542612</v>
      </c>
      <c r="Y47" s="27">
        <v>-3427.670515260133</v>
      </c>
      <c r="Z47" s="27">
        <v>-3463.3064586985461</v>
      </c>
      <c r="AA47" s="27">
        <v>-3543.908347301372</v>
      </c>
      <c r="AB47" s="27">
        <v>-3641.5292032246239</v>
      </c>
      <c r="AC47" s="27">
        <v>-3449.9114725804011</v>
      </c>
      <c r="AD47" s="27">
        <v>-3414.858541525804</v>
      </c>
    </row>
    <row r="48" spans="1:30">
      <c r="A48" s="27" t="s">
        <v>261</v>
      </c>
      <c r="B48" s="27" t="s">
        <v>262</v>
      </c>
      <c r="C48" s="27" t="s">
        <v>198</v>
      </c>
      <c r="D48" s="27" t="s">
        <v>1154</v>
      </c>
      <c r="E48" s="27" t="s">
        <v>75</v>
      </c>
      <c r="F48" s="27" t="s">
        <v>200</v>
      </c>
      <c r="G48" s="27">
        <v>4797.5419217735853</v>
      </c>
      <c r="H48" s="27">
        <v>5579.9974928405254</v>
      </c>
      <c r="I48" s="27">
        <v>4154.5783607961685</v>
      </c>
      <c r="J48" s="27">
        <v>3489.866224745278</v>
      </c>
      <c r="K48" s="27" t="s">
        <v>200</v>
      </c>
      <c r="L48" s="27" t="s">
        <v>200</v>
      </c>
      <c r="M48" s="27" t="s">
        <v>200</v>
      </c>
      <c r="N48" s="27" t="s">
        <v>200</v>
      </c>
      <c r="O48" s="27">
        <v>3291.1110871048541</v>
      </c>
      <c r="P48" s="27">
        <v>2613.5920089872429</v>
      </c>
      <c r="Q48" s="27">
        <v>2313.3978398757222</v>
      </c>
      <c r="R48" s="27">
        <v>1141.214025621051</v>
      </c>
      <c r="S48" s="27">
        <v>-307.3158512792221</v>
      </c>
      <c r="T48" s="27">
        <v>-2115.0351913705981</v>
      </c>
      <c r="U48" s="27">
        <v>-3058.5001213152109</v>
      </c>
      <c r="V48" s="27">
        <v>-3444.2987196795088</v>
      </c>
      <c r="W48" s="27">
        <v>-3882.5875698082682</v>
      </c>
      <c r="X48" s="27">
        <v>-4520.2608733511552</v>
      </c>
      <c r="Y48" s="27">
        <v>-4172.3847244002654</v>
      </c>
      <c r="Z48" s="27">
        <v>-5213.6977940570478</v>
      </c>
      <c r="AA48" s="27">
        <v>-5034.3909069505407</v>
      </c>
      <c r="AB48" s="27">
        <v>-5796.2223718865953</v>
      </c>
      <c r="AC48" s="27">
        <v>-5363.4485582419438</v>
      </c>
      <c r="AD48" s="27">
        <v>-5586.9024276845348</v>
      </c>
    </row>
    <row r="49" spans="1:30">
      <c r="A49" s="27" t="s">
        <v>218</v>
      </c>
      <c r="B49" s="27" t="s">
        <v>263</v>
      </c>
      <c r="C49" s="27" t="s">
        <v>198</v>
      </c>
      <c r="D49" s="27" t="s">
        <v>1154</v>
      </c>
      <c r="E49" s="27" t="s">
        <v>75</v>
      </c>
      <c r="F49" s="27" t="s">
        <v>200</v>
      </c>
      <c r="G49" s="27">
        <v>6920.6133</v>
      </c>
      <c r="H49" s="27">
        <v>6905.8346000000001</v>
      </c>
      <c r="I49" s="27">
        <v>6998.7379000000001</v>
      </c>
      <c r="J49" s="27">
        <v>6768.4403000000002</v>
      </c>
      <c r="K49" s="27" t="s">
        <v>200</v>
      </c>
      <c r="L49" s="27" t="s">
        <v>200</v>
      </c>
      <c r="M49" s="27" t="s">
        <v>200</v>
      </c>
      <c r="N49" s="27" t="s">
        <v>200</v>
      </c>
      <c r="O49" s="27">
        <v>4128.9920000000002</v>
      </c>
      <c r="P49" s="27">
        <v>315.17380000000003</v>
      </c>
      <c r="Q49" s="27">
        <v>-2453.377</v>
      </c>
      <c r="R49" s="27">
        <v>-4281.9609999999984</v>
      </c>
      <c r="S49" s="27">
        <v>-5182.9120000000003</v>
      </c>
      <c r="T49" s="27">
        <v>-5348.3159999999998</v>
      </c>
      <c r="U49" s="27">
        <v>-5528.4359999999997</v>
      </c>
      <c r="V49" s="27">
        <v>-5633.4490000000014</v>
      </c>
      <c r="W49" s="27" t="s">
        <v>200</v>
      </c>
      <c r="X49" s="27">
        <v>-5339.1190000000024</v>
      </c>
      <c r="Y49" s="27" t="s">
        <v>200</v>
      </c>
      <c r="Z49" s="27">
        <v>-4065.5740000000001</v>
      </c>
      <c r="AA49" s="27" t="s">
        <v>200</v>
      </c>
      <c r="AB49" s="27">
        <v>-2910.6370000000002</v>
      </c>
      <c r="AC49" s="27" t="s">
        <v>200</v>
      </c>
      <c r="AD49" s="27">
        <v>-2326.7670000000012</v>
      </c>
    </row>
    <row r="50" spans="1:30">
      <c r="A50" s="27" t="s">
        <v>196</v>
      </c>
      <c r="B50" s="27" t="s">
        <v>264</v>
      </c>
      <c r="C50" s="27" t="s">
        <v>198</v>
      </c>
      <c r="D50" s="27" t="s">
        <v>1154</v>
      </c>
      <c r="E50" s="27" t="s">
        <v>75</v>
      </c>
      <c r="F50" s="27" t="s">
        <v>200</v>
      </c>
      <c r="G50" s="27">
        <v>3720.3944000000001</v>
      </c>
      <c r="H50" s="27">
        <v>4183.4558999999999</v>
      </c>
      <c r="I50" s="27">
        <v>4301.3303999999998</v>
      </c>
      <c r="J50" s="27">
        <v>4117.3211000000001</v>
      </c>
      <c r="K50" s="27" t="s">
        <v>200</v>
      </c>
      <c r="L50" s="27" t="s">
        <v>200</v>
      </c>
      <c r="M50" s="27" t="s">
        <v>200</v>
      </c>
      <c r="N50" s="27" t="s">
        <v>200</v>
      </c>
      <c r="O50" s="27">
        <v>360.36500000000001</v>
      </c>
      <c r="P50" s="27">
        <v>255.99170000000001</v>
      </c>
      <c r="Q50" s="27">
        <v>170.3323</v>
      </c>
      <c r="R50" s="27">
        <v>149.23689999999999</v>
      </c>
      <c r="S50" s="27">
        <v>185.61250000000001</v>
      </c>
      <c r="T50" s="27">
        <v>219.7201</v>
      </c>
      <c r="U50" s="27">
        <v>137.36619999999999</v>
      </c>
      <c r="V50" s="27">
        <v>-158.6088</v>
      </c>
      <c r="W50" s="27" t="s">
        <v>200</v>
      </c>
      <c r="X50" s="27">
        <v>-655.47360000000003</v>
      </c>
      <c r="Y50" s="27" t="s">
        <v>200</v>
      </c>
      <c r="Z50" s="27">
        <v>-1209.4652000000001</v>
      </c>
      <c r="AA50" s="27" t="s">
        <v>200</v>
      </c>
      <c r="AB50" s="27">
        <v>-1618.7511999999999</v>
      </c>
      <c r="AC50" s="27" t="s">
        <v>200</v>
      </c>
      <c r="AD50" s="27">
        <v>-1779.5103999999999</v>
      </c>
    </row>
    <row r="51" spans="1:30">
      <c r="A51" s="27" t="s">
        <v>218</v>
      </c>
      <c r="B51" s="27" t="s">
        <v>265</v>
      </c>
      <c r="C51" s="27" t="s">
        <v>198</v>
      </c>
      <c r="D51" s="27" t="s">
        <v>1154</v>
      </c>
      <c r="E51" s="27" t="s">
        <v>75</v>
      </c>
      <c r="F51" s="27" t="s">
        <v>200</v>
      </c>
      <c r="G51" s="27">
        <v>6920.6133</v>
      </c>
      <c r="H51" s="27">
        <v>6905.8346000000001</v>
      </c>
      <c r="I51" s="27">
        <v>6998.7379000000001</v>
      </c>
      <c r="J51" s="27">
        <v>6768.4403000000002</v>
      </c>
      <c r="K51" s="27" t="s">
        <v>200</v>
      </c>
      <c r="L51" s="27" t="s">
        <v>200</v>
      </c>
      <c r="M51" s="27" t="s">
        <v>200</v>
      </c>
      <c r="N51" s="27" t="s">
        <v>200</v>
      </c>
      <c r="O51" s="27">
        <v>4128.9920000000002</v>
      </c>
      <c r="P51" s="27">
        <v>315.17380000000003</v>
      </c>
      <c r="Q51" s="27">
        <v>-2282.2689999999998</v>
      </c>
      <c r="R51" s="27">
        <v>-4091.8789999999999</v>
      </c>
      <c r="S51" s="27">
        <v>-5002.6670000000004</v>
      </c>
      <c r="T51" s="27">
        <v>-5198.6130000000003</v>
      </c>
      <c r="U51" s="27">
        <v>-5110.2950000000001</v>
      </c>
      <c r="V51" s="27">
        <v>-4936.924</v>
      </c>
      <c r="W51" s="27" t="s">
        <v>200</v>
      </c>
      <c r="X51" s="27">
        <v>-4515.2349999999997</v>
      </c>
      <c r="Y51" s="27" t="s">
        <v>200</v>
      </c>
      <c r="Z51" s="27">
        <v>-3854.23</v>
      </c>
      <c r="AA51" s="27" t="s">
        <v>200</v>
      </c>
      <c r="AB51" s="27">
        <v>-2721.3740000000012</v>
      </c>
      <c r="AC51" s="27" t="s">
        <v>200</v>
      </c>
      <c r="AD51" s="27">
        <v>-1925.2349999999999</v>
      </c>
    </row>
    <row r="52" spans="1:30">
      <c r="A52" s="27" t="s">
        <v>226</v>
      </c>
      <c r="B52" s="27" t="s">
        <v>243</v>
      </c>
      <c r="C52" s="27" t="s">
        <v>198</v>
      </c>
      <c r="D52" s="27" t="s">
        <v>1154</v>
      </c>
      <c r="E52" s="27" t="s">
        <v>75</v>
      </c>
      <c r="F52" s="27" t="s">
        <v>200</v>
      </c>
      <c r="G52" s="27">
        <v>4526.5568000000003</v>
      </c>
      <c r="H52" s="27">
        <v>5422.9350000000004</v>
      </c>
      <c r="I52" s="27">
        <v>6391.0905000000002</v>
      </c>
      <c r="J52" s="27">
        <v>5560.9849000000004</v>
      </c>
      <c r="K52" s="27" t="s">
        <v>200</v>
      </c>
      <c r="L52" s="27" t="s">
        <v>200</v>
      </c>
      <c r="M52" s="27" t="s">
        <v>200</v>
      </c>
      <c r="N52" s="27" t="s">
        <v>200</v>
      </c>
      <c r="O52" s="27">
        <v>2512.0783000000001</v>
      </c>
      <c r="P52" s="27">
        <v>-148.01609999999999</v>
      </c>
      <c r="Q52" s="27">
        <v>-1711.8741</v>
      </c>
      <c r="R52" s="27">
        <v>-2914.5808999999999</v>
      </c>
      <c r="S52" s="27">
        <v>-3588.3458000000001</v>
      </c>
      <c r="T52" s="27">
        <v>-3922.4920000000002</v>
      </c>
      <c r="U52" s="27">
        <v>-4339.0936000000002</v>
      </c>
      <c r="V52" s="27">
        <v>-4609.0120999999999</v>
      </c>
      <c r="W52" s="27" t="s">
        <v>200</v>
      </c>
      <c r="X52" s="27">
        <v>-4695.1247000000003</v>
      </c>
      <c r="Y52" s="27" t="s">
        <v>200</v>
      </c>
      <c r="Z52" s="27">
        <v>-5014.3379999999997</v>
      </c>
      <c r="AA52" s="27" t="s">
        <v>200</v>
      </c>
      <c r="AB52" s="27">
        <v>-5196.2656999999999</v>
      </c>
      <c r="AC52" s="27" t="s">
        <v>200</v>
      </c>
      <c r="AD52" s="27">
        <v>-5098.8290000000025</v>
      </c>
    </row>
    <row r="53" spans="1:30">
      <c r="A53" s="27" t="s">
        <v>231</v>
      </c>
      <c r="B53" s="27" t="s">
        <v>266</v>
      </c>
      <c r="C53" s="27" t="s">
        <v>198</v>
      </c>
      <c r="D53" s="27" t="s">
        <v>1154</v>
      </c>
      <c r="E53" s="27" t="s">
        <v>75</v>
      </c>
      <c r="F53" s="27" t="s">
        <v>200</v>
      </c>
      <c r="G53" s="27">
        <v>1949.45026320698</v>
      </c>
      <c r="H53" s="27">
        <v>2479.7480392790599</v>
      </c>
      <c r="I53" s="27">
        <v>3260.79235465483</v>
      </c>
      <c r="J53" s="27">
        <v>580.84887615562297</v>
      </c>
      <c r="K53" s="27" t="s">
        <v>200</v>
      </c>
      <c r="L53" s="27" t="s">
        <v>200</v>
      </c>
      <c r="M53" s="27" t="s">
        <v>200</v>
      </c>
      <c r="N53" s="27" t="s">
        <v>200</v>
      </c>
      <c r="O53" s="27">
        <v>-582.53824908956199</v>
      </c>
      <c r="P53" s="27">
        <v>-2006.22937351993</v>
      </c>
      <c r="Q53" s="27">
        <v>-1812.8708181122799</v>
      </c>
      <c r="R53" s="27">
        <v>-3764.6482690154598</v>
      </c>
      <c r="S53" s="27">
        <v>-3693.3635831575698</v>
      </c>
      <c r="T53" s="27">
        <v>-2919.9906006907299</v>
      </c>
      <c r="U53" s="27">
        <v>-2318.2415583342099</v>
      </c>
      <c r="V53" s="27">
        <v>-1924.1101754670899</v>
      </c>
      <c r="W53" s="27">
        <v>-1643.5109684848001</v>
      </c>
      <c r="X53" s="27">
        <v>-1433.8401888318699</v>
      </c>
      <c r="Y53" s="27">
        <v>-1262.4492022398999</v>
      </c>
      <c r="Z53" s="27">
        <v>-1112.06525435553</v>
      </c>
      <c r="AA53" s="27">
        <v>-989.60744662570505</v>
      </c>
      <c r="AB53" s="27">
        <v>-887.80834417428298</v>
      </c>
      <c r="AC53" s="27">
        <v>-818.76948287761604</v>
      </c>
      <c r="AD53" s="27">
        <v>-775.77034697700003</v>
      </c>
    </row>
    <row r="54" spans="1:30">
      <c r="A54" s="27" t="s">
        <v>233</v>
      </c>
      <c r="B54" s="27" t="s">
        <v>267</v>
      </c>
      <c r="C54" s="27" t="s">
        <v>198</v>
      </c>
      <c r="D54" s="27" t="s">
        <v>1154</v>
      </c>
      <c r="E54" s="27" t="s">
        <v>75</v>
      </c>
      <c r="F54" s="27" t="s">
        <v>200</v>
      </c>
      <c r="G54" s="27" t="s">
        <v>200</v>
      </c>
      <c r="H54" s="27">
        <v>2705.2860173333329</v>
      </c>
      <c r="I54" s="27">
        <v>2689.7768000000001</v>
      </c>
      <c r="J54" s="27">
        <v>2548.4863141909341</v>
      </c>
      <c r="K54" s="27" t="s">
        <v>200</v>
      </c>
      <c r="L54" s="27" t="s">
        <v>200</v>
      </c>
      <c r="M54" s="27" t="s">
        <v>200</v>
      </c>
      <c r="N54" s="27" t="s">
        <v>200</v>
      </c>
      <c r="O54" s="27">
        <v>-344.67955550125168</v>
      </c>
      <c r="P54" s="27">
        <v>-1312.9453791551671</v>
      </c>
      <c r="Q54" s="27">
        <v>-1545.8423565800799</v>
      </c>
      <c r="R54" s="27">
        <v>-1710.3765934088731</v>
      </c>
      <c r="S54" s="27">
        <v>-2175.092321538822</v>
      </c>
      <c r="T54" s="27">
        <v>-2643.9762766924432</v>
      </c>
      <c r="U54" s="27">
        <v>-3028.7440274267292</v>
      </c>
      <c r="V54" s="27">
        <v>-3477.4377938736488</v>
      </c>
      <c r="W54" s="27">
        <v>-3544.6048400427389</v>
      </c>
      <c r="X54" s="27">
        <v>-3520.318383272454</v>
      </c>
      <c r="Y54" s="27">
        <v>-3705.5107461531502</v>
      </c>
      <c r="Z54" s="27">
        <v>-3861.5870989940481</v>
      </c>
      <c r="AA54" s="27">
        <v>-4018.1295184934529</v>
      </c>
      <c r="AB54" s="27">
        <v>-4107.6364834233027</v>
      </c>
      <c r="AC54" s="27">
        <v>-3906.5819626691332</v>
      </c>
      <c r="AD54" s="27">
        <v>-3817.0677588468898</v>
      </c>
    </row>
    <row r="55" spans="1:30">
      <c r="A55" s="27" t="s">
        <v>196</v>
      </c>
      <c r="B55" s="27" t="s">
        <v>268</v>
      </c>
      <c r="C55" s="27" t="s">
        <v>198</v>
      </c>
      <c r="D55" s="27" t="s">
        <v>1154</v>
      </c>
      <c r="E55" s="27" t="s">
        <v>75</v>
      </c>
      <c r="F55" s="27" t="s">
        <v>200</v>
      </c>
      <c r="G55" s="27">
        <v>3716.6813999999999</v>
      </c>
      <c r="H55" s="27">
        <v>4189.5450000000001</v>
      </c>
      <c r="I55" s="27">
        <v>4257.2275</v>
      </c>
      <c r="J55" s="27">
        <v>4085.4883</v>
      </c>
      <c r="K55" s="27" t="s">
        <v>200</v>
      </c>
      <c r="L55" s="27" t="s">
        <v>200</v>
      </c>
      <c r="M55" s="27" t="s">
        <v>200</v>
      </c>
      <c r="N55" s="27" t="s">
        <v>200</v>
      </c>
      <c r="O55" s="27">
        <v>866.524</v>
      </c>
      <c r="P55" s="27">
        <v>-129.27379999999999</v>
      </c>
      <c r="Q55" s="27">
        <v>-523.3922</v>
      </c>
      <c r="R55" s="27">
        <v>-471.67129999999997</v>
      </c>
      <c r="S55" s="27">
        <v>-303.26280000000003</v>
      </c>
      <c r="T55" s="27">
        <v>-204.84270000000001</v>
      </c>
      <c r="U55" s="27">
        <v>-252.72</v>
      </c>
      <c r="V55" s="27">
        <v>-424.35520000000002</v>
      </c>
      <c r="W55" s="27" t="s">
        <v>200</v>
      </c>
      <c r="X55" s="27">
        <v>-644.63350000000003</v>
      </c>
      <c r="Y55" s="27" t="s">
        <v>200</v>
      </c>
      <c r="Z55" s="27">
        <v>-842.053</v>
      </c>
      <c r="AA55" s="27" t="s">
        <v>200</v>
      </c>
      <c r="AB55" s="27">
        <v>-955.33190000000002</v>
      </c>
      <c r="AC55" s="27" t="s">
        <v>200</v>
      </c>
      <c r="AD55" s="27">
        <v>-967.47900000000004</v>
      </c>
    </row>
    <row r="56" spans="1:30">
      <c r="A56" s="27" t="s">
        <v>222</v>
      </c>
      <c r="B56" s="27" t="s">
        <v>269</v>
      </c>
      <c r="C56" s="27" t="s">
        <v>198</v>
      </c>
      <c r="D56" s="27" t="s">
        <v>1154</v>
      </c>
      <c r="E56" s="27" t="s">
        <v>75</v>
      </c>
      <c r="F56" s="27" t="s">
        <v>200</v>
      </c>
      <c r="G56" s="27">
        <v>3650.3865999999998</v>
      </c>
      <c r="H56" s="27">
        <v>4219.1677</v>
      </c>
      <c r="I56" s="27">
        <v>4373.5944</v>
      </c>
      <c r="J56" s="27">
        <v>4270.8635000000004</v>
      </c>
      <c r="K56" s="27" t="s">
        <v>200</v>
      </c>
      <c r="L56" s="27" t="s">
        <v>200</v>
      </c>
      <c r="M56" s="27" t="s">
        <v>200</v>
      </c>
      <c r="N56" s="27" t="s">
        <v>200</v>
      </c>
      <c r="O56" s="27">
        <v>1826.6983</v>
      </c>
      <c r="P56" s="27">
        <v>829.47770000000003</v>
      </c>
      <c r="Q56" s="27">
        <v>577.57050000000004</v>
      </c>
      <c r="R56" s="27">
        <v>736.55359999999996</v>
      </c>
      <c r="S56" s="27">
        <v>803.51570000000004</v>
      </c>
      <c r="T56" s="27">
        <v>618.2278</v>
      </c>
      <c r="U56" s="27">
        <v>275.7251</v>
      </c>
      <c r="V56" s="27">
        <v>-56.447899999999997</v>
      </c>
      <c r="W56" s="27" t="s">
        <v>200</v>
      </c>
      <c r="X56" s="27">
        <v>-276.86219999999997</v>
      </c>
      <c r="Y56" s="27" t="s">
        <v>200</v>
      </c>
      <c r="Z56" s="27">
        <v>-380.05880000000002</v>
      </c>
      <c r="AA56" s="27" t="s">
        <v>200</v>
      </c>
      <c r="AB56" s="27">
        <v>-378.23219999999998</v>
      </c>
      <c r="AC56" s="27" t="s">
        <v>200</v>
      </c>
      <c r="AD56" s="27">
        <v>-292.44600000000003</v>
      </c>
    </row>
    <row r="57" spans="1:30">
      <c r="A57" s="27" t="s">
        <v>231</v>
      </c>
      <c r="B57" s="27" t="s">
        <v>270</v>
      </c>
      <c r="C57" s="27" t="s">
        <v>198</v>
      </c>
      <c r="D57" s="27" t="s">
        <v>1154</v>
      </c>
      <c r="E57" s="27" t="s">
        <v>75</v>
      </c>
      <c r="F57" s="27" t="s">
        <v>200</v>
      </c>
      <c r="G57" s="27">
        <v>1949.45026320698</v>
      </c>
      <c r="H57" s="27">
        <v>2479.7480392790599</v>
      </c>
      <c r="I57" s="27">
        <v>3260.79235465483</v>
      </c>
      <c r="J57" s="27">
        <v>580.84887615562297</v>
      </c>
      <c r="K57" s="27" t="s">
        <v>200</v>
      </c>
      <c r="L57" s="27" t="s">
        <v>200</v>
      </c>
      <c r="M57" s="27" t="s">
        <v>200</v>
      </c>
      <c r="N57" s="27" t="s">
        <v>200</v>
      </c>
      <c r="O57" s="27">
        <v>-655.98499528673995</v>
      </c>
      <c r="P57" s="27">
        <v>-2088.8882627425301</v>
      </c>
      <c r="Q57" s="27">
        <v>-2650.0276542813399</v>
      </c>
      <c r="R57" s="27">
        <v>-2912.69469158634</v>
      </c>
      <c r="S57" s="27">
        <v>-2979.0967939392799</v>
      </c>
      <c r="T57" s="27">
        <v>-3184.1558276015398</v>
      </c>
      <c r="U57" s="27">
        <v>-2626.1114998923799</v>
      </c>
      <c r="V57" s="27">
        <v>-2061.4614250290301</v>
      </c>
      <c r="W57" s="27">
        <v>-1681.96036081075</v>
      </c>
      <c r="X57" s="27">
        <v>-1421.12634734534</v>
      </c>
      <c r="Y57" s="27">
        <v>-1234.2552744976599</v>
      </c>
      <c r="Z57" s="27">
        <v>-1081.0632983020901</v>
      </c>
      <c r="AA57" s="27">
        <v>-960.25698868054099</v>
      </c>
      <c r="AB57" s="27">
        <v>-859.98263504569798</v>
      </c>
      <c r="AC57" s="27">
        <v>-791.05202724263097</v>
      </c>
      <c r="AD57" s="27">
        <v>-764.903121515718</v>
      </c>
    </row>
    <row r="58" spans="1:30">
      <c r="A58" s="27" t="s">
        <v>231</v>
      </c>
      <c r="B58" s="27" t="s">
        <v>271</v>
      </c>
      <c r="C58" s="27" t="s">
        <v>198</v>
      </c>
      <c r="D58" s="27" t="s">
        <v>1154</v>
      </c>
      <c r="E58" s="27" t="s">
        <v>75</v>
      </c>
      <c r="F58" s="27" t="s">
        <v>200</v>
      </c>
      <c r="G58" s="27">
        <v>1949.45026320698</v>
      </c>
      <c r="H58" s="27">
        <v>2479.7480392790599</v>
      </c>
      <c r="I58" s="27">
        <v>3260.79235465483</v>
      </c>
      <c r="J58" s="27">
        <v>580.84887615562297</v>
      </c>
      <c r="K58" s="27" t="s">
        <v>200</v>
      </c>
      <c r="L58" s="27" t="s">
        <v>200</v>
      </c>
      <c r="M58" s="27" t="s">
        <v>200</v>
      </c>
      <c r="N58" s="27" t="s">
        <v>200</v>
      </c>
      <c r="O58" s="27">
        <v>-114.665874935593</v>
      </c>
      <c r="P58" s="27">
        <v>17.140976820913401</v>
      </c>
      <c r="Q58" s="27">
        <v>-4543.7953009291596</v>
      </c>
      <c r="R58" s="27">
        <v>-3730.8440414857</v>
      </c>
      <c r="S58" s="27">
        <v>-3096.3406257121601</v>
      </c>
      <c r="T58" s="27">
        <v>-2571.5728079568698</v>
      </c>
      <c r="U58" s="27">
        <v>-2111.32180170018</v>
      </c>
      <c r="V58" s="27">
        <v>-1825.50851756515</v>
      </c>
      <c r="W58" s="27">
        <v>-1614.68818741619</v>
      </c>
      <c r="X58" s="27">
        <v>-1397.35758379102</v>
      </c>
      <c r="Y58" s="27">
        <v>-1205.5198379681699</v>
      </c>
      <c r="Z58" s="27">
        <v>-1071.7319010229101</v>
      </c>
      <c r="AA58" s="27">
        <v>-949.47507863435999</v>
      </c>
      <c r="AB58" s="27">
        <v>-865.59179670099195</v>
      </c>
      <c r="AC58" s="27">
        <v>-812.708285284917</v>
      </c>
      <c r="AD58" s="27">
        <v>-776.80246865219704</v>
      </c>
    </row>
    <row r="59" spans="1:30">
      <c r="A59" s="27" t="s">
        <v>216</v>
      </c>
      <c r="B59" s="27" t="s">
        <v>272</v>
      </c>
      <c r="C59" s="27" t="s">
        <v>198</v>
      </c>
      <c r="D59" s="27" t="s">
        <v>1154</v>
      </c>
      <c r="E59" s="27" t="s">
        <v>75</v>
      </c>
      <c r="F59" s="27">
        <v>5811.8708999999999</v>
      </c>
      <c r="G59" s="27">
        <v>5837.5441666666702</v>
      </c>
      <c r="H59" s="27">
        <v>6249.0666333333302</v>
      </c>
      <c r="I59" s="27">
        <v>5862.1313666666701</v>
      </c>
      <c r="J59" s="27">
        <v>5475.0853666666699</v>
      </c>
      <c r="K59" s="27">
        <v>4882.1214933333304</v>
      </c>
      <c r="L59" s="27">
        <v>4287.41802602396</v>
      </c>
      <c r="M59" s="27">
        <v>3677.8601352000501</v>
      </c>
      <c r="N59" s="27">
        <v>3068.32377190427</v>
      </c>
      <c r="O59" s="27">
        <v>2767.9385613292602</v>
      </c>
      <c r="P59" s="27">
        <v>66.504457438636095</v>
      </c>
      <c r="Q59" s="27">
        <v>-703.79936852101503</v>
      </c>
      <c r="R59" s="27">
        <v>-1477.19883435879</v>
      </c>
      <c r="S59" s="27">
        <v>-2057.0382777048999</v>
      </c>
      <c r="T59" s="27">
        <v>-2649.4334360781099</v>
      </c>
      <c r="U59" s="27">
        <v>-3061.9519330671601</v>
      </c>
      <c r="V59" s="27">
        <v>-3375.9284989595599</v>
      </c>
      <c r="W59" s="27" t="s">
        <v>200</v>
      </c>
      <c r="X59" s="27">
        <v>-4029.4562730589601</v>
      </c>
      <c r="Y59" s="27" t="s">
        <v>200</v>
      </c>
      <c r="Z59" s="27">
        <v>-5111.1807908238898</v>
      </c>
      <c r="AA59" s="27" t="s">
        <v>200</v>
      </c>
      <c r="AB59" s="27">
        <v>-5709.1863782677001</v>
      </c>
      <c r="AC59" s="27" t="s">
        <v>200</v>
      </c>
      <c r="AD59" s="27">
        <v>-5907.9958770757603</v>
      </c>
    </row>
    <row r="60" spans="1:30">
      <c r="A60" s="27" t="s">
        <v>196</v>
      </c>
      <c r="B60" s="27" t="s">
        <v>273</v>
      </c>
      <c r="C60" s="27" t="s">
        <v>198</v>
      </c>
      <c r="D60" s="27" t="s">
        <v>1154</v>
      </c>
      <c r="E60" s="27" t="s">
        <v>75</v>
      </c>
      <c r="F60" s="27" t="s">
        <v>200</v>
      </c>
      <c r="G60" s="27" t="s">
        <v>200</v>
      </c>
      <c r="H60" s="27">
        <v>4436.7767000000003</v>
      </c>
      <c r="I60" s="27">
        <v>4501.4933000000001</v>
      </c>
      <c r="J60" s="27">
        <v>4377.8167000000003</v>
      </c>
      <c r="K60" s="27" t="s">
        <v>200</v>
      </c>
      <c r="L60" s="27" t="s">
        <v>200</v>
      </c>
      <c r="M60" s="27" t="s">
        <v>200</v>
      </c>
      <c r="N60" s="27" t="s">
        <v>200</v>
      </c>
      <c r="O60" s="27">
        <v>936.65</v>
      </c>
      <c r="P60" s="27">
        <v>-20.093299999999999</v>
      </c>
      <c r="Q60" s="27">
        <v>-348.44330000000002</v>
      </c>
      <c r="R60" s="27">
        <v>-159.16999999999999</v>
      </c>
      <c r="S60" s="27">
        <v>150.11330000000001</v>
      </c>
      <c r="T60" s="27">
        <v>253.99</v>
      </c>
      <c r="U60" s="27">
        <v>73.076700000000002</v>
      </c>
      <c r="V60" s="27">
        <v>-222.05330000000001</v>
      </c>
      <c r="W60" s="27" t="s">
        <v>200</v>
      </c>
      <c r="X60" s="27">
        <v>-438.27670000000001</v>
      </c>
      <c r="Y60" s="27" t="s">
        <v>200</v>
      </c>
      <c r="Z60" s="27">
        <v>-515.64329999999995</v>
      </c>
      <c r="AA60" s="27" t="s">
        <v>200</v>
      </c>
      <c r="AB60" s="27">
        <v>-484.14670000000001</v>
      </c>
      <c r="AC60" s="27" t="s">
        <v>200</v>
      </c>
      <c r="AD60" s="27">
        <v>-396</v>
      </c>
    </row>
    <row r="61" spans="1:30">
      <c r="A61" s="27" t="s">
        <v>226</v>
      </c>
      <c r="B61" s="27" t="s">
        <v>274</v>
      </c>
      <c r="C61" s="27" t="s">
        <v>198</v>
      </c>
      <c r="D61" s="27" t="s">
        <v>1154</v>
      </c>
      <c r="E61" s="27" t="s">
        <v>75</v>
      </c>
      <c r="F61" s="27" t="s">
        <v>200</v>
      </c>
      <c r="G61" s="27">
        <v>4507.2530999999999</v>
      </c>
      <c r="H61" s="27">
        <v>5431.1572999999999</v>
      </c>
      <c r="I61" s="27">
        <v>5332.9583000000002</v>
      </c>
      <c r="J61" s="27">
        <v>3147.9467</v>
      </c>
      <c r="K61" s="27" t="s">
        <v>200</v>
      </c>
      <c r="L61" s="27" t="s">
        <v>200</v>
      </c>
      <c r="M61" s="27" t="s">
        <v>200</v>
      </c>
      <c r="N61" s="27" t="s">
        <v>200</v>
      </c>
      <c r="O61" s="27">
        <v>942.13130000000001</v>
      </c>
      <c r="P61" s="27">
        <v>-405.77620000000002</v>
      </c>
      <c r="Q61" s="27">
        <v>-2116.2959000000001</v>
      </c>
      <c r="R61" s="27">
        <v>-4097.6419999999998</v>
      </c>
      <c r="S61" s="27">
        <v>-5769.68</v>
      </c>
      <c r="T61" s="27">
        <v>-6667.5925999999999</v>
      </c>
      <c r="U61" s="27">
        <v>-6694.9538000000002</v>
      </c>
      <c r="V61" s="27">
        <v>-6491.3756000000003</v>
      </c>
      <c r="W61" s="27" t="s">
        <v>200</v>
      </c>
      <c r="X61" s="27">
        <v>-6348.2632999999996</v>
      </c>
      <c r="Y61" s="27" t="s">
        <v>200</v>
      </c>
      <c r="Z61" s="27">
        <v>-6026.2708000000002</v>
      </c>
      <c r="AA61" s="27" t="s">
        <v>200</v>
      </c>
      <c r="AB61" s="27">
        <v>-5528.3600999999999</v>
      </c>
      <c r="AC61" s="27" t="s">
        <v>200</v>
      </c>
      <c r="AD61" s="27">
        <v>-4999.0493999999999</v>
      </c>
    </row>
    <row r="62" spans="1:30">
      <c r="A62" s="27" t="s">
        <v>196</v>
      </c>
      <c r="B62" s="27" t="s">
        <v>275</v>
      </c>
      <c r="C62" s="27" t="s">
        <v>198</v>
      </c>
      <c r="D62" s="27" t="s">
        <v>1154</v>
      </c>
      <c r="E62" s="27" t="s">
        <v>75</v>
      </c>
      <c r="F62" s="27" t="s">
        <v>200</v>
      </c>
      <c r="G62" s="27">
        <v>3717.7867000000001</v>
      </c>
      <c r="H62" s="27">
        <v>4189.8630000000003</v>
      </c>
      <c r="I62" s="27">
        <v>4262.6962999999996</v>
      </c>
      <c r="J62" s="27">
        <v>4081.9681999999998</v>
      </c>
      <c r="K62" s="27" t="s">
        <v>200</v>
      </c>
      <c r="L62" s="27" t="s">
        <v>200</v>
      </c>
      <c r="M62" s="27" t="s">
        <v>200</v>
      </c>
      <c r="N62" s="27" t="s">
        <v>200</v>
      </c>
      <c r="O62" s="27">
        <v>957.58079999999995</v>
      </c>
      <c r="P62" s="27">
        <v>-29.729600000000001</v>
      </c>
      <c r="Q62" s="27">
        <v>-379.71260000000001</v>
      </c>
      <c r="R62" s="27">
        <v>-199.53479999999999</v>
      </c>
      <c r="S62" s="27">
        <v>137.8476</v>
      </c>
      <c r="T62" s="27">
        <v>338.07060000000001</v>
      </c>
      <c r="U62" s="27">
        <v>270.42200000000003</v>
      </c>
      <c r="V62" s="27">
        <v>7.8910999999999998</v>
      </c>
      <c r="W62" s="27" t="s">
        <v>200</v>
      </c>
      <c r="X62" s="27">
        <v>-269.37079999999997</v>
      </c>
      <c r="Y62" s="27" t="s">
        <v>200</v>
      </c>
      <c r="Z62" s="27">
        <v>-433.54599999999999</v>
      </c>
      <c r="AA62" s="27" t="s">
        <v>200</v>
      </c>
      <c r="AB62" s="27">
        <v>-459.88310000000001</v>
      </c>
      <c r="AC62" s="27" t="s">
        <v>200</v>
      </c>
      <c r="AD62" s="27">
        <v>-386.77370000000002</v>
      </c>
    </row>
    <row r="63" spans="1:30">
      <c r="A63" s="27" t="s">
        <v>261</v>
      </c>
      <c r="B63" s="27" t="s">
        <v>276</v>
      </c>
      <c r="C63" s="27" t="s">
        <v>198</v>
      </c>
      <c r="D63" s="27" t="s">
        <v>1154</v>
      </c>
      <c r="E63" s="27" t="s">
        <v>75</v>
      </c>
      <c r="F63" s="27" t="s">
        <v>200</v>
      </c>
      <c r="G63" s="27">
        <v>4798.3417341501572</v>
      </c>
      <c r="H63" s="27">
        <v>5570.4940761226089</v>
      </c>
      <c r="I63" s="27">
        <v>4148.4738393422322</v>
      </c>
      <c r="J63" s="27">
        <v>3487.2590008568031</v>
      </c>
      <c r="K63" s="27" t="s">
        <v>200</v>
      </c>
      <c r="L63" s="27" t="s">
        <v>200</v>
      </c>
      <c r="M63" s="27" t="s">
        <v>200</v>
      </c>
      <c r="N63" s="27" t="s">
        <v>200</v>
      </c>
      <c r="O63" s="27">
        <v>3307.8655404872788</v>
      </c>
      <c r="P63" s="27">
        <v>466.11410880352571</v>
      </c>
      <c r="Q63" s="27">
        <v>-1206.1666201654859</v>
      </c>
      <c r="R63" s="27">
        <v>-1882.321834735329</v>
      </c>
      <c r="S63" s="27">
        <v>-2830.7352913012569</v>
      </c>
      <c r="T63" s="27">
        <v>-4405.5961026779469</v>
      </c>
      <c r="U63" s="27">
        <v>-5069.891080721176</v>
      </c>
      <c r="V63" s="27">
        <v>-3511.370515149169</v>
      </c>
      <c r="W63" s="27">
        <v>-2795.7678067245552</v>
      </c>
      <c r="X63" s="27">
        <v>-2541.8630691693338</v>
      </c>
      <c r="Y63" s="27">
        <v>-2073.0351112184012</v>
      </c>
      <c r="Z63" s="27">
        <v>-2084.8973420170878</v>
      </c>
      <c r="AA63" s="27">
        <v>-1761.2940521649321</v>
      </c>
      <c r="AB63" s="27">
        <v>-1511.8209696197009</v>
      </c>
      <c r="AC63" s="27">
        <v>-1488.2688076657</v>
      </c>
      <c r="AD63" s="27">
        <v>-1347.792446735838</v>
      </c>
    </row>
    <row r="64" spans="1:30">
      <c r="A64" s="27" t="s">
        <v>218</v>
      </c>
      <c r="B64" s="27" t="s">
        <v>256</v>
      </c>
      <c r="C64" s="27" t="s">
        <v>198</v>
      </c>
      <c r="D64" s="27" t="s">
        <v>1154</v>
      </c>
      <c r="E64" s="27" t="s">
        <v>75</v>
      </c>
      <c r="F64" s="27" t="s">
        <v>200</v>
      </c>
      <c r="G64" s="27">
        <v>6920.6133</v>
      </c>
      <c r="H64" s="27">
        <v>6905.8346000000001</v>
      </c>
      <c r="I64" s="27">
        <v>6998.7379000000001</v>
      </c>
      <c r="J64" s="27">
        <v>6768.4403000000002</v>
      </c>
      <c r="K64" s="27" t="s">
        <v>200</v>
      </c>
      <c r="L64" s="27" t="s">
        <v>200</v>
      </c>
      <c r="M64" s="27" t="s">
        <v>200</v>
      </c>
      <c r="N64" s="27" t="s">
        <v>200</v>
      </c>
      <c r="O64" s="27">
        <v>4128.9920000000002</v>
      </c>
      <c r="P64" s="27">
        <v>315.17380000000003</v>
      </c>
      <c r="Q64" s="27">
        <v>-2619.8739999999998</v>
      </c>
      <c r="R64" s="27">
        <v>-4466.7759999999998</v>
      </c>
      <c r="S64" s="27">
        <v>-5386.2780000000002</v>
      </c>
      <c r="T64" s="27">
        <v>-5553.0330000000004</v>
      </c>
      <c r="U64" s="27">
        <v>-5692.1109999999999</v>
      </c>
      <c r="V64" s="27">
        <v>-5756.3540000000003</v>
      </c>
      <c r="W64" s="27" t="s">
        <v>200</v>
      </c>
      <c r="X64" s="27">
        <v>-5222.8240000000014</v>
      </c>
      <c r="Y64" s="27" t="s">
        <v>200</v>
      </c>
      <c r="Z64" s="27">
        <v>-3987.6190000000001</v>
      </c>
      <c r="AA64" s="27" t="s">
        <v>200</v>
      </c>
      <c r="AB64" s="27">
        <v>-2910.14</v>
      </c>
      <c r="AC64" s="27" t="s">
        <v>200</v>
      </c>
      <c r="AD64" s="27">
        <v>-2408.2759999999998</v>
      </c>
    </row>
    <row r="65" spans="1:30">
      <c r="A65" s="27" t="s">
        <v>203</v>
      </c>
      <c r="B65" s="27" t="s">
        <v>277</v>
      </c>
      <c r="C65" s="27" t="s">
        <v>198</v>
      </c>
      <c r="D65" s="27" t="s">
        <v>1154</v>
      </c>
      <c r="E65" s="27" t="s">
        <v>75</v>
      </c>
      <c r="F65" s="27" t="s">
        <v>200</v>
      </c>
      <c r="G65" s="27">
        <v>3773.0367000000001</v>
      </c>
      <c r="H65" s="27">
        <v>4037.5133000000001</v>
      </c>
      <c r="I65" s="27">
        <v>3990.6167</v>
      </c>
      <c r="J65" s="27">
        <v>3853.41</v>
      </c>
      <c r="K65" s="27" t="s">
        <v>200</v>
      </c>
      <c r="L65" s="27" t="s">
        <v>200</v>
      </c>
      <c r="M65" s="27" t="s">
        <v>200</v>
      </c>
      <c r="N65" s="27" t="s">
        <v>200</v>
      </c>
      <c r="O65" s="27">
        <v>1096.5533</v>
      </c>
      <c r="P65" s="27">
        <v>143.07329999999999</v>
      </c>
      <c r="Q65" s="27">
        <v>-198.99</v>
      </c>
      <c r="R65" s="27">
        <v>-151.47</v>
      </c>
      <c r="S65" s="27">
        <v>-79.1267</v>
      </c>
      <c r="T65" s="27">
        <v>-72.856700000000004</v>
      </c>
      <c r="U65" s="27">
        <v>-72.893299999999996</v>
      </c>
      <c r="V65" s="27">
        <v>-63.03</v>
      </c>
      <c r="W65" s="27" t="s">
        <v>200</v>
      </c>
      <c r="X65" s="27">
        <v>-99.22</v>
      </c>
      <c r="Y65" s="27" t="s">
        <v>200</v>
      </c>
      <c r="Z65" s="27">
        <v>-197.5967</v>
      </c>
      <c r="AA65" s="27" t="s">
        <v>200</v>
      </c>
      <c r="AB65" s="27">
        <v>-278.41000000000003</v>
      </c>
      <c r="AC65" s="27" t="s">
        <v>200</v>
      </c>
      <c r="AD65" s="27">
        <v>-266.3467</v>
      </c>
    </row>
    <row r="66" spans="1:30">
      <c r="A66" s="27" t="s">
        <v>203</v>
      </c>
      <c r="B66" s="27" t="s">
        <v>278</v>
      </c>
      <c r="C66" s="27" t="s">
        <v>198</v>
      </c>
      <c r="D66" s="27" t="s">
        <v>1154</v>
      </c>
      <c r="E66" s="27" t="s">
        <v>75</v>
      </c>
      <c r="F66" s="27" t="s">
        <v>200</v>
      </c>
      <c r="G66" s="27">
        <v>4015.88</v>
      </c>
      <c r="H66" s="27">
        <v>4436.7767000000003</v>
      </c>
      <c r="I66" s="27">
        <v>4501.4933000000001</v>
      </c>
      <c r="J66" s="27">
        <v>4377.8167000000003</v>
      </c>
      <c r="K66" s="27" t="s">
        <v>200</v>
      </c>
      <c r="L66" s="27" t="s">
        <v>200</v>
      </c>
      <c r="M66" s="27" t="s">
        <v>200</v>
      </c>
      <c r="N66" s="27" t="s">
        <v>200</v>
      </c>
      <c r="O66" s="27">
        <v>1306.25</v>
      </c>
      <c r="P66" s="27">
        <v>530.7133</v>
      </c>
      <c r="Q66" s="27">
        <v>352.91669999999999</v>
      </c>
      <c r="R66" s="27">
        <v>471.57</v>
      </c>
      <c r="S66" s="27">
        <v>442.23669999999998</v>
      </c>
      <c r="T66" s="27">
        <v>217.03</v>
      </c>
      <c r="U66" s="27">
        <v>-62.6267</v>
      </c>
      <c r="V66" s="27">
        <v>-348.7</v>
      </c>
      <c r="W66" s="27" t="s">
        <v>200</v>
      </c>
      <c r="X66" s="27">
        <v>-655.85670000000005</v>
      </c>
      <c r="Y66" s="27" t="s">
        <v>200</v>
      </c>
      <c r="Z66" s="27">
        <v>-972.18</v>
      </c>
      <c r="AA66" s="27" t="s">
        <v>200</v>
      </c>
      <c r="AB66" s="27">
        <v>-1256.75</v>
      </c>
      <c r="AC66" s="27" t="s">
        <v>200</v>
      </c>
      <c r="AD66" s="27">
        <v>-1460.5066999999999</v>
      </c>
    </row>
    <row r="67" spans="1:30">
      <c r="A67" s="27" t="s">
        <v>196</v>
      </c>
      <c r="B67" s="27" t="s">
        <v>279</v>
      </c>
      <c r="C67" s="27" t="s">
        <v>198</v>
      </c>
      <c r="D67" s="27" t="s">
        <v>1154</v>
      </c>
      <c r="E67" s="27" t="s">
        <v>75</v>
      </c>
      <c r="F67" s="27" t="s">
        <v>200</v>
      </c>
      <c r="G67" s="27">
        <v>3717.7867000000001</v>
      </c>
      <c r="H67" s="27">
        <v>4189.8630000000003</v>
      </c>
      <c r="I67" s="27">
        <v>4262.6962999999996</v>
      </c>
      <c r="J67" s="27">
        <v>4081.9681999999998</v>
      </c>
      <c r="K67" s="27" t="s">
        <v>200</v>
      </c>
      <c r="L67" s="27" t="s">
        <v>200</v>
      </c>
      <c r="M67" s="27" t="s">
        <v>200</v>
      </c>
      <c r="N67" s="27" t="s">
        <v>200</v>
      </c>
      <c r="O67" s="27">
        <v>1387.7222999999999</v>
      </c>
      <c r="P67" s="27">
        <v>507.18529999999998</v>
      </c>
      <c r="Q67" s="27">
        <v>100.52030000000001</v>
      </c>
      <c r="R67" s="27">
        <v>34.433599999999998</v>
      </c>
      <c r="S67" s="27">
        <v>60.4739</v>
      </c>
      <c r="T67" s="27">
        <v>61.505299999999998</v>
      </c>
      <c r="U67" s="27">
        <v>-70.093199999999996</v>
      </c>
      <c r="V67" s="27">
        <v>-410.85129999999998</v>
      </c>
      <c r="W67" s="27" t="s">
        <v>200</v>
      </c>
      <c r="X67" s="27">
        <v>-913.46709999999996</v>
      </c>
      <c r="Y67" s="27" t="s">
        <v>200</v>
      </c>
      <c r="Z67" s="27">
        <v>-1444.3429000000001</v>
      </c>
      <c r="AA67" s="27" t="s">
        <v>200</v>
      </c>
      <c r="AB67" s="27">
        <v>-1872.9939999999999</v>
      </c>
      <c r="AC67" s="27" t="s">
        <v>200</v>
      </c>
      <c r="AD67" s="27">
        <v>-2130.6651999999999</v>
      </c>
    </row>
    <row r="68" spans="1:30">
      <c r="A68" s="27" t="s">
        <v>257</v>
      </c>
      <c r="B68" s="27" t="s">
        <v>280</v>
      </c>
      <c r="C68" s="27" t="s">
        <v>198</v>
      </c>
      <c r="D68" s="27" t="s">
        <v>1154</v>
      </c>
      <c r="E68" s="27" t="s">
        <v>75</v>
      </c>
      <c r="F68" s="27" t="s">
        <v>200</v>
      </c>
      <c r="G68" s="27" t="s">
        <v>200</v>
      </c>
      <c r="H68" s="27">
        <v>3236.3951999999999</v>
      </c>
      <c r="I68" s="27">
        <v>2984.3407999999999</v>
      </c>
      <c r="J68" s="27">
        <v>2934.6174999999998</v>
      </c>
      <c r="K68" s="27" t="s">
        <v>200</v>
      </c>
      <c r="L68" s="27" t="s">
        <v>200</v>
      </c>
      <c r="M68" s="27" t="s">
        <v>200</v>
      </c>
      <c r="N68" s="27" t="s">
        <v>200</v>
      </c>
      <c r="O68" s="27">
        <v>1855.4481000000001</v>
      </c>
      <c r="P68" s="27">
        <v>1064.7702999999999</v>
      </c>
      <c r="Q68" s="27">
        <v>-565.82820000000004</v>
      </c>
      <c r="R68" s="27">
        <v>-2673.5055000000002</v>
      </c>
      <c r="S68" s="27">
        <v>-4320.7336999999998</v>
      </c>
      <c r="T68" s="27">
        <v>-4849.5531000000001</v>
      </c>
      <c r="U68" s="27">
        <v>-4539.9778999999999</v>
      </c>
      <c r="V68" s="27">
        <v>-3999.7413999999999</v>
      </c>
      <c r="W68" s="27">
        <v>-3453.0578</v>
      </c>
      <c r="X68" s="27">
        <v>-2967.902</v>
      </c>
      <c r="Y68" s="27">
        <v>-2548.9747000000002</v>
      </c>
      <c r="Z68" s="27">
        <v>-2197.4328</v>
      </c>
      <c r="AA68" s="27">
        <v>-1909.7969000000001</v>
      </c>
      <c r="AB68" s="27">
        <v>-1675.2637</v>
      </c>
      <c r="AC68" s="27">
        <v>-1482.9684999999999</v>
      </c>
      <c r="AD68" s="27">
        <v>-1324.8108</v>
      </c>
    </row>
    <row r="69" spans="1:30">
      <c r="A69" s="27" t="s">
        <v>211</v>
      </c>
      <c r="B69" s="27" t="s">
        <v>240</v>
      </c>
      <c r="C69" s="27" t="s">
        <v>198</v>
      </c>
      <c r="D69" s="27" t="s">
        <v>1154</v>
      </c>
      <c r="E69" s="27" t="s">
        <v>75</v>
      </c>
      <c r="F69" s="27" t="s">
        <v>200</v>
      </c>
      <c r="G69" s="27">
        <v>6894.5587329471709</v>
      </c>
      <c r="H69" s="27">
        <v>7161.5781360721458</v>
      </c>
      <c r="I69" s="27" t="s">
        <v>200</v>
      </c>
      <c r="J69" s="27">
        <v>4476.7623828158212</v>
      </c>
      <c r="K69" s="27" t="s">
        <v>200</v>
      </c>
      <c r="L69" s="27" t="s">
        <v>200</v>
      </c>
      <c r="M69" s="27" t="s">
        <v>200</v>
      </c>
      <c r="N69" s="27" t="s">
        <v>200</v>
      </c>
      <c r="O69" s="27" t="s">
        <v>200</v>
      </c>
      <c r="P69" s="27">
        <v>721.61423801984279</v>
      </c>
      <c r="Q69" s="27" t="s">
        <v>200</v>
      </c>
      <c r="R69" s="27">
        <v>-1495.6645256582999</v>
      </c>
      <c r="S69" s="27" t="s">
        <v>200</v>
      </c>
      <c r="T69" s="27">
        <v>-2285.4414149767081</v>
      </c>
      <c r="U69" s="27" t="s">
        <v>200</v>
      </c>
      <c r="V69" s="27">
        <v>-3386.2884266543492</v>
      </c>
      <c r="W69" s="27" t="s">
        <v>200</v>
      </c>
      <c r="X69" s="27">
        <v>-3567.4438139745789</v>
      </c>
      <c r="Y69" s="27" t="s">
        <v>200</v>
      </c>
      <c r="Z69" s="27">
        <v>-3736.4421100513732</v>
      </c>
      <c r="AA69" s="27" t="s">
        <v>200</v>
      </c>
      <c r="AB69" s="27">
        <v>-4251.409352410813</v>
      </c>
      <c r="AC69" s="27" t="s">
        <v>200</v>
      </c>
      <c r="AD69" s="27">
        <v>-4162.3155518370186</v>
      </c>
    </row>
    <row r="70" spans="1:30">
      <c r="A70" s="27" t="s">
        <v>203</v>
      </c>
      <c r="B70" s="27" t="s">
        <v>281</v>
      </c>
      <c r="C70" s="27" t="s">
        <v>198</v>
      </c>
      <c r="D70" s="27" t="s">
        <v>1154</v>
      </c>
      <c r="E70" s="27" t="s">
        <v>75</v>
      </c>
      <c r="F70" s="27" t="s">
        <v>200</v>
      </c>
      <c r="G70" s="27">
        <v>4015.88</v>
      </c>
      <c r="H70" s="27">
        <v>4436.7767000000003</v>
      </c>
      <c r="I70" s="27">
        <v>4501.4933000000001</v>
      </c>
      <c r="J70" s="27">
        <v>4377.8167000000003</v>
      </c>
      <c r="K70" s="27" t="s">
        <v>200</v>
      </c>
      <c r="L70" s="27" t="s">
        <v>200</v>
      </c>
      <c r="M70" s="27" t="s">
        <v>200</v>
      </c>
      <c r="N70" s="27" t="s">
        <v>200</v>
      </c>
      <c r="O70" s="27">
        <v>936.65</v>
      </c>
      <c r="P70" s="27">
        <v>-20.093299999999999</v>
      </c>
      <c r="Q70" s="27">
        <v>-348.44330000000002</v>
      </c>
      <c r="R70" s="27">
        <v>-159.16999999999999</v>
      </c>
      <c r="S70" s="27">
        <v>150.11330000000001</v>
      </c>
      <c r="T70" s="27">
        <v>253.99</v>
      </c>
      <c r="U70" s="27">
        <v>73.076700000000002</v>
      </c>
      <c r="V70" s="27">
        <v>-222.05330000000001</v>
      </c>
      <c r="W70" s="27" t="s">
        <v>200</v>
      </c>
      <c r="X70" s="27">
        <v>-438.27670000000001</v>
      </c>
      <c r="Y70" s="27" t="s">
        <v>200</v>
      </c>
      <c r="Z70" s="27">
        <v>-515.64329999999995</v>
      </c>
      <c r="AA70" s="27" t="s">
        <v>200</v>
      </c>
      <c r="AB70" s="27">
        <v>-484.14670000000001</v>
      </c>
      <c r="AC70" s="27" t="s">
        <v>200</v>
      </c>
      <c r="AD70" s="27">
        <v>-396</v>
      </c>
    </row>
    <row r="71" spans="1:30">
      <c r="A71" s="27" t="s">
        <v>282</v>
      </c>
      <c r="B71" s="27" t="s">
        <v>283</v>
      </c>
      <c r="C71" s="27" t="s">
        <v>198</v>
      </c>
      <c r="D71" s="27" t="s">
        <v>1154</v>
      </c>
      <c r="E71" s="27" t="s">
        <v>75</v>
      </c>
      <c r="F71" s="27" t="s">
        <v>200</v>
      </c>
      <c r="G71" s="27" t="s">
        <v>200</v>
      </c>
      <c r="H71" s="27">
        <v>6249.0666333333338</v>
      </c>
      <c r="I71" s="27">
        <v>5862.4998666666652</v>
      </c>
      <c r="J71" s="27">
        <v>5470.9691666666668</v>
      </c>
      <c r="K71" s="27" t="s">
        <v>200</v>
      </c>
      <c r="L71" s="27" t="s">
        <v>200</v>
      </c>
      <c r="M71" s="27" t="s">
        <v>200</v>
      </c>
      <c r="N71" s="27" t="s">
        <v>200</v>
      </c>
      <c r="O71" s="27" t="s">
        <v>200</v>
      </c>
      <c r="P71" s="27">
        <v>498.36823828190091</v>
      </c>
      <c r="Q71" s="27" t="s">
        <v>200</v>
      </c>
      <c r="R71" s="27">
        <v>-805.8658726023865</v>
      </c>
      <c r="S71" s="27" t="s">
        <v>200</v>
      </c>
      <c r="T71" s="27">
        <v>-1928.582775379582</v>
      </c>
      <c r="U71" s="27" t="s">
        <v>200</v>
      </c>
      <c r="V71" s="27">
        <v>-2841.055121503789</v>
      </c>
      <c r="W71" s="27" t="s">
        <v>200</v>
      </c>
      <c r="X71" s="27">
        <v>-3733.6272368603441</v>
      </c>
      <c r="Y71" s="27" t="s">
        <v>200</v>
      </c>
      <c r="Z71" s="27">
        <v>-4615.4577803819193</v>
      </c>
      <c r="AA71" s="27" t="s">
        <v>200</v>
      </c>
      <c r="AB71" s="27">
        <v>-5047.1234678642577</v>
      </c>
      <c r="AC71" s="27" t="s">
        <v>200</v>
      </c>
      <c r="AD71" s="27">
        <v>-5343.7537092948978</v>
      </c>
    </row>
    <row r="72" spans="1:30">
      <c r="A72" s="27" t="s">
        <v>203</v>
      </c>
      <c r="B72" s="27" t="s">
        <v>284</v>
      </c>
      <c r="C72" s="27" t="s">
        <v>198</v>
      </c>
      <c r="D72" s="27" t="s">
        <v>1154</v>
      </c>
      <c r="E72" s="27" t="s">
        <v>75</v>
      </c>
      <c r="F72" s="27" t="s">
        <v>200</v>
      </c>
      <c r="G72" s="27">
        <v>4015.88</v>
      </c>
      <c r="H72" s="27">
        <v>4436.7767000000003</v>
      </c>
      <c r="I72" s="27">
        <v>4501.4933000000001</v>
      </c>
      <c r="J72" s="27">
        <v>4377.8167000000003</v>
      </c>
      <c r="K72" s="27" t="s">
        <v>200</v>
      </c>
      <c r="L72" s="27" t="s">
        <v>200</v>
      </c>
      <c r="M72" s="27" t="s">
        <v>200</v>
      </c>
      <c r="N72" s="27" t="s">
        <v>200</v>
      </c>
      <c r="O72" s="27">
        <v>1390.6567</v>
      </c>
      <c r="P72" s="27">
        <v>482.9</v>
      </c>
      <c r="Q72" s="27">
        <v>52.8733</v>
      </c>
      <c r="R72" s="27">
        <v>13.7867</v>
      </c>
      <c r="S72" s="27">
        <v>100.54</v>
      </c>
      <c r="T72" s="27">
        <v>112.2367</v>
      </c>
      <c r="U72" s="27">
        <v>-102.3733</v>
      </c>
      <c r="V72" s="27">
        <v>-560.59670000000006</v>
      </c>
      <c r="W72" s="27" t="s">
        <v>200</v>
      </c>
      <c r="X72" s="27">
        <v>-1133.9167</v>
      </c>
      <c r="Y72" s="27" t="s">
        <v>200</v>
      </c>
      <c r="Z72" s="27">
        <v>-1671.0467000000001</v>
      </c>
      <c r="AA72" s="27" t="s">
        <v>200</v>
      </c>
      <c r="AB72" s="27">
        <v>-2070.75</v>
      </c>
      <c r="AC72" s="27" t="s">
        <v>200</v>
      </c>
      <c r="AD72" s="27">
        <v>-2287.7067000000002</v>
      </c>
    </row>
    <row r="73" spans="1:30">
      <c r="A73" s="27" t="s">
        <v>203</v>
      </c>
      <c r="B73" s="27" t="s">
        <v>285</v>
      </c>
      <c r="C73" s="27" t="s">
        <v>198</v>
      </c>
      <c r="D73" s="27" t="s">
        <v>1154</v>
      </c>
      <c r="E73" s="27" t="s">
        <v>75</v>
      </c>
      <c r="F73" s="27" t="s">
        <v>200</v>
      </c>
      <c r="G73" s="27">
        <v>3773.0367000000001</v>
      </c>
      <c r="H73" s="27">
        <v>4037.5133000000001</v>
      </c>
      <c r="I73" s="27">
        <v>3990.6167</v>
      </c>
      <c r="J73" s="27">
        <v>3853.41</v>
      </c>
      <c r="K73" s="27" t="s">
        <v>200</v>
      </c>
      <c r="L73" s="27" t="s">
        <v>200</v>
      </c>
      <c r="M73" s="27" t="s">
        <v>200</v>
      </c>
      <c r="N73" s="27" t="s">
        <v>200</v>
      </c>
      <c r="O73" s="27">
        <v>1280.1433</v>
      </c>
      <c r="P73" s="27">
        <v>712.8</v>
      </c>
      <c r="Q73" s="27">
        <v>387.64</v>
      </c>
      <c r="R73" s="27">
        <v>237.63669999999999</v>
      </c>
      <c r="S73" s="27">
        <v>182.19669999999999</v>
      </c>
      <c r="T73" s="27">
        <v>169.32669999999999</v>
      </c>
      <c r="U73" s="27">
        <v>90.713300000000004</v>
      </c>
      <c r="V73" s="27">
        <v>-135.04329999999999</v>
      </c>
      <c r="W73" s="27" t="s">
        <v>200</v>
      </c>
      <c r="X73" s="27">
        <v>-503.36</v>
      </c>
      <c r="Y73" s="27" t="s">
        <v>200</v>
      </c>
      <c r="Z73" s="27">
        <v>-942.88329999999996</v>
      </c>
      <c r="AA73" s="27" t="s">
        <v>200</v>
      </c>
      <c r="AB73" s="27">
        <v>-1320.22</v>
      </c>
      <c r="AC73" s="27" t="s">
        <v>200</v>
      </c>
      <c r="AD73" s="27">
        <v>-1506.7067</v>
      </c>
    </row>
    <row r="74" spans="1:30">
      <c r="A74" s="27" t="s">
        <v>196</v>
      </c>
      <c r="B74" s="27" t="s">
        <v>286</v>
      </c>
      <c r="C74" s="27" t="s">
        <v>198</v>
      </c>
      <c r="D74" s="27" t="s">
        <v>1154</v>
      </c>
      <c r="E74" s="27" t="s">
        <v>75</v>
      </c>
      <c r="F74" s="27" t="s">
        <v>200</v>
      </c>
      <c r="G74" s="27">
        <v>3716.6813999999999</v>
      </c>
      <c r="H74" s="27">
        <v>4189.5450000000001</v>
      </c>
      <c r="I74" s="27">
        <v>4257.2275</v>
      </c>
      <c r="J74" s="27">
        <v>4085.4883</v>
      </c>
      <c r="K74" s="27" t="s">
        <v>200</v>
      </c>
      <c r="L74" s="27" t="s">
        <v>200</v>
      </c>
      <c r="M74" s="27" t="s">
        <v>200</v>
      </c>
      <c r="N74" s="27" t="s">
        <v>200</v>
      </c>
      <c r="O74" s="27">
        <v>854.48590000000002</v>
      </c>
      <c r="P74" s="27">
        <v>-66.893100000000004</v>
      </c>
      <c r="Q74" s="27">
        <v>-326.738</v>
      </c>
      <c r="R74" s="27">
        <v>-165.9521</v>
      </c>
      <c r="S74" s="27">
        <v>-20.840900000000001</v>
      </c>
      <c r="T74" s="27">
        <v>-33.163600000000002</v>
      </c>
      <c r="U74" s="27">
        <v>-111.9044</v>
      </c>
      <c r="V74" s="27">
        <v>-180.70150000000001</v>
      </c>
      <c r="W74" s="27" t="s">
        <v>200</v>
      </c>
      <c r="X74" s="27">
        <v>-266.1302</v>
      </c>
      <c r="Y74" s="27" t="s">
        <v>200</v>
      </c>
      <c r="Z74" s="27">
        <v>-383.59870000000001</v>
      </c>
      <c r="AA74" s="27" t="s">
        <v>200</v>
      </c>
      <c r="AB74" s="27">
        <v>-471.27699999999999</v>
      </c>
      <c r="AC74" s="27" t="s">
        <v>200</v>
      </c>
      <c r="AD74" s="27">
        <v>-481.166</v>
      </c>
    </row>
    <row r="75" spans="1:30">
      <c r="A75" s="27" t="s">
        <v>282</v>
      </c>
      <c r="B75" s="27" t="s">
        <v>243</v>
      </c>
      <c r="C75" s="27" t="s">
        <v>198</v>
      </c>
      <c r="D75" s="27" t="s">
        <v>1154</v>
      </c>
      <c r="E75" s="27" t="s">
        <v>75</v>
      </c>
      <c r="F75" s="27">
        <v>5198.63407739997</v>
      </c>
      <c r="G75" s="27">
        <v>5148.8247445747202</v>
      </c>
      <c r="H75" s="27">
        <v>5380.4300650755604</v>
      </c>
      <c r="I75" s="27" t="s">
        <v>200</v>
      </c>
      <c r="J75" s="27">
        <v>4461.6176961454103</v>
      </c>
      <c r="K75" s="27" t="s">
        <v>200</v>
      </c>
      <c r="L75" s="27" t="s">
        <v>200</v>
      </c>
      <c r="M75" s="27" t="s">
        <v>200</v>
      </c>
      <c r="N75" s="27" t="s">
        <v>200</v>
      </c>
      <c r="O75" s="27" t="s">
        <v>200</v>
      </c>
      <c r="P75" s="27">
        <v>1991.1665202686199</v>
      </c>
      <c r="Q75" s="27" t="s">
        <v>200</v>
      </c>
      <c r="R75" s="27">
        <v>127.07732082832599</v>
      </c>
      <c r="S75" s="27" t="s">
        <v>200</v>
      </c>
      <c r="T75" s="27">
        <v>-1485.15423007462</v>
      </c>
      <c r="U75" s="27" t="s">
        <v>200</v>
      </c>
      <c r="V75" s="27">
        <v>-3352.6308864755702</v>
      </c>
      <c r="W75" s="27" t="s">
        <v>200</v>
      </c>
      <c r="X75" s="27">
        <v>-3232.2314416188701</v>
      </c>
      <c r="Y75" s="27" t="s">
        <v>200</v>
      </c>
      <c r="Z75" s="27">
        <v>-4182.1988766061404</v>
      </c>
      <c r="AA75" s="27" t="s">
        <v>200</v>
      </c>
      <c r="AB75" s="27">
        <v>-5015.7025238430697</v>
      </c>
      <c r="AC75" s="27" t="s">
        <v>200</v>
      </c>
      <c r="AD75" s="27">
        <v>-4676.3777867445897</v>
      </c>
    </row>
    <row r="76" spans="1:30">
      <c r="A76" s="27" t="s">
        <v>207</v>
      </c>
      <c r="B76" s="27" t="s">
        <v>202</v>
      </c>
      <c r="C76" s="27" t="s">
        <v>198</v>
      </c>
      <c r="D76" s="27" t="s">
        <v>1154</v>
      </c>
      <c r="E76" s="27" t="s">
        <v>75</v>
      </c>
      <c r="F76" s="27">
        <v>5811.8708999999999</v>
      </c>
      <c r="G76" s="27">
        <v>5837.5441666666666</v>
      </c>
      <c r="H76" s="27">
        <v>6249.0666333333338</v>
      </c>
      <c r="I76" s="27">
        <v>5862.1313666666674</v>
      </c>
      <c r="J76" s="27">
        <v>5470.4657333333334</v>
      </c>
      <c r="K76" s="27" t="s">
        <v>200</v>
      </c>
      <c r="L76" s="27" t="s">
        <v>200</v>
      </c>
      <c r="M76" s="27" t="s">
        <v>200</v>
      </c>
      <c r="N76" s="27" t="s">
        <v>200</v>
      </c>
      <c r="O76" s="27">
        <v>2772.0596137091329</v>
      </c>
      <c r="P76" s="27">
        <v>78.179699317315823</v>
      </c>
      <c r="Q76" s="27">
        <v>-670.69181103901838</v>
      </c>
      <c r="R76" s="27">
        <v>-1436.575620247992</v>
      </c>
      <c r="S76" s="27">
        <v>-2033.7563595747069</v>
      </c>
      <c r="T76" s="27">
        <v>-2632.6627983456569</v>
      </c>
      <c r="U76" s="27">
        <v>-3069.0922610976831</v>
      </c>
      <c r="V76" s="27">
        <v>-3513.5223066815288</v>
      </c>
      <c r="W76" s="27" t="s">
        <v>200</v>
      </c>
      <c r="X76" s="27">
        <v>-4083.8873628386082</v>
      </c>
      <c r="Y76" s="27" t="s">
        <v>200</v>
      </c>
      <c r="Z76" s="27">
        <v>-5121.2801139673729</v>
      </c>
      <c r="AA76" s="27" t="s">
        <v>200</v>
      </c>
      <c r="AB76" s="27">
        <v>-5676.9938700056082</v>
      </c>
      <c r="AC76" s="27" t="s">
        <v>200</v>
      </c>
      <c r="AD76" s="27">
        <v>-5865.2301220286618</v>
      </c>
    </row>
    <row r="77" spans="1:30">
      <c r="A77" s="27" t="s">
        <v>216</v>
      </c>
      <c r="B77" s="27" t="s">
        <v>287</v>
      </c>
      <c r="C77" s="27" t="s">
        <v>198</v>
      </c>
      <c r="D77" s="27" t="s">
        <v>1154</v>
      </c>
      <c r="E77" s="27" t="s">
        <v>75</v>
      </c>
      <c r="F77" s="27">
        <v>5811.8708999999999</v>
      </c>
      <c r="G77" s="27">
        <v>5837.5441666666702</v>
      </c>
      <c r="H77" s="27">
        <v>6249.0666333333302</v>
      </c>
      <c r="I77" s="27">
        <v>5862.1313666666701</v>
      </c>
      <c r="J77" s="27">
        <v>5475.0853666666699</v>
      </c>
      <c r="K77" s="27">
        <v>4878.5790533333302</v>
      </c>
      <c r="L77" s="27">
        <v>4279.9409113088714</v>
      </c>
      <c r="M77" s="27">
        <v>3676.0923530525401</v>
      </c>
      <c r="N77" s="27">
        <v>3065.0978207242201</v>
      </c>
      <c r="O77" s="27">
        <v>2748.4494630382601</v>
      </c>
      <c r="P77" s="27">
        <v>33.932057207951203</v>
      </c>
      <c r="Q77" s="27">
        <v>-724.47337668680302</v>
      </c>
      <c r="R77" s="27">
        <v>-1493.26897049844</v>
      </c>
      <c r="S77" s="27">
        <v>-2077.2846091082702</v>
      </c>
      <c r="T77" s="27">
        <v>-2672.2773466488202</v>
      </c>
      <c r="U77" s="27">
        <v>-3092.99560376912</v>
      </c>
      <c r="V77" s="27">
        <v>-3414.4663784836698</v>
      </c>
      <c r="W77" s="27" t="s">
        <v>200</v>
      </c>
      <c r="X77" s="27">
        <v>-4049.56784907477</v>
      </c>
      <c r="Y77" s="27" t="s">
        <v>200</v>
      </c>
      <c r="Z77" s="27">
        <v>-5122.3973026979702</v>
      </c>
      <c r="AA77" s="27" t="s">
        <v>200</v>
      </c>
      <c r="AB77" s="27">
        <v>-5709.8295633504104</v>
      </c>
      <c r="AC77" s="27" t="s">
        <v>200</v>
      </c>
      <c r="AD77" s="27">
        <v>-5905.5017645184098</v>
      </c>
    </row>
    <row r="78" spans="1:30">
      <c r="A78" s="27" t="s">
        <v>207</v>
      </c>
      <c r="B78" s="27" t="s">
        <v>273</v>
      </c>
      <c r="C78" s="27" t="s">
        <v>198</v>
      </c>
      <c r="D78" s="27" t="s">
        <v>1154</v>
      </c>
      <c r="E78" s="27" t="s">
        <v>75</v>
      </c>
      <c r="F78" s="27" t="s">
        <v>200</v>
      </c>
      <c r="G78" s="27" t="s">
        <v>200</v>
      </c>
      <c r="H78" s="27">
        <v>6249.0666330000004</v>
      </c>
      <c r="I78" s="27">
        <v>5862.131367</v>
      </c>
      <c r="J78" s="27">
        <v>5470.465733</v>
      </c>
      <c r="K78" s="27" t="s">
        <v>200</v>
      </c>
      <c r="L78" s="27" t="s">
        <v>200</v>
      </c>
      <c r="M78" s="27" t="s">
        <v>200</v>
      </c>
      <c r="N78" s="27" t="s">
        <v>200</v>
      </c>
      <c r="O78" s="27">
        <v>2683.011833</v>
      </c>
      <c r="P78" s="27">
        <v>-94.052062969999994</v>
      </c>
      <c r="Q78" s="27">
        <v>-825.94046430000003</v>
      </c>
      <c r="R78" s="27">
        <v>-1576.8079809999999</v>
      </c>
      <c r="S78" s="27">
        <v>-2096.9696479999998</v>
      </c>
      <c r="T78" s="27">
        <v>-2648.993516</v>
      </c>
      <c r="U78" s="27">
        <v>-3067.9256569999998</v>
      </c>
      <c r="V78" s="27">
        <v>-3487.7447360000001</v>
      </c>
      <c r="W78" s="27" t="s">
        <v>200</v>
      </c>
      <c r="X78" s="27">
        <v>-4054.717975</v>
      </c>
      <c r="Y78" s="27" t="s">
        <v>200</v>
      </c>
      <c r="Z78" s="27">
        <v>-4997.869181</v>
      </c>
      <c r="AA78" s="27" t="s">
        <v>200</v>
      </c>
      <c r="AB78" s="27">
        <v>-5497.5853719999996</v>
      </c>
      <c r="AC78" s="27" t="s">
        <v>200</v>
      </c>
      <c r="AD78" s="27">
        <v>-5390.5557799999997</v>
      </c>
    </row>
    <row r="79" spans="1:30">
      <c r="A79" s="27" t="s">
        <v>247</v>
      </c>
      <c r="B79" s="27" t="s">
        <v>288</v>
      </c>
      <c r="C79" s="27" t="s">
        <v>198</v>
      </c>
      <c r="D79" s="27" t="s">
        <v>1154</v>
      </c>
      <c r="E79" s="27" t="s">
        <v>75</v>
      </c>
      <c r="F79" s="27">
        <v>1811.52075195312</v>
      </c>
      <c r="G79" s="27">
        <v>2232.56713867188</v>
      </c>
      <c r="H79" s="27">
        <v>1629.14477539062</v>
      </c>
      <c r="I79" s="27" t="s">
        <v>200</v>
      </c>
      <c r="J79" s="27">
        <v>533.33038330078102</v>
      </c>
      <c r="K79" s="27" t="s">
        <v>200</v>
      </c>
      <c r="L79" s="27" t="s">
        <v>200</v>
      </c>
      <c r="M79" s="27" t="s">
        <v>200</v>
      </c>
      <c r="N79" s="27" t="s">
        <v>200</v>
      </c>
      <c r="O79" s="27" t="s">
        <v>200</v>
      </c>
      <c r="P79" s="27">
        <v>-2980.68627929688</v>
      </c>
      <c r="Q79" s="27" t="s">
        <v>200</v>
      </c>
      <c r="R79" s="27">
        <v>-3002.43041992188</v>
      </c>
      <c r="S79" s="27" t="s">
        <v>200</v>
      </c>
      <c r="T79" s="27">
        <v>-2582.4365234375</v>
      </c>
      <c r="U79" s="27" t="s">
        <v>200</v>
      </c>
      <c r="V79" s="27">
        <v>-1774.45434570312</v>
      </c>
      <c r="W79" s="27" t="s">
        <v>200</v>
      </c>
      <c r="X79" s="27">
        <v>-1465.41369628906</v>
      </c>
      <c r="Y79" s="27" t="s">
        <v>200</v>
      </c>
      <c r="Z79" s="27">
        <v>-1383.7880859375</v>
      </c>
      <c r="AA79" s="27" t="s">
        <v>200</v>
      </c>
      <c r="AB79" s="27">
        <v>-1942.92944335938</v>
      </c>
      <c r="AC79" s="27" t="s">
        <v>200</v>
      </c>
      <c r="AD79" s="27">
        <v>-2505.7177734375</v>
      </c>
    </row>
    <row r="80" spans="1:30">
      <c r="A80" s="27" t="s">
        <v>211</v>
      </c>
      <c r="B80" s="27" t="s">
        <v>256</v>
      </c>
      <c r="C80" s="27" t="s">
        <v>198</v>
      </c>
      <c r="D80" s="27" t="s">
        <v>1154</v>
      </c>
      <c r="E80" s="27" t="s">
        <v>75</v>
      </c>
      <c r="F80" s="27" t="s">
        <v>200</v>
      </c>
      <c r="G80" s="27">
        <v>6762.7827171999988</v>
      </c>
      <c r="H80" s="27">
        <v>6933.193446799999</v>
      </c>
      <c r="I80" s="27" t="s">
        <v>200</v>
      </c>
      <c r="J80" s="27">
        <v>5032.0826558999997</v>
      </c>
      <c r="K80" s="27" t="s">
        <v>200</v>
      </c>
      <c r="L80" s="27" t="s">
        <v>200</v>
      </c>
      <c r="M80" s="27" t="s">
        <v>200</v>
      </c>
      <c r="N80" s="27" t="s">
        <v>200</v>
      </c>
      <c r="O80" s="27" t="s">
        <v>200</v>
      </c>
      <c r="P80" s="27">
        <v>1053.4206976</v>
      </c>
      <c r="Q80" s="27" t="s">
        <v>200</v>
      </c>
      <c r="R80" s="27">
        <v>-642.36718259999998</v>
      </c>
      <c r="S80" s="27" t="s">
        <v>200</v>
      </c>
      <c r="T80" s="27">
        <v>-1958.0626898999999</v>
      </c>
      <c r="U80" s="27" t="s">
        <v>200</v>
      </c>
      <c r="V80" s="27">
        <v>-3479.8510821</v>
      </c>
      <c r="W80" s="27" t="s">
        <v>200</v>
      </c>
      <c r="X80" s="27">
        <v>-3836.3590515999999</v>
      </c>
      <c r="Y80" s="27" t="s">
        <v>200</v>
      </c>
      <c r="Z80" s="27">
        <v>-4476.3907046000004</v>
      </c>
      <c r="AA80" s="27" t="s">
        <v>200</v>
      </c>
      <c r="AB80" s="27">
        <v>-4476.8119102000001</v>
      </c>
      <c r="AC80" s="27" t="s">
        <v>200</v>
      </c>
      <c r="AD80" s="27">
        <v>-4212.2907677000003</v>
      </c>
    </row>
    <row r="81" spans="1:30">
      <c r="A81" s="27" t="s">
        <v>196</v>
      </c>
      <c r="B81" s="27" t="s">
        <v>267</v>
      </c>
      <c r="C81" s="27" t="s">
        <v>198</v>
      </c>
      <c r="D81" s="27" t="s">
        <v>1154</v>
      </c>
      <c r="E81" s="27" t="s">
        <v>75</v>
      </c>
      <c r="F81" s="27" t="s">
        <v>200</v>
      </c>
      <c r="G81" s="27">
        <v>3716.6813999999999</v>
      </c>
      <c r="H81" s="27">
        <v>4189.5450000000001</v>
      </c>
      <c r="I81" s="27">
        <v>4257.2275</v>
      </c>
      <c r="J81" s="27">
        <v>4085.4883</v>
      </c>
      <c r="K81" s="27" t="s">
        <v>200</v>
      </c>
      <c r="L81" s="27" t="s">
        <v>200</v>
      </c>
      <c r="M81" s="27" t="s">
        <v>200</v>
      </c>
      <c r="N81" s="27" t="s">
        <v>200</v>
      </c>
      <c r="O81" s="27">
        <v>886.63699999999994</v>
      </c>
      <c r="P81" s="27">
        <v>-59.784500000000001</v>
      </c>
      <c r="Q81" s="27">
        <v>-368.54160000000002</v>
      </c>
      <c r="R81" s="27">
        <v>-217.31200000000001</v>
      </c>
      <c r="S81" s="27">
        <v>0.84889999999999999</v>
      </c>
      <c r="T81" s="27">
        <v>78.716999999999999</v>
      </c>
      <c r="U81" s="27">
        <v>12.5686</v>
      </c>
      <c r="V81" s="27">
        <v>-115.9978</v>
      </c>
      <c r="W81" s="27" t="s">
        <v>200</v>
      </c>
      <c r="X81" s="27">
        <v>-260.03570000000002</v>
      </c>
      <c r="Y81" s="27" t="s">
        <v>200</v>
      </c>
      <c r="Z81" s="27">
        <v>-397.72789999999998</v>
      </c>
      <c r="AA81" s="27" t="s">
        <v>200</v>
      </c>
      <c r="AB81" s="27">
        <v>-482.17599999999999</v>
      </c>
      <c r="AC81" s="27" t="s">
        <v>200</v>
      </c>
      <c r="AD81" s="27">
        <v>-486.80119999999999</v>
      </c>
    </row>
    <row r="82" spans="1:30">
      <c r="A82" s="27" t="s">
        <v>207</v>
      </c>
      <c r="B82" s="27" t="s">
        <v>201</v>
      </c>
      <c r="C82" s="27" t="s">
        <v>198</v>
      </c>
      <c r="D82" s="27" t="s">
        <v>1154</v>
      </c>
      <c r="E82" s="27" t="s">
        <v>75</v>
      </c>
      <c r="F82" s="27" t="s">
        <v>200</v>
      </c>
      <c r="G82" s="27" t="s">
        <v>200</v>
      </c>
      <c r="H82" s="27">
        <v>6249.0666330000004</v>
      </c>
      <c r="I82" s="27">
        <v>5862.131367</v>
      </c>
      <c r="J82" s="27">
        <v>5470.465733</v>
      </c>
      <c r="K82" s="27" t="s">
        <v>200</v>
      </c>
      <c r="L82" s="27" t="s">
        <v>200</v>
      </c>
      <c r="M82" s="27" t="s">
        <v>200</v>
      </c>
      <c r="N82" s="27" t="s">
        <v>200</v>
      </c>
      <c r="O82" s="27">
        <v>2767.5140740000002</v>
      </c>
      <c r="P82" s="27">
        <v>91.067006829999997</v>
      </c>
      <c r="Q82" s="27">
        <v>-685.25196330000006</v>
      </c>
      <c r="R82" s="27">
        <v>-1485.0879669999999</v>
      </c>
      <c r="S82" s="27">
        <v>-2074.0039339999998</v>
      </c>
      <c r="T82" s="27">
        <v>-2678.1243599999998</v>
      </c>
      <c r="U82" s="27">
        <v>-3104.781841</v>
      </c>
      <c r="V82" s="27">
        <v>-3506.2644260000002</v>
      </c>
      <c r="W82" s="27" t="s">
        <v>200</v>
      </c>
      <c r="X82" s="27">
        <v>-4107.2833909999999</v>
      </c>
      <c r="Y82" s="27" t="s">
        <v>200</v>
      </c>
      <c r="Z82" s="27">
        <v>-5127.3688400000001</v>
      </c>
      <c r="AA82" s="27" t="s">
        <v>200</v>
      </c>
      <c r="AB82" s="27">
        <v>-5695.7925009999999</v>
      </c>
      <c r="AC82" s="27" t="s">
        <v>200</v>
      </c>
      <c r="AD82" s="27">
        <v>-5815.8908389999997</v>
      </c>
    </row>
    <row r="83" spans="1:30">
      <c r="A83" s="27" t="s">
        <v>196</v>
      </c>
      <c r="B83" s="27" t="s">
        <v>289</v>
      </c>
      <c r="C83" s="27" t="s">
        <v>198</v>
      </c>
      <c r="D83" s="27" t="s">
        <v>1154</v>
      </c>
      <c r="E83" s="27" t="s">
        <v>75</v>
      </c>
      <c r="F83" s="27" t="s">
        <v>200</v>
      </c>
      <c r="G83" s="27">
        <v>3720.3944000000001</v>
      </c>
      <c r="H83" s="27">
        <v>4183.4558999999999</v>
      </c>
      <c r="I83" s="27">
        <v>4301.3303999999998</v>
      </c>
      <c r="J83" s="27">
        <v>4117.3211000000001</v>
      </c>
      <c r="K83" s="27" t="s">
        <v>200</v>
      </c>
      <c r="L83" s="27" t="s">
        <v>200</v>
      </c>
      <c r="M83" s="27" t="s">
        <v>200</v>
      </c>
      <c r="N83" s="27" t="s">
        <v>200</v>
      </c>
      <c r="O83" s="27">
        <v>365.8306</v>
      </c>
      <c r="P83" s="27">
        <v>301.91520000000003</v>
      </c>
      <c r="Q83" s="27">
        <v>317.32260000000002</v>
      </c>
      <c r="R83" s="27">
        <v>414.43799999999999</v>
      </c>
      <c r="S83" s="27">
        <v>475.99799999999999</v>
      </c>
      <c r="T83" s="27">
        <v>381.94959999999998</v>
      </c>
      <c r="U83" s="27">
        <v>116.44070000000001</v>
      </c>
      <c r="V83" s="27">
        <v>-246.25530000000001</v>
      </c>
      <c r="W83" s="27" t="s">
        <v>200</v>
      </c>
      <c r="X83" s="27">
        <v>-627.99580000000003</v>
      </c>
      <c r="Y83" s="27" t="s">
        <v>200</v>
      </c>
      <c r="Z83" s="27">
        <v>-970.64030000000002</v>
      </c>
      <c r="AA83" s="27" t="s">
        <v>200</v>
      </c>
      <c r="AB83" s="27">
        <v>-1202.21</v>
      </c>
      <c r="AC83" s="27" t="s">
        <v>200</v>
      </c>
      <c r="AD83" s="27">
        <v>-1265.3945000000001</v>
      </c>
    </row>
    <row r="84" spans="1:30">
      <c r="A84" s="27" t="s">
        <v>233</v>
      </c>
      <c r="B84" s="27" t="s">
        <v>230</v>
      </c>
      <c r="C84" s="27" t="s">
        <v>198</v>
      </c>
      <c r="D84" s="27" t="s">
        <v>1154</v>
      </c>
      <c r="E84" s="27" t="s">
        <v>75</v>
      </c>
      <c r="F84" s="27" t="s">
        <v>200</v>
      </c>
      <c r="G84" s="27" t="s">
        <v>200</v>
      </c>
      <c r="H84" s="27">
        <v>2705.2860173333329</v>
      </c>
      <c r="I84" s="27">
        <v>2689.7768000000001</v>
      </c>
      <c r="J84" s="27">
        <v>2548.4863141909341</v>
      </c>
      <c r="K84" s="27" t="s">
        <v>200</v>
      </c>
      <c r="L84" s="27" t="s">
        <v>200</v>
      </c>
      <c r="M84" s="27" t="s">
        <v>200</v>
      </c>
      <c r="N84" s="27" t="s">
        <v>200</v>
      </c>
      <c r="O84" s="27">
        <v>-358.75451374663089</v>
      </c>
      <c r="P84" s="27">
        <v>-1249.8320146750041</v>
      </c>
      <c r="Q84" s="27">
        <v>-1471.447789075725</v>
      </c>
      <c r="R84" s="27">
        <v>-1617.539740702402</v>
      </c>
      <c r="S84" s="27">
        <v>-2060.618902995594</v>
      </c>
      <c r="T84" s="27">
        <v>-2376.705827264951</v>
      </c>
      <c r="U84" s="27">
        <v>-2842.0199534607368</v>
      </c>
      <c r="V84" s="27">
        <v>-3379.3653345351422</v>
      </c>
      <c r="W84" s="27">
        <v>-3436.725124754038</v>
      </c>
      <c r="X84" s="27">
        <v>-3392.5965574822972</v>
      </c>
      <c r="Y84" s="27">
        <v>-3551.5862530600389</v>
      </c>
      <c r="Z84" s="27">
        <v>-3737.4488016808918</v>
      </c>
      <c r="AA84" s="27">
        <v>-3873.5214727597522</v>
      </c>
      <c r="AB84" s="27">
        <v>-4072.438838856714</v>
      </c>
      <c r="AC84" s="27">
        <v>-3839.4083613165772</v>
      </c>
      <c r="AD84" s="27">
        <v>-3731.2151980678782</v>
      </c>
    </row>
    <row r="85" spans="1:30">
      <c r="A85" s="27" t="s">
        <v>211</v>
      </c>
      <c r="B85" s="27" t="s">
        <v>290</v>
      </c>
      <c r="C85" s="27" t="s">
        <v>198</v>
      </c>
      <c r="D85" s="27" t="s">
        <v>1154</v>
      </c>
      <c r="E85" s="27" t="s">
        <v>75</v>
      </c>
      <c r="F85" s="27">
        <v>6592.3125</v>
      </c>
      <c r="G85" s="27">
        <v>6762.78955078125</v>
      </c>
      <c r="H85" s="27">
        <v>6933.2001953125</v>
      </c>
      <c r="I85" s="27" t="s">
        <v>200</v>
      </c>
      <c r="J85" s="27">
        <v>6108.45751953125</v>
      </c>
      <c r="K85" s="27" t="s">
        <v>200</v>
      </c>
      <c r="L85" s="27" t="s">
        <v>200</v>
      </c>
      <c r="M85" s="27" t="s">
        <v>200</v>
      </c>
      <c r="N85" s="27" t="s">
        <v>200</v>
      </c>
      <c r="O85" s="27" t="s">
        <v>200</v>
      </c>
      <c r="P85" s="27">
        <v>-107.404983520508</v>
      </c>
      <c r="Q85" s="27" t="s">
        <v>200</v>
      </c>
      <c r="R85" s="27">
        <v>-1367.13232421875</v>
      </c>
      <c r="S85" s="27" t="s">
        <v>200</v>
      </c>
      <c r="T85" s="27">
        <v>-1952.41650390625</v>
      </c>
      <c r="U85" s="27" t="s">
        <v>200</v>
      </c>
      <c r="V85" s="27">
        <v>-3469.31274414062</v>
      </c>
      <c r="W85" s="27" t="s">
        <v>200</v>
      </c>
      <c r="X85" s="27">
        <v>-3762.46484375</v>
      </c>
      <c r="Y85" s="27" t="s">
        <v>200</v>
      </c>
      <c r="Z85" s="27">
        <v>-4420.19677734375</v>
      </c>
      <c r="AA85" s="27" t="s">
        <v>200</v>
      </c>
      <c r="AB85" s="27">
        <v>-4406.0048828125</v>
      </c>
      <c r="AC85" s="27" t="s">
        <v>200</v>
      </c>
      <c r="AD85" s="27">
        <v>-4161.85302734375</v>
      </c>
    </row>
    <row r="86" spans="1:30">
      <c r="A86" s="27" t="s">
        <v>226</v>
      </c>
      <c r="B86" s="27" t="s">
        <v>291</v>
      </c>
      <c r="C86" s="27" t="s">
        <v>198</v>
      </c>
      <c r="D86" s="27" t="s">
        <v>1154</v>
      </c>
      <c r="E86" s="27" t="s">
        <v>75</v>
      </c>
      <c r="F86" s="27" t="s">
        <v>200</v>
      </c>
      <c r="G86" s="27">
        <v>4096.5645999999997</v>
      </c>
      <c r="H86" s="27">
        <v>3702.7440999999999</v>
      </c>
      <c r="I86" s="27">
        <v>3845.0082000000002</v>
      </c>
      <c r="J86" s="27">
        <v>4456.8914000000004</v>
      </c>
      <c r="K86" s="27" t="s">
        <v>200</v>
      </c>
      <c r="L86" s="27" t="s">
        <v>200</v>
      </c>
      <c r="M86" s="27" t="s">
        <v>200</v>
      </c>
      <c r="N86" s="27" t="s">
        <v>200</v>
      </c>
      <c r="O86" s="27">
        <v>4252.7930999999999</v>
      </c>
      <c r="P86" s="27">
        <v>3311.2941000000001</v>
      </c>
      <c r="Q86" s="27">
        <v>3519.7368000000001</v>
      </c>
      <c r="R86" s="27">
        <v>4164.5268999999998</v>
      </c>
      <c r="S86" s="27">
        <v>3911.5772000000002</v>
      </c>
      <c r="T86" s="27">
        <v>2841.0916999999999</v>
      </c>
      <c r="U86" s="27">
        <v>1581.8344</v>
      </c>
      <c r="V86" s="27">
        <v>1033.6477</v>
      </c>
      <c r="W86" s="27" t="s">
        <v>200</v>
      </c>
      <c r="X86" s="27">
        <v>888.60410000000002</v>
      </c>
      <c r="Y86" s="27" t="s">
        <v>200</v>
      </c>
      <c r="Z86" s="27">
        <v>523.70730000000003</v>
      </c>
      <c r="AA86" s="27" t="s">
        <v>200</v>
      </c>
      <c r="AB86" s="27">
        <v>-4.5634000000000006</v>
      </c>
      <c r="AC86" s="27" t="s">
        <v>200</v>
      </c>
      <c r="AD86" s="27">
        <v>-622.41300000000001</v>
      </c>
    </row>
    <row r="87" spans="1:30">
      <c r="A87" s="27" t="s">
        <v>261</v>
      </c>
      <c r="B87" s="27" t="s">
        <v>292</v>
      </c>
      <c r="C87" s="27" t="s">
        <v>198</v>
      </c>
      <c r="D87" s="27" t="s">
        <v>1154</v>
      </c>
      <c r="E87" s="27" t="s">
        <v>75</v>
      </c>
      <c r="F87" s="27" t="s">
        <v>200</v>
      </c>
      <c r="G87" s="27">
        <v>4798.2967400939287</v>
      </c>
      <c r="H87" s="27">
        <v>5570.4859078027484</v>
      </c>
      <c r="I87" s="27">
        <v>4148.3129589553882</v>
      </c>
      <c r="J87" s="27">
        <v>3481.7134492780951</v>
      </c>
      <c r="K87" s="27" t="s">
        <v>200</v>
      </c>
      <c r="L87" s="27" t="s">
        <v>200</v>
      </c>
      <c r="M87" s="27" t="s">
        <v>200</v>
      </c>
      <c r="N87" s="27" t="s">
        <v>200</v>
      </c>
      <c r="O87" s="27">
        <v>3281.614691317387</v>
      </c>
      <c r="P87" s="27">
        <v>-939.63942436972081</v>
      </c>
      <c r="Q87" s="27">
        <v>-3419.7555137802651</v>
      </c>
      <c r="R87" s="27">
        <v>-4776.7658958207894</v>
      </c>
      <c r="S87" s="27">
        <v>-5965.0794918794199</v>
      </c>
      <c r="T87" s="27">
        <v>-7055.1234738485309</v>
      </c>
      <c r="U87" s="27">
        <v>-7633.6103883371416</v>
      </c>
      <c r="V87" s="27">
        <v>-6066.1762461613898</v>
      </c>
      <c r="W87" s="27">
        <v>-5332.3779905716347</v>
      </c>
      <c r="X87" s="27">
        <v>-4906.2735691159796</v>
      </c>
      <c r="Y87" s="27">
        <v>-4489.9299347508777</v>
      </c>
      <c r="Z87" s="27">
        <v>-4195.5578107475676</v>
      </c>
      <c r="AA87" s="27">
        <v>-4248.3242555347806</v>
      </c>
      <c r="AB87" s="27">
        <v>-4228.4666874875184</v>
      </c>
      <c r="AC87" s="27">
        <v>-4458.4839248736753</v>
      </c>
      <c r="AD87" s="27">
        <v>-4444.6133528220016</v>
      </c>
    </row>
    <row r="88" spans="1:30">
      <c r="A88" s="27" t="s">
        <v>261</v>
      </c>
      <c r="B88" s="27" t="s">
        <v>293</v>
      </c>
      <c r="C88" s="27" t="s">
        <v>198</v>
      </c>
      <c r="D88" s="27" t="s">
        <v>1154</v>
      </c>
      <c r="E88" s="27" t="s">
        <v>75</v>
      </c>
      <c r="F88" s="27" t="s">
        <v>200</v>
      </c>
      <c r="G88" s="27">
        <v>4797.3878437668272</v>
      </c>
      <c r="H88" s="27">
        <v>5579.121078561303</v>
      </c>
      <c r="I88" s="27">
        <v>4155.1188358468253</v>
      </c>
      <c r="J88" s="27">
        <v>3480.8247688596821</v>
      </c>
      <c r="K88" s="27" t="s">
        <v>200</v>
      </c>
      <c r="L88" s="27" t="s">
        <v>200</v>
      </c>
      <c r="M88" s="27" t="s">
        <v>200</v>
      </c>
      <c r="N88" s="27" t="s">
        <v>200</v>
      </c>
      <c r="O88" s="27">
        <v>3265.8564997701501</v>
      </c>
      <c r="P88" s="27">
        <v>1362.2980715082749</v>
      </c>
      <c r="Q88" s="27">
        <v>869.8189209695646</v>
      </c>
      <c r="R88" s="27">
        <v>-1165.825118727174</v>
      </c>
      <c r="S88" s="27">
        <v>-2558.5710805993681</v>
      </c>
      <c r="T88" s="27">
        <v>-4021.4140394012211</v>
      </c>
      <c r="U88" s="27">
        <v>-4505.6743986033634</v>
      </c>
      <c r="V88" s="27">
        <v>-4721.1464262823683</v>
      </c>
      <c r="W88" s="27">
        <v>-4721.5943725725838</v>
      </c>
      <c r="X88" s="27">
        <v>-5334.1235386710732</v>
      </c>
      <c r="Y88" s="27">
        <v>-5192.2393719108431</v>
      </c>
      <c r="Z88" s="27">
        <v>-5736.9923547158678</v>
      </c>
      <c r="AA88" s="27">
        <v>-5546.4272280609257</v>
      </c>
      <c r="AB88" s="27">
        <v>-5914.8872698756886</v>
      </c>
      <c r="AC88" s="27">
        <v>-5790.5102166333809</v>
      </c>
      <c r="AD88" s="27">
        <v>-6080.489847120085</v>
      </c>
    </row>
    <row r="89" spans="1:30">
      <c r="A89" s="27" t="s">
        <v>196</v>
      </c>
      <c r="B89" s="27" t="s">
        <v>280</v>
      </c>
      <c r="C89" s="27" t="s">
        <v>198</v>
      </c>
      <c r="D89" s="27" t="s">
        <v>1154</v>
      </c>
      <c r="E89" s="27" t="s">
        <v>75</v>
      </c>
      <c r="F89" s="27" t="s">
        <v>200</v>
      </c>
      <c r="G89" s="27">
        <v>3716.6813999999999</v>
      </c>
      <c r="H89" s="27">
        <v>4189.5450000000001</v>
      </c>
      <c r="I89" s="27">
        <v>4257.2275</v>
      </c>
      <c r="J89" s="27">
        <v>4085.4883</v>
      </c>
      <c r="K89" s="27" t="s">
        <v>200</v>
      </c>
      <c r="L89" s="27" t="s">
        <v>200</v>
      </c>
      <c r="M89" s="27" t="s">
        <v>200</v>
      </c>
      <c r="N89" s="27" t="s">
        <v>200</v>
      </c>
      <c r="O89" s="27">
        <v>888.70550000000003</v>
      </c>
      <c r="P89" s="27">
        <v>-69.120199999999997</v>
      </c>
      <c r="Q89" s="27">
        <v>-401.74970000000002</v>
      </c>
      <c r="R89" s="27">
        <v>-277.24869999999999</v>
      </c>
      <c r="S89" s="27">
        <v>-48.398099999999999</v>
      </c>
      <c r="T89" s="27">
        <v>87.8917</v>
      </c>
      <c r="U89" s="27">
        <v>74.328400000000002</v>
      </c>
      <c r="V89" s="27">
        <v>-48.909700000000001</v>
      </c>
      <c r="W89" s="27" t="s">
        <v>200</v>
      </c>
      <c r="X89" s="27">
        <v>-216.96789999999999</v>
      </c>
      <c r="Y89" s="27" t="s">
        <v>200</v>
      </c>
      <c r="Z89" s="27">
        <v>-378.88900000000001</v>
      </c>
      <c r="AA89" s="27" t="s">
        <v>200</v>
      </c>
      <c r="AB89" s="27">
        <v>-480.0532</v>
      </c>
      <c r="AC89" s="27" t="s">
        <v>200</v>
      </c>
      <c r="AD89" s="27">
        <v>-493.49639999999999</v>
      </c>
    </row>
    <row r="90" spans="1:30">
      <c r="A90" s="27" t="s">
        <v>218</v>
      </c>
      <c r="B90" s="27" t="s">
        <v>294</v>
      </c>
      <c r="C90" s="27" t="s">
        <v>198</v>
      </c>
      <c r="D90" s="27" t="s">
        <v>1154</v>
      </c>
      <c r="E90" s="27" t="s">
        <v>75</v>
      </c>
      <c r="F90" s="27" t="s">
        <v>200</v>
      </c>
      <c r="G90" s="27">
        <v>6920.6133</v>
      </c>
      <c r="H90" s="27">
        <v>6905.8346000000001</v>
      </c>
      <c r="I90" s="27">
        <v>6998.7379000000001</v>
      </c>
      <c r="J90" s="27">
        <v>6768.4403000000002</v>
      </c>
      <c r="K90" s="27" t="s">
        <v>200</v>
      </c>
      <c r="L90" s="27" t="s">
        <v>200</v>
      </c>
      <c r="M90" s="27" t="s">
        <v>200</v>
      </c>
      <c r="N90" s="27" t="s">
        <v>200</v>
      </c>
      <c r="O90" s="27">
        <v>4128.9920000000002</v>
      </c>
      <c r="P90" s="27">
        <v>315.17380000000003</v>
      </c>
      <c r="Q90" s="27">
        <v>-4481.0320000000002</v>
      </c>
      <c r="R90" s="27">
        <v>-5309.8069999999998</v>
      </c>
      <c r="S90" s="27">
        <v>-4907.3580000000002</v>
      </c>
      <c r="T90" s="27">
        <v>-4485.5249999999996</v>
      </c>
      <c r="U90" s="27">
        <v>-4026.4140000000002</v>
      </c>
      <c r="V90" s="27">
        <v>-3610.5590000000002</v>
      </c>
      <c r="W90" s="27" t="s">
        <v>200</v>
      </c>
      <c r="X90" s="27">
        <v>-3142.895</v>
      </c>
      <c r="Y90" s="27" t="s">
        <v>200</v>
      </c>
      <c r="Z90" s="27">
        <v>-2651.9450000000002</v>
      </c>
      <c r="AA90" s="27" t="s">
        <v>200</v>
      </c>
      <c r="AB90" s="27">
        <v>-1977.5830000000001</v>
      </c>
      <c r="AC90" s="27" t="s">
        <v>200</v>
      </c>
      <c r="AD90" s="27">
        <v>-1287.5830000000001</v>
      </c>
    </row>
    <row r="91" spans="1:30">
      <c r="A91" s="27" t="s">
        <v>261</v>
      </c>
      <c r="B91" s="27" t="s">
        <v>295</v>
      </c>
      <c r="C91" s="27" t="s">
        <v>198</v>
      </c>
      <c r="D91" s="27" t="s">
        <v>1154</v>
      </c>
      <c r="E91" s="27" t="s">
        <v>75</v>
      </c>
      <c r="F91" s="27" t="s">
        <v>200</v>
      </c>
      <c r="G91" s="27">
        <v>4797.654365935965</v>
      </c>
      <c r="H91" s="27">
        <v>5580.0947750713894</v>
      </c>
      <c r="I91" s="27">
        <v>4153.3682201108168</v>
      </c>
      <c r="J91" s="27">
        <v>3488.7041378212562</v>
      </c>
      <c r="K91" s="27" t="s">
        <v>200</v>
      </c>
      <c r="L91" s="27" t="s">
        <v>200</v>
      </c>
      <c r="M91" s="27" t="s">
        <v>200</v>
      </c>
      <c r="N91" s="27" t="s">
        <v>200</v>
      </c>
      <c r="O91" s="27">
        <v>3287.7169999488851</v>
      </c>
      <c r="P91" s="27">
        <v>2565.128356451532</v>
      </c>
      <c r="Q91" s="27">
        <v>2286.0220027061291</v>
      </c>
      <c r="R91" s="27">
        <v>1164.8570498889669</v>
      </c>
      <c r="S91" s="27">
        <v>-176.1972705683352</v>
      </c>
      <c r="T91" s="27">
        <v>-2167.0060308757502</v>
      </c>
      <c r="U91" s="27">
        <v>-2863.2654202600552</v>
      </c>
      <c r="V91" s="27">
        <v>-3744.5778502451121</v>
      </c>
      <c r="W91" s="27">
        <v>-3730.2378320111452</v>
      </c>
      <c r="X91" s="27">
        <v>-4612.3395019989057</v>
      </c>
      <c r="Y91" s="27">
        <v>-4345.3237368639802</v>
      </c>
      <c r="Z91" s="27">
        <v>-5057.2872265803844</v>
      </c>
      <c r="AA91" s="27">
        <v>-4598.8857601293457</v>
      </c>
      <c r="AB91" s="27">
        <v>-5488.9611581984227</v>
      </c>
      <c r="AC91" s="27">
        <v>-5099.4505638546361</v>
      </c>
      <c r="AD91" s="27">
        <v>-5535.7402791645</v>
      </c>
    </row>
    <row r="92" spans="1:30">
      <c r="A92" s="27" t="s">
        <v>1152</v>
      </c>
      <c r="B92" s="27" t="s">
        <v>286</v>
      </c>
      <c r="C92" s="27" t="s">
        <v>198</v>
      </c>
      <c r="D92" s="27" t="s">
        <v>1154</v>
      </c>
      <c r="E92" s="27" t="s">
        <v>75</v>
      </c>
      <c r="F92" s="27" t="s">
        <v>200</v>
      </c>
      <c r="G92" s="27" t="s">
        <v>200</v>
      </c>
      <c r="H92" s="27">
        <v>2145.6990000000001</v>
      </c>
      <c r="I92" s="27">
        <v>2296.3938469999998</v>
      </c>
      <c r="J92" s="27">
        <v>2456.2503499999998</v>
      </c>
      <c r="K92" s="27" t="s">
        <v>200</v>
      </c>
      <c r="L92" s="27" t="s">
        <v>200</v>
      </c>
      <c r="M92" s="27" t="s">
        <v>200</v>
      </c>
      <c r="N92" s="27" t="s">
        <v>200</v>
      </c>
      <c r="O92" s="27">
        <v>-515.11074100000008</v>
      </c>
      <c r="P92" s="27">
        <v>-1054.7718245000001</v>
      </c>
      <c r="Q92" s="27">
        <v>-2019.8141780000001</v>
      </c>
      <c r="R92" s="27">
        <v>-2119.6925529999999</v>
      </c>
      <c r="S92" s="27">
        <v>-2130.919981</v>
      </c>
      <c r="T92" s="27">
        <v>-955.59777599999995</v>
      </c>
      <c r="U92" s="27" t="s">
        <v>200</v>
      </c>
      <c r="V92" s="27">
        <v>-1518.2894200000001</v>
      </c>
      <c r="W92" s="27" t="s">
        <v>200</v>
      </c>
      <c r="X92" s="27">
        <v>-1247.9495730000001</v>
      </c>
      <c r="Y92" s="27" t="s">
        <v>200</v>
      </c>
      <c r="Z92" s="27">
        <v>-690.67761700000005</v>
      </c>
      <c r="AA92" s="27" t="s">
        <v>200</v>
      </c>
      <c r="AB92" s="27">
        <v>-502.86227700000001</v>
      </c>
      <c r="AC92" s="27" t="s">
        <v>200</v>
      </c>
      <c r="AD92" s="27">
        <v>-95.8065</v>
      </c>
    </row>
    <row r="93" spans="1:30">
      <c r="A93" s="27" t="s">
        <v>196</v>
      </c>
      <c r="B93" s="27" t="s">
        <v>296</v>
      </c>
      <c r="C93" s="27" t="s">
        <v>198</v>
      </c>
      <c r="D93" s="27" t="s">
        <v>1154</v>
      </c>
      <c r="E93" s="27" t="s">
        <v>75</v>
      </c>
      <c r="F93" s="27" t="s">
        <v>200</v>
      </c>
      <c r="G93" s="27">
        <v>3716.7305999999999</v>
      </c>
      <c r="H93" s="27">
        <v>4182.1508999999996</v>
      </c>
      <c r="I93" s="27">
        <v>4245.2834000000003</v>
      </c>
      <c r="J93" s="27">
        <v>4069.1691000000001</v>
      </c>
      <c r="K93" s="27" t="s">
        <v>200</v>
      </c>
      <c r="L93" s="27" t="s">
        <v>200</v>
      </c>
      <c r="M93" s="27" t="s">
        <v>200</v>
      </c>
      <c r="N93" s="27" t="s">
        <v>200</v>
      </c>
      <c r="O93" s="27">
        <v>40.5246</v>
      </c>
      <c r="P93" s="27">
        <v>-29.535599999999999</v>
      </c>
      <c r="Q93" s="27">
        <v>-51.773800000000001</v>
      </c>
      <c r="R93" s="27">
        <v>30.993099999999998</v>
      </c>
      <c r="S93" s="27">
        <v>170.43119999999999</v>
      </c>
      <c r="T93" s="27">
        <v>231.3922</v>
      </c>
      <c r="U93" s="27">
        <v>149.60759999999999</v>
      </c>
      <c r="V93" s="27">
        <v>-7.7649999999999997</v>
      </c>
      <c r="W93" s="27" t="s">
        <v>200</v>
      </c>
      <c r="X93" s="27">
        <v>-159.63310000000001</v>
      </c>
      <c r="Y93" s="27" t="s">
        <v>200</v>
      </c>
      <c r="Z93" s="27">
        <v>-274.77539999999999</v>
      </c>
      <c r="AA93" s="27" t="s">
        <v>200</v>
      </c>
      <c r="AB93" s="27">
        <v>-320.03629999999998</v>
      </c>
      <c r="AC93" s="27" t="s">
        <v>200</v>
      </c>
      <c r="AD93" s="27">
        <v>-276.786</v>
      </c>
    </row>
    <row r="94" spans="1:30">
      <c r="A94" s="27" t="s">
        <v>196</v>
      </c>
      <c r="B94" s="27" t="s">
        <v>297</v>
      </c>
      <c r="C94" s="27" t="s">
        <v>198</v>
      </c>
      <c r="D94" s="27" t="s">
        <v>1154</v>
      </c>
      <c r="E94" s="27" t="s">
        <v>75</v>
      </c>
      <c r="F94" s="27" t="s">
        <v>200</v>
      </c>
      <c r="G94" s="27" t="s">
        <v>200</v>
      </c>
      <c r="H94" s="27">
        <v>4436.7767000000003</v>
      </c>
      <c r="I94" s="27">
        <v>4501.4933000000001</v>
      </c>
      <c r="J94" s="27">
        <v>4377.8167000000003</v>
      </c>
      <c r="K94" s="27" t="s">
        <v>200</v>
      </c>
      <c r="L94" s="27" t="s">
        <v>200</v>
      </c>
      <c r="M94" s="27" t="s">
        <v>200</v>
      </c>
      <c r="N94" s="27" t="s">
        <v>200</v>
      </c>
      <c r="O94" s="27">
        <v>936.65</v>
      </c>
      <c r="P94" s="27">
        <v>-20.093299999999999</v>
      </c>
      <c r="Q94" s="27">
        <v>-348.44330000000002</v>
      </c>
      <c r="R94" s="27">
        <v>-159.16999999999999</v>
      </c>
      <c r="S94" s="27">
        <v>150.11330000000001</v>
      </c>
      <c r="T94" s="27">
        <v>253.99</v>
      </c>
      <c r="U94" s="27">
        <v>73.076700000000002</v>
      </c>
      <c r="V94" s="27">
        <v>-222.05330000000001</v>
      </c>
      <c r="W94" s="27" t="s">
        <v>200</v>
      </c>
      <c r="X94" s="27">
        <v>-438.27670000000001</v>
      </c>
      <c r="Y94" s="27" t="s">
        <v>200</v>
      </c>
      <c r="Z94" s="27">
        <v>-515.64329999999995</v>
      </c>
      <c r="AA94" s="27" t="s">
        <v>200</v>
      </c>
      <c r="AB94" s="27">
        <v>-484.14670000000001</v>
      </c>
      <c r="AC94" s="27" t="s">
        <v>200</v>
      </c>
      <c r="AD94" s="27">
        <v>-396</v>
      </c>
    </row>
    <row r="95" spans="1:30">
      <c r="A95" s="27" t="s">
        <v>244</v>
      </c>
      <c r="B95" s="27" t="s">
        <v>267</v>
      </c>
      <c r="C95" s="27" t="s">
        <v>198</v>
      </c>
      <c r="D95" s="27" t="s">
        <v>1154</v>
      </c>
      <c r="E95" s="27" t="s">
        <v>75</v>
      </c>
      <c r="F95" s="27" t="s">
        <v>200</v>
      </c>
      <c r="G95" s="27" t="s">
        <v>200</v>
      </c>
      <c r="H95" s="27" t="s">
        <v>200</v>
      </c>
      <c r="I95" s="27">
        <v>5862.1313666666674</v>
      </c>
      <c r="J95" s="27">
        <v>5470.9691666666668</v>
      </c>
      <c r="K95" s="27" t="s">
        <v>200</v>
      </c>
      <c r="L95" s="27" t="s">
        <v>200</v>
      </c>
      <c r="M95" s="27" t="s">
        <v>200</v>
      </c>
      <c r="N95" s="27" t="s">
        <v>200</v>
      </c>
      <c r="O95" s="27">
        <v>2605.950233333333</v>
      </c>
      <c r="P95" s="27">
        <v>-256.36830987590639</v>
      </c>
      <c r="Q95" s="27">
        <v>-999.34657505480482</v>
      </c>
      <c r="R95" s="27">
        <v>-1754.756369013965</v>
      </c>
      <c r="S95" s="27">
        <v>-2278.8599351503599</v>
      </c>
      <c r="T95" s="27">
        <v>-2836.3350083693208</v>
      </c>
      <c r="U95" s="27">
        <v>-3218.9115577153302</v>
      </c>
      <c r="V95" s="27">
        <v>-3559.404405065935</v>
      </c>
      <c r="W95" s="27">
        <v>-3821.7222914378822</v>
      </c>
      <c r="X95" s="27">
        <v>-4084.0401778098271</v>
      </c>
      <c r="Y95" s="27">
        <v>-4594.6094240768289</v>
      </c>
      <c r="Z95" s="27">
        <v>-5105.178670343832</v>
      </c>
      <c r="AA95" s="27">
        <v>-5375.706814585651</v>
      </c>
      <c r="AB95" s="27">
        <v>-5646.2349588274701</v>
      </c>
      <c r="AC95" s="27">
        <v>-5740.5388141788826</v>
      </c>
      <c r="AD95" s="27">
        <v>-5834.8426695302969</v>
      </c>
    </row>
    <row r="96" spans="1:30">
      <c r="A96" s="27" t="s">
        <v>261</v>
      </c>
      <c r="B96" s="27" t="s">
        <v>298</v>
      </c>
      <c r="C96" s="27" t="s">
        <v>198</v>
      </c>
      <c r="D96" s="27" t="s">
        <v>1154</v>
      </c>
      <c r="E96" s="27" t="s">
        <v>75</v>
      </c>
      <c r="F96" s="27" t="s">
        <v>200</v>
      </c>
      <c r="G96" s="27">
        <v>4797.9009453843692</v>
      </c>
      <c r="H96" s="27">
        <v>5580.3971395002554</v>
      </c>
      <c r="I96" s="27">
        <v>4156.4740120176148</v>
      </c>
      <c r="J96" s="27">
        <v>3482.2295559631448</v>
      </c>
      <c r="K96" s="27" t="s">
        <v>200</v>
      </c>
      <c r="L96" s="27" t="s">
        <v>200</v>
      </c>
      <c r="M96" s="27" t="s">
        <v>200</v>
      </c>
      <c r="N96" s="27" t="s">
        <v>200</v>
      </c>
      <c r="O96" s="27">
        <v>3262.626543937693</v>
      </c>
      <c r="P96" s="27">
        <v>1352.962091688129</v>
      </c>
      <c r="Q96" s="27">
        <v>858.92869291564057</v>
      </c>
      <c r="R96" s="27">
        <v>-1195.3556166185831</v>
      </c>
      <c r="S96" s="27">
        <v>-2552.8495686586862</v>
      </c>
      <c r="T96" s="27">
        <v>-3922.9137454022898</v>
      </c>
      <c r="U96" s="27">
        <v>-4509.8951934900979</v>
      </c>
      <c r="V96" s="27">
        <v>-4636.2282041949738</v>
      </c>
      <c r="W96" s="27">
        <v>-4640.7140050576936</v>
      </c>
      <c r="X96" s="27">
        <v>-5261.148178807357</v>
      </c>
      <c r="Y96" s="27">
        <v>-5007.9643159690386</v>
      </c>
      <c r="Z96" s="27">
        <v>-5767.6194700378246</v>
      </c>
      <c r="AA96" s="27">
        <v>-5532.1269313556513</v>
      </c>
      <c r="AB96" s="27">
        <v>-5941.6477921542846</v>
      </c>
      <c r="AC96" s="27">
        <v>-5856.9791614125024</v>
      </c>
      <c r="AD96" s="27">
        <v>-6133.6040465149272</v>
      </c>
    </row>
    <row r="97" spans="1:30">
      <c r="A97" s="27" t="s">
        <v>261</v>
      </c>
      <c r="B97" s="27" t="s">
        <v>299</v>
      </c>
      <c r="C97" s="27" t="s">
        <v>198</v>
      </c>
      <c r="D97" s="27" t="s">
        <v>1154</v>
      </c>
      <c r="E97" s="27" t="s">
        <v>75</v>
      </c>
      <c r="F97" s="27" t="s">
        <v>200</v>
      </c>
      <c r="G97" s="27">
        <v>4798.3417341501572</v>
      </c>
      <c r="H97" s="27">
        <v>5570.4940761226089</v>
      </c>
      <c r="I97" s="27">
        <v>4148.4738393422322</v>
      </c>
      <c r="J97" s="27">
        <v>3487.2590008568031</v>
      </c>
      <c r="K97" s="27" t="s">
        <v>200</v>
      </c>
      <c r="L97" s="27" t="s">
        <v>200</v>
      </c>
      <c r="M97" s="27" t="s">
        <v>200</v>
      </c>
      <c r="N97" s="27" t="s">
        <v>200</v>
      </c>
      <c r="O97" s="27">
        <v>3307.9443278935719</v>
      </c>
      <c r="P97" s="27">
        <v>442.53181421806119</v>
      </c>
      <c r="Q97" s="27">
        <v>-1335.4860942783091</v>
      </c>
      <c r="R97" s="27">
        <v>-2539.069503776585</v>
      </c>
      <c r="S97" s="27">
        <v>-1865.6108728753779</v>
      </c>
      <c r="T97" s="27">
        <v>-2169.227977790943</v>
      </c>
      <c r="U97" s="27">
        <v>-4065.76517509626</v>
      </c>
      <c r="V97" s="27">
        <v>-3651.6196929754492</v>
      </c>
      <c r="W97" s="27">
        <v>-2535.6408037066881</v>
      </c>
      <c r="X97" s="27">
        <v>-2475.639358387938</v>
      </c>
      <c r="Y97" s="27">
        <v>-1714.5124725072569</v>
      </c>
      <c r="Z97" s="27">
        <v>-1855.6076314745451</v>
      </c>
      <c r="AA97" s="27">
        <v>-1432.084836195959</v>
      </c>
      <c r="AB97" s="27">
        <v>-1338.221088173452</v>
      </c>
      <c r="AC97" s="27">
        <v>-1228.5834129774869</v>
      </c>
      <c r="AD97" s="27">
        <v>-1031.3643292530201</v>
      </c>
    </row>
    <row r="98" spans="1:30">
      <c r="A98" s="27" t="s">
        <v>207</v>
      </c>
      <c r="B98" s="27" t="s">
        <v>267</v>
      </c>
      <c r="C98" s="27" t="s">
        <v>198</v>
      </c>
      <c r="D98" s="27" t="s">
        <v>1154</v>
      </c>
      <c r="E98" s="27" t="s">
        <v>75</v>
      </c>
      <c r="F98" s="27">
        <v>5811.8708999999999</v>
      </c>
      <c r="G98" s="27">
        <v>5837.5441666666666</v>
      </c>
      <c r="H98" s="27">
        <v>6249.0666333333338</v>
      </c>
      <c r="I98" s="27">
        <v>5862.1313666666674</v>
      </c>
      <c r="J98" s="27">
        <v>5470.9691666666668</v>
      </c>
      <c r="K98" s="27" t="s">
        <v>200</v>
      </c>
      <c r="L98" s="27" t="s">
        <v>200</v>
      </c>
      <c r="M98" s="27" t="s">
        <v>200</v>
      </c>
      <c r="N98" s="27" t="s">
        <v>200</v>
      </c>
      <c r="O98" s="27">
        <v>2605.950233333333</v>
      </c>
      <c r="P98" s="27">
        <v>-256.36830987590639</v>
      </c>
      <c r="Q98" s="27">
        <v>-999.34657505480516</v>
      </c>
      <c r="R98" s="27">
        <v>-1754.7563690139641</v>
      </c>
      <c r="S98" s="27">
        <v>-2278.8599351503599</v>
      </c>
      <c r="T98" s="27">
        <v>-2836.3350083693222</v>
      </c>
      <c r="U98" s="27">
        <v>-3218.9115577153302</v>
      </c>
      <c r="V98" s="27">
        <v>-3559.404405065935</v>
      </c>
      <c r="W98" s="27" t="s">
        <v>200</v>
      </c>
      <c r="X98" s="27">
        <v>-4084.040177809828</v>
      </c>
      <c r="Y98" s="27" t="s">
        <v>200</v>
      </c>
      <c r="Z98" s="27">
        <v>-5105.1786703438329</v>
      </c>
      <c r="AA98" s="27" t="s">
        <v>200</v>
      </c>
      <c r="AB98" s="27">
        <v>-5646.234958827471</v>
      </c>
      <c r="AC98" s="27" t="s">
        <v>200</v>
      </c>
      <c r="AD98" s="27">
        <v>-5834.842669530296</v>
      </c>
    </row>
    <row r="100" spans="1:30">
      <c r="C100" s="3" t="s">
        <v>69</v>
      </c>
      <c r="F100" s="27">
        <f>MEDIAN(F2:F98)</f>
        <v>5811.8708999999999</v>
      </c>
      <c r="G100" s="27">
        <f t="shared" ref="G100:AD100" si="0">MEDIAN(G2:G98)</f>
        <v>4096.5645999999997</v>
      </c>
      <c r="H100" s="27">
        <f t="shared" si="0"/>
        <v>4189.8630000000003</v>
      </c>
      <c r="I100" s="27">
        <f t="shared" si="0"/>
        <v>4262.6962999999996</v>
      </c>
      <c r="J100" s="27">
        <f t="shared" si="0"/>
        <v>4085.4883</v>
      </c>
      <c r="K100" s="27">
        <f t="shared" si="0"/>
        <v>4880.0798933333299</v>
      </c>
      <c r="L100" s="27">
        <f t="shared" si="0"/>
        <v>4287.41802602396</v>
      </c>
      <c r="M100" s="27">
        <f t="shared" si="0"/>
        <v>3677.8601352000501</v>
      </c>
      <c r="N100" s="27">
        <f t="shared" si="0"/>
        <v>3065.0978207242201</v>
      </c>
      <c r="O100" s="27">
        <f t="shared" si="0"/>
        <v>1366.34925</v>
      </c>
      <c r="P100" s="27">
        <f t="shared" si="0"/>
        <v>-17.657299999999999</v>
      </c>
      <c r="Q100" s="27">
        <f t="shared" si="0"/>
        <v>-702.51113190395677</v>
      </c>
      <c r="R100" s="27">
        <f t="shared" si="0"/>
        <v>-1477.19883435879</v>
      </c>
      <c r="S100" s="27">
        <f t="shared" si="0"/>
        <v>-2065.954323115272</v>
      </c>
      <c r="T100" s="27">
        <f t="shared" si="0"/>
        <v>-2571.5728079568698</v>
      </c>
      <c r="U100" s="27">
        <f t="shared" si="0"/>
        <v>-2992.513859707371</v>
      </c>
      <c r="V100" s="27">
        <f t="shared" si="0"/>
        <v>-3375.9284989595599</v>
      </c>
      <c r="W100" s="27">
        <f t="shared" si="0"/>
        <v>-3453.0578</v>
      </c>
      <c r="X100" s="27">
        <f t="shared" si="0"/>
        <v>-3137.7765886270299</v>
      </c>
      <c r="Y100" s="27">
        <f t="shared" si="0"/>
        <v>-3427.670515260133</v>
      </c>
      <c r="Z100" s="27">
        <f t="shared" si="0"/>
        <v>-2417.4675000000002</v>
      </c>
      <c r="AA100" s="27">
        <f t="shared" si="0"/>
        <v>-3481.735439403722</v>
      </c>
      <c r="AB100" s="27">
        <f t="shared" si="0"/>
        <v>-2070.75</v>
      </c>
      <c r="AC100" s="27">
        <f t="shared" si="0"/>
        <v>-3449.9114725804011</v>
      </c>
      <c r="AD100" s="27">
        <f t="shared" si="0"/>
        <v>-2287.7067000000002</v>
      </c>
    </row>
    <row r="101" spans="1:30">
      <c r="C101" s="3" t="s">
        <v>72</v>
      </c>
      <c r="F101" s="27">
        <f>_xlfn.PERCENTILE.INC(F2:F98,0.25)</f>
        <v>5811.8708999999999</v>
      </c>
      <c r="G101" s="27">
        <f t="shared" ref="G101:AD101" si="1">_xlfn.PERCENTILE.INC(G2:G98,0.25)</f>
        <v>3716.7060000000001</v>
      </c>
      <c r="H101" s="27">
        <f t="shared" si="1"/>
        <v>3539.7220499999999</v>
      </c>
      <c r="I101" s="27">
        <f t="shared" si="1"/>
        <v>3990.6167</v>
      </c>
      <c r="J101" s="27">
        <f t="shared" si="1"/>
        <v>3010.49</v>
      </c>
      <c r="K101" s="27">
        <f t="shared" si="1"/>
        <v>4878.5790533333302</v>
      </c>
      <c r="L101" s="27">
        <f t="shared" si="1"/>
        <v>4279.9409113088714</v>
      </c>
      <c r="M101" s="27">
        <f t="shared" si="1"/>
        <v>3676.0923530525401</v>
      </c>
      <c r="N101" s="27">
        <f t="shared" si="1"/>
        <v>3059.8935485408201</v>
      </c>
      <c r="O101" s="27">
        <f t="shared" si="1"/>
        <v>863.51447499999995</v>
      </c>
      <c r="P101" s="27">
        <f t="shared" si="1"/>
        <v>-366.09091007335928</v>
      </c>
      <c r="Q101" s="27">
        <f t="shared" si="1"/>
        <v>-1667.7845793307451</v>
      </c>
      <c r="R101" s="27">
        <f t="shared" si="1"/>
        <v>-2650.1662999999999</v>
      </c>
      <c r="S101" s="27">
        <f t="shared" si="1"/>
        <v>-3008.4077518824997</v>
      </c>
      <c r="T101" s="27">
        <f t="shared" si="1"/>
        <v>-2919.9906006907299</v>
      </c>
      <c r="U101" s="27">
        <f t="shared" si="1"/>
        <v>-4026.4140000000002</v>
      </c>
      <c r="V101" s="27">
        <f t="shared" si="1"/>
        <v>-3559.404405065935</v>
      </c>
      <c r="W101" s="27">
        <f t="shared" si="1"/>
        <v>-3866.6537849041342</v>
      </c>
      <c r="X101" s="27">
        <f t="shared" si="1"/>
        <v>-4062.555388722606</v>
      </c>
      <c r="Y101" s="27">
        <f t="shared" si="1"/>
        <v>-4417.6268358074285</v>
      </c>
      <c r="Z101" s="27">
        <f t="shared" si="1"/>
        <v>-4615.4577803819193</v>
      </c>
      <c r="AA101" s="27">
        <f t="shared" si="1"/>
        <v>-4423.6050078320632</v>
      </c>
      <c r="AB101" s="27">
        <f t="shared" si="1"/>
        <v>-5047.1234678642577</v>
      </c>
      <c r="AC101" s="27">
        <f t="shared" si="1"/>
        <v>-4463.3469624368372</v>
      </c>
      <c r="AD101" s="27">
        <f t="shared" si="1"/>
        <v>-4676.3777867445897</v>
      </c>
    </row>
    <row r="102" spans="1:30">
      <c r="C102" s="3" t="s">
        <v>73</v>
      </c>
      <c r="F102" s="27">
        <f>_xlfn.PERCENTILE.INC(F2:F98,0.75)</f>
        <v>5811.8708999999999</v>
      </c>
      <c r="G102" s="27">
        <f t="shared" ref="G102:AD102" si="2">_xlfn.PERCENTILE.INC(G2:G98,0.75)</f>
        <v>5837.5441666666666</v>
      </c>
      <c r="H102" s="27">
        <f t="shared" si="2"/>
        <v>5914.7318862501279</v>
      </c>
      <c r="I102" s="27">
        <f t="shared" si="2"/>
        <v>5862.1313666666674</v>
      </c>
      <c r="J102" s="27">
        <f t="shared" si="2"/>
        <v>5470.4657333333344</v>
      </c>
      <c r="K102" s="27">
        <f t="shared" si="2"/>
        <v>4880.4089400000003</v>
      </c>
      <c r="L102" s="27">
        <f t="shared" si="2"/>
        <v>4298.38043656422</v>
      </c>
      <c r="M102" s="27">
        <f t="shared" si="2"/>
        <v>3677.8858022101699</v>
      </c>
      <c r="N102" s="27">
        <f t="shared" si="2"/>
        <v>3068.32377190427</v>
      </c>
      <c r="O102" s="27">
        <f t="shared" si="2"/>
        <v>2766.8272539614936</v>
      </c>
      <c r="P102" s="27">
        <f t="shared" si="2"/>
        <v>315.17380000000003</v>
      </c>
      <c r="Q102" s="27">
        <f t="shared" si="2"/>
        <v>-348.44330000000002</v>
      </c>
      <c r="R102" s="27">
        <f t="shared" si="2"/>
        <v>-165.9521</v>
      </c>
      <c r="S102" s="27">
        <f t="shared" si="2"/>
        <v>-79.1267</v>
      </c>
      <c r="T102" s="27">
        <f t="shared" si="2"/>
        <v>-72.856700000000004</v>
      </c>
      <c r="U102" s="27">
        <f t="shared" si="2"/>
        <v>-72.893299999999996</v>
      </c>
      <c r="V102" s="27">
        <f t="shared" si="2"/>
        <v>-313.35250000000002</v>
      </c>
      <c r="W102" s="27">
        <f t="shared" si="2"/>
        <v>-2665.7043052156214</v>
      </c>
      <c r="X102" s="27">
        <f t="shared" si="2"/>
        <v>-603.06830000000002</v>
      </c>
      <c r="Y102" s="27">
        <f t="shared" si="2"/>
        <v>-1893.7737918628291</v>
      </c>
      <c r="Z102" s="27">
        <f t="shared" si="2"/>
        <v>-792.03520000000003</v>
      </c>
      <c r="AA102" s="27">
        <f t="shared" si="2"/>
        <v>-1596.6894441804457</v>
      </c>
      <c r="AB102" s="27">
        <f t="shared" si="2"/>
        <v>-865.59179670099195</v>
      </c>
      <c r="AC102" s="27">
        <f t="shared" si="2"/>
        <v>-1485.61865383285</v>
      </c>
      <c r="AD102" s="27">
        <f t="shared" si="2"/>
        <v>-775.77034697700003</v>
      </c>
    </row>
    <row r="104" spans="1:30">
      <c r="F104" s="27">
        <f>MAX(F$2:F$98)</f>
        <v>6592.3125</v>
      </c>
      <c r="G104" s="27">
        <f t="shared" ref="G104:AD104" si="3">MAX(G$2:G$98)</f>
        <v>6920.6133</v>
      </c>
      <c r="H104" s="27">
        <f t="shared" si="3"/>
        <v>7161.5781360721458</v>
      </c>
      <c r="I104" s="27">
        <f t="shared" si="3"/>
        <v>6998.7379000000001</v>
      </c>
      <c r="J104" s="27">
        <f t="shared" si="3"/>
        <v>6768.4403000000002</v>
      </c>
      <c r="K104" s="27">
        <f t="shared" si="3"/>
        <v>4882.1214933333304</v>
      </c>
      <c r="L104" s="27">
        <f t="shared" si="3"/>
        <v>4302.2427171830896</v>
      </c>
      <c r="M104" s="27">
        <f t="shared" si="3"/>
        <v>3708.2129225306599</v>
      </c>
      <c r="N104" s="27">
        <f t="shared" si="3"/>
        <v>3070.4106640680002</v>
      </c>
      <c r="O104" s="27">
        <f t="shared" si="3"/>
        <v>4252.7930999999999</v>
      </c>
      <c r="P104" s="27">
        <f t="shared" si="3"/>
        <v>4415</v>
      </c>
      <c r="Q104" s="27">
        <f t="shared" si="3"/>
        <v>3519.7368000000001</v>
      </c>
      <c r="R104" s="27">
        <f t="shared" si="3"/>
        <v>4579</v>
      </c>
      <c r="S104" s="27">
        <f t="shared" si="3"/>
        <v>3911.5772000000002</v>
      </c>
      <c r="T104" s="27">
        <f t="shared" si="3"/>
        <v>2841.0916999999999</v>
      </c>
      <c r="U104" s="27">
        <f t="shared" si="3"/>
        <v>1581.8344</v>
      </c>
      <c r="V104" s="27">
        <f t="shared" si="3"/>
        <v>1148</v>
      </c>
      <c r="W104" s="27">
        <f t="shared" si="3"/>
        <v>-68.601476562499997</v>
      </c>
      <c r="X104" s="27">
        <f t="shared" si="3"/>
        <v>888.60410000000002</v>
      </c>
      <c r="Y104" s="27">
        <f t="shared" si="3"/>
        <v>-293.83546875000002</v>
      </c>
      <c r="Z104" s="27">
        <f t="shared" si="3"/>
        <v>523.70730000000003</v>
      </c>
      <c r="AA104" s="27">
        <f t="shared" si="3"/>
        <v>-949.47507863435999</v>
      </c>
      <c r="AB104" s="27">
        <f t="shared" si="3"/>
        <v>345.2</v>
      </c>
      <c r="AC104" s="27">
        <f t="shared" si="3"/>
        <v>-791.05202724263097</v>
      </c>
      <c r="AD104" s="27">
        <f t="shared" si="3"/>
        <v>-95.8065</v>
      </c>
    </row>
    <row r="105" spans="1:30">
      <c r="F105" s="27">
        <f>MEDIAN(F$2:F$98)</f>
        <v>5811.8708999999999</v>
      </c>
      <c r="G105" s="27">
        <f t="shared" ref="G105:AD105" si="4">MEDIAN(G$2:G$98)</f>
        <v>4096.5645999999997</v>
      </c>
      <c r="H105" s="27">
        <f t="shared" si="4"/>
        <v>4189.8630000000003</v>
      </c>
      <c r="I105" s="27">
        <f t="shared" si="4"/>
        <v>4262.6962999999996</v>
      </c>
      <c r="J105" s="27">
        <f t="shared" si="4"/>
        <v>4085.4883</v>
      </c>
      <c r="K105" s="27">
        <f t="shared" si="4"/>
        <v>4880.0798933333299</v>
      </c>
      <c r="L105" s="27">
        <f t="shared" si="4"/>
        <v>4287.41802602396</v>
      </c>
      <c r="M105" s="27">
        <f t="shared" si="4"/>
        <v>3677.8601352000501</v>
      </c>
      <c r="N105" s="27">
        <f t="shared" si="4"/>
        <v>3065.0978207242201</v>
      </c>
      <c r="O105" s="27">
        <f t="shared" si="4"/>
        <v>1366.34925</v>
      </c>
      <c r="P105" s="27">
        <f t="shared" si="4"/>
        <v>-17.657299999999999</v>
      </c>
      <c r="Q105" s="27">
        <f t="shared" si="4"/>
        <v>-702.51113190395677</v>
      </c>
      <c r="R105" s="27">
        <f t="shared" si="4"/>
        <v>-1477.19883435879</v>
      </c>
      <c r="S105" s="27">
        <f t="shared" si="4"/>
        <v>-2065.954323115272</v>
      </c>
      <c r="T105" s="27">
        <f t="shared" si="4"/>
        <v>-2571.5728079568698</v>
      </c>
      <c r="U105" s="27">
        <f t="shared" si="4"/>
        <v>-2992.513859707371</v>
      </c>
      <c r="V105" s="27">
        <f t="shared" si="4"/>
        <v>-3375.9284989595599</v>
      </c>
      <c r="W105" s="27">
        <f t="shared" si="4"/>
        <v>-3453.0578</v>
      </c>
      <c r="X105" s="27">
        <f t="shared" si="4"/>
        <v>-3137.7765886270299</v>
      </c>
      <c r="Y105" s="27">
        <f t="shared" si="4"/>
        <v>-3427.670515260133</v>
      </c>
      <c r="Z105" s="27">
        <f t="shared" si="4"/>
        <v>-2417.4675000000002</v>
      </c>
      <c r="AA105" s="27">
        <f t="shared" si="4"/>
        <v>-3481.735439403722</v>
      </c>
      <c r="AB105" s="27">
        <f t="shared" si="4"/>
        <v>-2070.75</v>
      </c>
      <c r="AC105" s="27">
        <f t="shared" si="4"/>
        <v>-3449.9114725804011</v>
      </c>
      <c r="AD105" s="27">
        <f t="shared" si="4"/>
        <v>-2287.7067000000002</v>
      </c>
    </row>
    <row r="106" spans="1:30">
      <c r="F106" s="27">
        <f>MIN(F$2:F$98)</f>
        <v>1811.52075195312</v>
      </c>
      <c r="G106" s="27">
        <f t="shared" ref="G106:AD106" si="5">MIN(G$2:G$98)</f>
        <v>1500.55475</v>
      </c>
      <c r="H106" s="27">
        <f t="shared" si="5"/>
        <v>1102.9960000000001</v>
      </c>
      <c r="I106" s="27">
        <f t="shared" si="5"/>
        <v>1023.3759375</v>
      </c>
      <c r="J106" s="27">
        <f t="shared" si="5"/>
        <v>533.33038330078102</v>
      </c>
      <c r="K106" s="27">
        <f t="shared" si="5"/>
        <v>4873.8990025595203</v>
      </c>
      <c r="L106" s="27">
        <f t="shared" si="5"/>
        <v>4266.3390733333299</v>
      </c>
      <c r="M106" s="27">
        <f t="shared" si="5"/>
        <v>3661.0826222568498</v>
      </c>
      <c r="N106" s="27">
        <f t="shared" si="5"/>
        <v>3053.2937326195402</v>
      </c>
      <c r="O106" s="27">
        <f t="shared" si="5"/>
        <v>-655.98499528673995</v>
      </c>
      <c r="P106" s="27">
        <f t="shared" si="5"/>
        <v>-12488.5021949233</v>
      </c>
      <c r="Q106" s="27">
        <f t="shared" si="5"/>
        <v>-7803.33</v>
      </c>
      <c r="R106" s="27">
        <f t="shared" si="5"/>
        <v>-15823.989061030299</v>
      </c>
      <c r="S106" s="27">
        <f t="shared" si="5"/>
        <v>-10673</v>
      </c>
      <c r="T106" s="27">
        <f t="shared" si="5"/>
        <v>-15012.151015077299</v>
      </c>
      <c r="U106" s="27">
        <f t="shared" si="5"/>
        <v>-10982.3</v>
      </c>
      <c r="V106" s="27">
        <f t="shared" si="5"/>
        <v>-10576.7</v>
      </c>
      <c r="W106" s="27">
        <f t="shared" si="5"/>
        <v>-9935.85</v>
      </c>
      <c r="X106" s="27">
        <f t="shared" si="5"/>
        <v>-9135.8700000000008</v>
      </c>
      <c r="Y106" s="27">
        <f t="shared" si="5"/>
        <v>-8237.1200000000008</v>
      </c>
      <c r="Z106" s="27">
        <f t="shared" si="5"/>
        <v>-7287.5</v>
      </c>
      <c r="AA106" s="27">
        <f t="shared" si="5"/>
        <v>-6324.66</v>
      </c>
      <c r="AB106" s="27">
        <f t="shared" si="5"/>
        <v>-5941.6477921542846</v>
      </c>
      <c r="AC106" s="27">
        <f t="shared" si="5"/>
        <v>-5856.9791614125024</v>
      </c>
      <c r="AD106" s="27">
        <f t="shared" si="5"/>
        <v>-6133.6040465149272</v>
      </c>
    </row>
  </sheetData>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4058B7-FB9F-4529-86AE-1E7F38EF41C0}">
  <sheetPr codeName="Sheet33">
    <tabColor theme="7" tint="0.79998168889431442"/>
  </sheetPr>
  <dimension ref="A1:AD106"/>
  <sheetViews>
    <sheetView topLeftCell="E1" workbookViewId="0">
      <pane ySplit="1" topLeftCell="A81" activePane="bottomLeft" state="frozen"/>
      <selection pane="bottomLeft" activeCell="H109" sqref="H109"/>
      <selection activeCell="P95" sqref="P95"/>
    </sheetView>
  </sheetViews>
  <sheetFormatPr defaultColWidth="9.140625" defaultRowHeight="15.75"/>
  <cols>
    <col min="1" max="16384" width="9.140625" style="27"/>
  </cols>
  <sheetData>
    <row r="1" spans="1:26">
      <c r="A1" s="27" t="s">
        <v>193</v>
      </c>
      <c r="B1" s="27" t="s">
        <v>194</v>
      </c>
      <c r="C1" s="27" t="s">
        <v>195</v>
      </c>
      <c r="D1" s="27" t="s">
        <v>64</v>
      </c>
      <c r="E1" s="27" t="s">
        <v>65</v>
      </c>
      <c r="F1" s="27">
        <v>2000</v>
      </c>
      <c r="G1" s="27">
        <v>2005</v>
      </c>
      <c r="H1" s="27">
        <v>2010</v>
      </c>
      <c r="I1" s="27">
        <v>2015</v>
      </c>
      <c r="J1" s="27">
        <v>2020</v>
      </c>
      <c r="K1" s="27">
        <v>2025</v>
      </c>
      <c r="L1" s="27">
        <v>2030</v>
      </c>
      <c r="M1" s="27">
        <v>2035</v>
      </c>
      <c r="N1" s="27">
        <v>2040</v>
      </c>
      <c r="O1" s="27">
        <v>2045</v>
      </c>
      <c r="P1" s="27">
        <v>2050</v>
      </c>
      <c r="Q1" s="27">
        <v>2055</v>
      </c>
      <c r="R1" s="27">
        <v>2060</v>
      </c>
      <c r="S1" s="27">
        <v>2065</v>
      </c>
      <c r="T1" s="27">
        <v>2070</v>
      </c>
      <c r="U1" s="27">
        <v>2075</v>
      </c>
      <c r="V1" s="27">
        <v>2080</v>
      </c>
      <c r="W1" s="27">
        <v>2085</v>
      </c>
      <c r="X1" s="27">
        <v>2090</v>
      </c>
      <c r="Y1" s="27">
        <v>2095</v>
      </c>
      <c r="Z1" s="27">
        <v>2100</v>
      </c>
    </row>
    <row r="2" spans="1:26">
      <c r="A2" s="27" t="s">
        <v>196</v>
      </c>
      <c r="B2" s="27" t="s">
        <v>197</v>
      </c>
      <c r="C2" s="27" t="s">
        <v>198</v>
      </c>
      <c r="D2" s="27" t="s">
        <v>1155</v>
      </c>
      <c r="E2" s="27" t="s">
        <v>75</v>
      </c>
      <c r="F2" s="27" t="s">
        <v>200</v>
      </c>
      <c r="G2" s="27">
        <v>0</v>
      </c>
      <c r="H2" s="27">
        <v>0</v>
      </c>
      <c r="I2" s="27">
        <v>0</v>
      </c>
      <c r="J2" s="27">
        <v>0</v>
      </c>
      <c r="K2" s="27">
        <v>-1.8800000000000001E-2</v>
      </c>
      <c r="L2" s="27">
        <v>-1.7265999999999999</v>
      </c>
      <c r="M2" s="27">
        <v>-11.6418</v>
      </c>
      <c r="N2" s="27">
        <v>-61.563899999999997</v>
      </c>
      <c r="O2" s="27">
        <v>-144.29310000000001</v>
      </c>
      <c r="P2" s="27">
        <v>-347.21679999999998</v>
      </c>
      <c r="Q2" s="27">
        <v>-703.30859999999996</v>
      </c>
      <c r="R2" s="27">
        <v>-1230.4011</v>
      </c>
      <c r="S2" s="27" t="s">
        <v>200</v>
      </c>
      <c r="T2" s="27">
        <v>-3131.5835999999999</v>
      </c>
      <c r="U2" s="27" t="s">
        <v>200</v>
      </c>
      <c r="V2" s="27">
        <v>-6686.6563999999998</v>
      </c>
      <c r="W2" s="27" t="s">
        <v>200</v>
      </c>
      <c r="X2" s="27">
        <v>-11049.8408</v>
      </c>
      <c r="Y2" s="27" t="s">
        <v>200</v>
      </c>
      <c r="Z2" s="27">
        <v>-13543.9982</v>
      </c>
    </row>
    <row r="3" spans="1:26">
      <c r="A3" s="27" t="s">
        <v>196</v>
      </c>
      <c r="B3" s="27" t="s">
        <v>202</v>
      </c>
      <c r="C3" s="27" t="s">
        <v>198</v>
      </c>
      <c r="D3" s="27" t="s">
        <v>1155</v>
      </c>
      <c r="E3" s="27" t="s">
        <v>75</v>
      </c>
      <c r="F3" s="27" t="s">
        <v>200</v>
      </c>
      <c r="G3" s="27">
        <v>0</v>
      </c>
      <c r="H3" s="27">
        <v>0</v>
      </c>
      <c r="I3" s="27">
        <v>0</v>
      </c>
      <c r="J3" s="27">
        <v>0</v>
      </c>
      <c r="K3" s="27">
        <v>0</v>
      </c>
      <c r="L3" s="27">
        <v>0</v>
      </c>
      <c r="M3" s="27">
        <v>0</v>
      </c>
      <c r="N3" s="27">
        <v>-0.25330000000000003</v>
      </c>
      <c r="O3" s="27">
        <v>-0.62129999999999996</v>
      </c>
      <c r="P3" s="27">
        <v>-1.7809999999999999</v>
      </c>
      <c r="Q3" s="27">
        <v>-2.218</v>
      </c>
      <c r="R3" s="27">
        <v>-2.2652999999999999</v>
      </c>
      <c r="S3" s="27" t="s">
        <v>200</v>
      </c>
      <c r="T3" s="27">
        <v>-0.94110000000000005</v>
      </c>
      <c r="U3" s="27" t="s">
        <v>200</v>
      </c>
      <c r="V3" s="27">
        <v>0</v>
      </c>
      <c r="W3" s="27" t="s">
        <v>200</v>
      </c>
      <c r="X3" s="27">
        <v>0</v>
      </c>
      <c r="Y3" s="27" t="s">
        <v>200</v>
      </c>
      <c r="Z3" s="27">
        <v>0</v>
      </c>
    </row>
    <row r="4" spans="1:26">
      <c r="A4" s="27" t="s">
        <v>203</v>
      </c>
      <c r="B4" s="27" t="s">
        <v>204</v>
      </c>
      <c r="C4" s="27" t="s">
        <v>198</v>
      </c>
      <c r="D4" s="27" t="s">
        <v>1155</v>
      </c>
      <c r="E4" s="27" t="s">
        <v>75</v>
      </c>
      <c r="F4" s="27" t="s">
        <v>200</v>
      </c>
      <c r="G4" s="27">
        <v>0</v>
      </c>
      <c r="H4" s="27">
        <v>0</v>
      </c>
      <c r="I4" s="27">
        <v>0</v>
      </c>
      <c r="J4" s="27">
        <v>0</v>
      </c>
      <c r="K4" s="27">
        <v>-0.1021</v>
      </c>
      <c r="L4" s="27">
        <v>-8.5838000000000001</v>
      </c>
      <c r="M4" s="27">
        <v>-44.350499999999997</v>
      </c>
      <c r="N4" s="27">
        <v>-133.53829999999999</v>
      </c>
      <c r="O4" s="27">
        <v>-338.7629</v>
      </c>
      <c r="P4" s="27">
        <v>-665.85170000000005</v>
      </c>
      <c r="Q4" s="27">
        <v>-1080.2572</v>
      </c>
      <c r="R4" s="27">
        <v>-1531.4446</v>
      </c>
      <c r="S4" s="27" t="s">
        <v>200</v>
      </c>
      <c r="T4" s="27">
        <v>-2527.3238999999999</v>
      </c>
      <c r="U4" s="27" t="s">
        <v>200</v>
      </c>
      <c r="V4" s="27">
        <v>-3580.9908</v>
      </c>
      <c r="W4" s="27" t="s">
        <v>200</v>
      </c>
      <c r="X4" s="27">
        <v>-4768.8167000000003</v>
      </c>
      <c r="Y4" s="27" t="s">
        <v>200</v>
      </c>
      <c r="Z4" s="27">
        <v>-6110.3229000000001</v>
      </c>
    </row>
    <row r="5" spans="1:26">
      <c r="A5" s="27" t="s">
        <v>205</v>
      </c>
      <c r="B5" s="27" t="s">
        <v>206</v>
      </c>
      <c r="C5" s="27" t="s">
        <v>198</v>
      </c>
      <c r="D5" s="27" t="s">
        <v>1155</v>
      </c>
      <c r="E5" s="27" t="s">
        <v>75</v>
      </c>
      <c r="F5" s="27" t="s">
        <v>200</v>
      </c>
      <c r="G5" s="27">
        <v>0</v>
      </c>
      <c r="H5" s="27">
        <v>0</v>
      </c>
      <c r="I5" s="27">
        <v>0</v>
      </c>
      <c r="J5" s="27">
        <v>0</v>
      </c>
      <c r="K5" s="27">
        <v>0</v>
      </c>
      <c r="L5" s="27">
        <v>0</v>
      </c>
      <c r="M5" s="27">
        <v>0</v>
      </c>
      <c r="N5" s="27">
        <v>0</v>
      </c>
      <c r="O5" s="27">
        <v>0</v>
      </c>
      <c r="P5" s="27">
        <v>0</v>
      </c>
      <c r="Q5" s="27">
        <v>0</v>
      </c>
      <c r="R5" s="27">
        <v>0</v>
      </c>
      <c r="S5" s="27">
        <v>0</v>
      </c>
      <c r="T5" s="27">
        <v>0</v>
      </c>
      <c r="U5" s="27">
        <v>0</v>
      </c>
      <c r="V5" s="27">
        <v>0</v>
      </c>
      <c r="W5" s="27">
        <v>0</v>
      </c>
      <c r="X5" s="27">
        <v>0</v>
      </c>
      <c r="Y5" s="27">
        <v>0</v>
      </c>
      <c r="Z5" s="27">
        <v>0</v>
      </c>
    </row>
    <row r="6" spans="1:26">
      <c r="A6" s="27" t="s">
        <v>211</v>
      </c>
      <c r="B6" s="27" t="s">
        <v>212</v>
      </c>
      <c r="C6" s="27" t="s">
        <v>198</v>
      </c>
      <c r="D6" s="27" t="s">
        <v>1155</v>
      </c>
      <c r="E6" s="27" t="s">
        <v>75</v>
      </c>
      <c r="F6" s="27">
        <v>0</v>
      </c>
      <c r="G6" s="27">
        <v>3.6379788070917089E-12</v>
      </c>
      <c r="H6" s="27">
        <v>0</v>
      </c>
      <c r="I6" s="27" t="s">
        <v>200</v>
      </c>
      <c r="J6" s="27">
        <v>0</v>
      </c>
      <c r="K6" s="27" t="s">
        <v>200</v>
      </c>
      <c r="L6" s="27">
        <v>0</v>
      </c>
      <c r="M6" s="27" t="s">
        <v>200</v>
      </c>
      <c r="N6" s="27">
        <v>1.3642420526593889E-12</v>
      </c>
      <c r="O6" s="27" t="s">
        <v>200</v>
      </c>
      <c r="P6" s="27">
        <v>-4.5474735088646412E-13</v>
      </c>
      <c r="Q6" s="27" t="s">
        <v>200</v>
      </c>
      <c r="R6" s="27">
        <v>0</v>
      </c>
      <c r="S6" s="27" t="s">
        <v>200</v>
      </c>
      <c r="T6" s="27">
        <v>-2.7284841053187791E-12</v>
      </c>
      <c r="U6" s="27" t="s">
        <v>200</v>
      </c>
      <c r="V6" s="27">
        <v>-1.8189894035458601E-12</v>
      </c>
      <c r="W6" s="27" t="s">
        <v>200</v>
      </c>
      <c r="X6" s="27">
        <v>0</v>
      </c>
      <c r="Y6" s="27" t="s">
        <v>200</v>
      </c>
      <c r="Z6" s="27">
        <v>0</v>
      </c>
    </row>
    <row r="7" spans="1:26">
      <c r="A7" s="27" t="s">
        <v>196</v>
      </c>
      <c r="B7" s="27" t="s">
        <v>213</v>
      </c>
      <c r="C7" s="27" t="s">
        <v>198</v>
      </c>
      <c r="D7" s="27" t="s">
        <v>1155</v>
      </c>
      <c r="E7" s="27" t="s">
        <v>75</v>
      </c>
      <c r="F7" s="27" t="s">
        <v>200</v>
      </c>
      <c r="G7" s="27">
        <v>0</v>
      </c>
      <c r="H7" s="27">
        <v>0</v>
      </c>
      <c r="I7" s="27">
        <v>0</v>
      </c>
      <c r="J7" s="27">
        <v>0</v>
      </c>
      <c r="K7" s="27">
        <v>0</v>
      </c>
      <c r="L7" s="27">
        <v>0</v>
      </c>
      <c r="M7" s="27">
        <v>0</v>
      </c>
      <c r="N7" s="27">
        <v>0</v>
      </c>
      <c r="O7" s="27">
        <v>0</v>
      </c>
      <c r="P7" s="27">
        <v>0</v>
      </c>
      <c r="Q7" s="27">
        <v>0</v>
      </c>
      <c r="R7" s="27">
        <v>0</v>
      </c>
      <c r="S7" s="27" t="s">
        <v>200</v>
      </c>
      <c r="T7" s="27">
        <v>0</v>
      </c>
      <c r="U7" s="27" t="s">
        <v>200</v>
      </c>
      <c r="V7" s="27">
        <v>0</v>
      </c>
      <c r="W7" s="27" t="s">
        <v>200</v>
      </c>
      <c r="X7" s="27">
        <v>-7.1999999999999998E-3</v>
      </c>
      <c r="Y7" s="27" t="s">
        <v>200</v>
      </c>
      <c r="Z7" s="27">
        <v>-1.38E-2</v>
      </c>
    </row>
    <row r="8" spans="1:26">
      <c r="A8" s="27" t="s">
        <v>218</v>
      </c>
      <c r="B8" s="27" t="s">
        <v>219</v>
      </c>
      <c r="C8" s="27" t="s">
        <v>198</v>
      </c>
      <c r="D8" s="27" t="s">
        <v>1155</v>
      </c>
      <c r="E8" s="27" t="s">
        <v>75</v>
      </c>
      <c r="F8" s="27" t="s">
        <v>200</v>
      </c>
      <c r="G8" s="27">
        <v>0</v>
      </c>
      <c r="H8" s="27">
        <v>0</v>
      </c>
      <c r="I8" s="27">
        <v>0</v>
      </c>
      <c r="J8" s="27">
        <v>0</v>
      </c>
      <c r="K8" s="27">
        <v>-4.5426000000000002</v>
      </c>
      <c r="L8" s="27">
        <v>-5.8623000000000003</v>
      </c>
      <c r="M8" s="27">
        <v>-1.6148</v>
      </c>
      <c r="N8" s="27">
        <v>-3.5914000000000001</v>
      </c>
      <c r="O8" s="27">
        <v>-0.46050000000000002</v>
      </c>
      <c r="P8" s="27">
        <v>-0.19159999999999999</v>
      </c>
      <c r="Q8" s="27">
        <v>0</v>
      </c>
      <c r="R8" s="27">
        <v>-1.7173</v>
      </c>
      <c r="S8" s="27" t="s">
        <v>200</v>
      </c>
      <c r="T8" s="27">
        <v>-102.9666</v>
      </c>
      <c r="U8" s="27" t="s">
        <v>200</v>
      </c>
      <c r="V8" s="27">
        <v>-833.38120000000004</v>
      </c>
      <c r="W8" s="27" t="s">
        <v>200</v>
      </c>
      <c r="X8" s="27">
        <v>-2040.3230000000001</v>
      </c>
      <c r="Y8" s="27" t="s">
        <v>200</v>
      </c>
      <c r="Z8" s="27">
        <v>-3549.2280000000001</v>
      </c>
    </row>
    <row r="9" spans="1:26">
      <c r="A9" s="27" t="s">
        <v>222</v>
      </c>
      <c r="B9" s="27" t="s">
        <v>223</v>
      </c>
      <c r="C9" s="27" t="s">
        <v>198</v>
      </c>
      <c r="D9" s="27" t="s">
        <v>1155</v>
      </c>
      <c r="E9" s="27" t="s">
        <v>75</v>
      </c>
      <c r="F9" s="27" t="s">
        <v>200</v>
      </c>
      <c r="G9" s="27">
        <v>0</v>
      </c>
      <c r="H9" s="27">
        <v>0</v>
      </c>
      <c r="I9" s="27">
        <v>0</v>
      </c>
      <c r="J9" s="27">
        <v>0</v>
      </c>
      <c r="K9" s="27">
        <v>0</v>
      </c>
      <c r="L9" s="27">
        <v>0</v>
      </c>
      <c r="M9" s="27">
        <v>0</v>
      </c>
      <c r="N9" s="27">
        <v>-1.4200000000000001E-2</v>
      </c>
      <c r="O9" s="27">
        <v>-8.3999999999999995E-3</v>
      </c>
      <c r="P9" s="27">
        <v>-8.0999999999999996E-3</v>
      </c>
      <c r="Q9" s="27">
        <v>-0.33529999999999999</v>
      </c>
      <c r="R9" s="27">
        <v>-1.7395</v>
      </c>
      <c r="S9" s="27" t="s">
        <v>200</v>
      </c>
      <c r="T9" s="27">
        <v>-17.517199999999999</v>
      </c>
      <c r="U9" s="27" t="s">
        <v>200</v>
      </c>
      <c r="V9" s="27">
        <v>-71.967100000000002</v>
      </c>
      <c r="W9" s="27" t="s">
        <v>200</v>
      </c>
      <c r="X9" s="27">
        <v>-205.6729</v>
      </c>
      <c r="Y9" s="27" t="s">
        <v>200</v>
      </c>
      <c r="Z9" s="27">
        <v>-447.64409999999998</v>
      </c>
    </row>
    <row r="10" spans="1:26">
      <c r="A10" s="27" t="s">
        <v>196</v>
      </c>
      <c r="B10" s="27" t="s">
        <v>224</v>
      </c>
      <c r="C10" s="27" t="s">
        <v>198</v>
      </c>
      <c r="D10" s="27" t="s">
        <v>1155</v>
      </c>
      <c r="E10" s="27" t="s">
        <v>75</v>
      </c>
      <c r="F10" s="27" t="s">
        <v>200</v>
      </c>
      <c r="G10" s="27">
        <v>0</v>
      </c>
      <c r="H10" s="27">
        <v>0</v>
      </c>
      <c r="I10" s="27">
        <v>0</v>
      </c>
      <c r="J10" s="27">
        <v>0</v>
      </c>
      <c r="K10" s="27">
        <v>0</v>
      </c>
      <c r="L10" s="27">
        <v>-0.51790000000000003</v>
      </c>
      <c r="M10" s="27">
        <v>-4.2767999999999997</v>
      </c>
      <c r="N10" s="27">
        <v>-27.714400000000001</v>
      </c>
      <c r="O10" s="27">
        <v>-74.712100000000007</v>
      </c>
      <c r="P10" s="27">
        <v>-199.56219999999999</v>
      </c>
      <c r="Q10" s="27">
        <v>-439.42090000000002</v>
      </c>
      <c r="R10" s="27">
        <v>-819.62729999999999</v>
      </c>
      <c r="S10" s="27" t="s">
        <v>200</v>
      </c>
      <c r="T10" s="27">
        <v>-2187.6266999999998</v>
      </c>
      <c r="U10" s="27" t="s">
        <v>200</v>
      </c>
      <c r="V10" s="27">
        <v>-4917.9883</v>
      </c>
      <c r="W10" s="27" t="s">
        <v>200</v>
      </c>
      <c r="X10" s="27">
        <v>-9286.9694</v>
      </c>
      <c r="Y10" s="27" t="s">
        <v>200</v>
      </c>
      <c r="Z10" s="27">
        <v>-12858.4234</v>
      </c>
    </row>
    <row r="11" spans="1:26">
      <c r="A11" s="27" t="s">
        <v>203</v>
      </c>
      <c r="B11" s="27" t="s">
        <v>249</v>
      </c>
      <c r="C11" s="27" t="s">
        <v>198</v>
      </c>
      <c r="D11" s="27" t="s">
        <v>1155</v>
      </c>
      <c r="E11" s="27" t="s">
        <v>75</v>
      </c>
      <c r="F11" s="27" t="s">
        <v>200</v>
      </c>
      <c r="G11" s="27">
        <v>0</v>
      </c>
      <c r="H11" s="27">
        <v>0</v>
      </c>
      <c r="I11" s="27">
        <v>0</v>
      </c>
      <c r="J11" s="27">
        <v>0</v>
      </c>
      <c r="K11" s="27">
        <v>0</v>
      </c>
      <c r="L11" s="27">
        <v>-0.1273</v>
      </c>
      <c r="M11" s="27">
        <v>-3.1076000000000001</v>
      </c>
      <c r="N11" s="27">
        <v>-14.3147</v>
      </c>
      <c r="O11" s="27">
        <v>-43.348799999999997</v>
      </c>
      <c r="P11" s="27">
        <v>-51.231000000000002</v>
      </c>
      <c r="Q11" s="27">
        <v>-48.032699999999998</v>
      </c>
      <c r="R11" s="27">
        <v>-36.544199999999996</v>
      </c>
      <c r="S11" s="27" t="s">
        <v>200</v>
      </c>
      <c r="T11" s="27">
        <v>-5.6208999999999998</v>
      </c>
      <c r="U11" s="27" t="s">
        <v>200</v>
      </c>
      <c r="V11" s="27">
        <v>-7.0469999999999997</v>
      </c>
      <c r="W11" s="27" t="s">
        <v>200</v>
      </c>
      <c r="X11" s="27">
        <v>-29.659099999999999</v>
      </c>
      <c r="Y11" s="27" t="s">
        <v>200</v>
      </c>
      <c r="Z11" s="27">
        <v>-21.391200000000001</v>
      </c>
    </row>
    <row r="12" spans="1:26">
      <c r="A12" s="27" t="s">
        <v>196</v>
      </c>
      <c r="B12" s="27" t="s">
        <v>250</v>
      </c>
      <c r="C12" s="27" t="s">
        <v>198</v>
      </c>
      <c r="D12" s="27" t="s">
        <v>1155</v>
      </c>
      <c r="E12" s="27" t="s">
        <v>75</v>
      </c>
      <c r="F12" s="27" t="s">
        <v>200</v>
      </c>
      <c r="G12" s="27">
        <v>0</v>
      </c>
      <c r="H12" s="27">
        <v>0</v>
      </c>
      <c r="I12" s="27">
        <v>0</v>
      </c>
      <c r="J12" s="27">
        <v>0</v>
      </c>
      <c r="K12" s="27">
        <v>-3.4398</v>
      </c>
      <c r="L12" s="27">
        <v>-21.278600000000001</v>
      </c>
      <c r="M12" s="27">
        <v>-483.83150000000001</v>
      </c>
      <c r="N12" s="27">
        <v>-2619.6253000000002</v>
      </c>
      <c r="O12" s="27">
        <v>-4171.8343999999997</v>
      </c>
      <c r="P12" s="27">
        <v>-3705.4223000000002</v>
      </c>
      <c r="Q12" s="27">
        <v>-3360.4627</v>
      </c>
      <c r="R12" s="27">
        <v>-2896.9250999999999</v>
      </c>
      <c r="S12" s="27" t="s">
        <v>200</v>
      </c>
      <c r="T12" s="27">
        <v>-2334.7082999999998</v>
      </c>
      <c r="U12" s="27" t="s">
        <v>200</v>
      </c>
      <c r="V12" s="27">
        <v>-2216.9911000000002</v>
      </c>
      <c r="W12" s="27" t="s">
        <v>200</v>
      </c>
      <c r="X12" s="27">
        <v>-2322.6984000000002</v>
      </c>
      <c r="Y12" s="27" t="s">
        <v>200</v>
      </c>
      <c r="Z12" s="27">
        <v>-2371.4627999999998</v>
      </c>
    </row>
    <row r="13" spans="1:26">
      <c r="A13" s="27" t="s">
        <v>203</v>
      </c>
      <c r="B13" s="27" t="s">
        <v>251</v>
      </c>
      <c r="C13" s="27" t="s">
        <v>198</v>
      </c>
      <c r="D13" s="27" t="s">
        <v>1155</v>
      </c>
      <c r="E13" s="27" t="s">
        <v>75</v>
      </c>
      <c r="F13" s="27" t="s">
        <v>200</v>
      </c>
      <c r="G13" s="27">
        <v>0</v>
      </c>
      <c r="H13" s="27">
        <v>0</v>
      </c>
      <c r="I13" s="27">
        <v>0</v>
      </c>
      <c r="J13" s="27">
        <v>0</v>
      </c>
      <c r="K13" s="27">
        <v>-0.56569999999999998</v>
      </c>
      <c r="L13" s="27">
        <v>-11.703799999999999</v>
      </c>
      <c r="M13" s="27">
        <v>-58.380600000000001</v>
      </c>
      <c r="N13" s="27">
        <v>-175.5214</v>
      </c>
      <c r="O13" s="27">
        <v>-472.90809999999999</v>
      </c>
      <c r="P13" s="27">
        <v>-1042.9157</v>
      </c>
      <c r="Q13" s="27">
        <v>-1916.1386</v>
      </c>
      <c r="R13" s="27">
        <v>-2917.4983000000002</v>
      </c>
      <c r="S13" s="27" t="s">
        <v>200</v>
      </c>
      <c r="T13" s="27">
        <v>-4455.1027999999997</v>
      </c>
      <c r="U13" s="27" t="s">
        <v>200</v>
      </c>
      <c r="V13" s="27">
        <v>-5178.8022000000001</v>
      </c>
      <c r="W13" s="27" t="s">
        <v>200</v>
      </c>
      <c r="X13" s="27">
        <v>-6357.9874</v>
      </c>
      <c r="Y13" s="27" t="s">
        <v>200</v>
      </c>
      <c r="Z13" s="27">
        <v>-7294.0487999999996</v>
      </c>
    </row>
    <row r="14" spans="1:26">
      <c r="A14" s="27" t="s">
        <v>205</v>
      </c>
      <c r="B14" s="27" t="s">
        <v>252</v>
      </c>
      <c r="C14" s="27" t="s">
        <v>198</v>
      </c>
      <c r="D14" s="27" t="s">
        <v>1155</v>
      </c>
      <c r="E14" s="27" t="s">
        <v>75</v>
      </c>
      <c r="F14" s="27" t="s">
        <v>200</v>
      </c>
      <c r="G14" s="27">
        <v>0</v>
      </c>
      <c r="H14" s="27">
        <v>0</v>
      </c>
      <c r="I14" s="27">
        <v>0</v>
      </c>
      <c r="J14" s="27">
        <v>0</v>
      </c>
      <c r="K14" s="27">
        <v>0</v>
      </c>
      <c r="L14" s="27">
        <v>0</v>
      </c>
      <c r="M14" s="27">
        <v>0</v>
      </c>
      <c r="N14" s="27">
        <v>0</v>
      </c>
      <c r="O14" s="27">
        <v>0</v>
      </c>
      <c r="P14" s="27">
        <v>0</v>
      </c>
      <c r="Q14" s="27">
        <v>0</v>
      </c>
      <c r="R14" s="27">
        <v>0</v>
      </c>
      <c r="S14" s="27">
        <v>0</v>
      </c>
      <c r="T14" s="27">
        <v>0</v>
      </c>
      <c r="U14" s="27">
        <v>0</v>
      </c>
      <c r="V14" s="27">
        <v>0</v>
      </c>
      <c r="W14" s="27">
        <v>0</v>
      </c>
      <c r="X14" s="27">
        <v>0</v>
      </c>
      <c r="Y14" s="27">
        <v>0</v>
      </c>
      <c r="Z14" s="27">
        <v>0</v>
      </c>
    </row>
    <row r="15" spans="1:26">
      <c r="A15" s="27" t="s">
        <v>205</v>
      </c>
      <c r="B15" s="27" t="s">
        <v>253</v>
      </c>
      <c r="C15" s="27" t="s">
        <v>198</v>
      </c>
      <c r="D15" s="27" t="s">
        <v>1155</v>
      </c>
      <c r="E15" s="27" t="s">
        <v>75</v>
      </c>
      <c r="F15" s="27" t="s">
        <v>200</v>
      </c>
      <c r="G15" s="27">
        <v>0</v>
      </c>
      <c r="H15" s="27">
        <v>0</v>
      </c>
      <c r="I15" s="27">
        <v>0</v>
      </c>
      <c r="J15" s="27">
        <v>0</v>
      </c>
      <c r="K15" s="27">
        <v>0</v>
      </c>
      <c r="L15" s="27">
        <v>0</v>
      </c>
      <c r="M15" s="27">
        <v>0</v>
      </c>
      <c r="N15" s="27">
        <v>0</v>
      </c>
      <c r="O15" s="27">
        <v>0</v>
      </c>
      <c r="P15" s="27">
        <v>0</v>
      </c>
      <c r="Q15" s="27">
        <v>0</v>
      </c>
      <c r="R15" s="27">
        <v>0</v>
      </c>
      <c r="S15" s="27">
        <v>0</v>
      </c>
      <c r="T15" s="27">
        <v>0</v>
      </c>
      <c r="U15" s="27">
        <v>0</v>
      </c>
      <c r="V15" s="27">
        <v>0</v>
      </c>
      <c r="W15" s="27">
        <v>0</v>
      </c>
      <c r="X15" s="27">
        <v>0</v>
      </c>
      <c r="Y15" s="27">
        <v>0</v>
      </c>
      <c r="Z15" s="27">
        <v>0</v>
      </c>
    </row>
    <row r="16" spans="1:26">
      <c r="A16" s="27" t="s">
        <v>196</v>
      </c>
      <c r="B16" s="27" t="s">
        <v>258</v>
      </c>
      <c r="C16" s="27" t="s">
        <v>198</v>
      </c>
      <c r="D16" s="27" t="s">
        <v>1155</v>
      </c>
      <c r="E16" s="27" t="s">
        <v>75</v>
      </c>
      <c r="F16" s="27" t="s">
        <v>200</v>
      </c>
      <c r="G16" s="27">
        <v>0</v>
      </c>
      <c r="H16" s="27">
        <v>0</v>
      </c>
      <c r="I16" s="27">
        <v>0</v>
      </c>
      <c r="J16" s="27">
        <v>0</v>
      </c>
      <c r="K16" s="27">
        <v>0</v>
      </c>
      <c r="L16" s="27">
        <v>0</v>
      </c>
      <c r="M16" s="27">
        <v>0</v>
      </c>
      <c r="N16" s="27">
        <v>0</v>
      </c>
      <c r="O16" s="27">
        <v>0</v>
      </c>
      <c r="P16" s="27">
        <v>-9.7199999999999995E-2</v>
      </c>
      <c r="Q16" s="27">
        <v>-1.0409999999999999</v>
      </c>
      <c r="R16" s="27">
        <v>-4.1997999999999998</v>
      </c>
      <c r="S16" s="27" t="s">
        <v>200</v>
      </c>
      <c r="T16" s="27">
        <v>-29.770800000000001</v>
      </c>
      <c r="U16" s="27" t="s">
        <v>200</v>
      </c>
      <c r="V16" s="27">
        <v>-155.50319999999999</v>
      </c>
      <c r="W16" s="27" t="s">
        <v>200</v>
      </c>
      <c r="X16" s="27">
        <v>-653.91179999999997</v>
      </c>
      <c r="Y16" s="27" t="s">
        <v>200</v>
      </c>
      <c r="Z16" s="27">
        <v>-1965.1623</v>
      </c>
    </row>
    <row r="17" spans="1:26">
      <c r="A17" s="27" t="s">
        <v>218</v>
      </c>
      <c r="B17" s="27" t="s">
        <v>263</v>
      </c>
      <c r="C17" s="27" t="s">
        <v>198</v>
      </c>
      <c r="D17" s="27" t="s">
        <v>1155</v>
      </c>
      <c r="E17" s="27" t="s">
        <v>75</v>
      </c>
      <c r="F17" s="27" t="s">
        <v>200</v>
      </c>
      <c r="G17" s="27">
        <v>0</v>
      </c>
      <c r="H17" s="27">
        <v>0</v>
      </c>
      <c r="I17" s="27">
        <v>0</v>
      </c>
      <c r="J17" s="27">
        <v>0</v>
      </c>
      <c r="K17" s="27">
        <v>-2.3797999999999999</v>
      </c>
      <c r="L17" s="27">
        <v>-10.1814</v>
      </c>
      <c r="M17" s="27">
        <v>-42.4803</v>
      </c>
      <c r="N17" s="27">
        <v>-168.2379</v>
      </c>
      <c r="O17" s="27">
        <v>-526.55650000000003</v>
      </c>
      <c r="P17" s="27">
        <v>-1414.5540000000001</v>
      </c>
      <c r="Q17" s="27">
        <v>-2764.4390000000012</v>
      </c>
      <c r="R17" s="27">
        <v>-4283.7380000000003</v>
      </c>
      <c r="S17" s="27" t="s">
        <v>200</v>
      </c>
      <c r="T17" s="27">
        <v>-6736.2830000000004</v>
      </c>
      <c r="U17" s="27" t="s">
        <v>200</v>
      </c>
      <c r="V17" s="27">
        <v>-8393.5659999999989</v>
      </c>
      <c r="W17" s="27" t="s">
        <v>200</v>
      </c>
      <c r="X17" s="27">
        <v>-9934.3919999999998</v>
      </c>
      <c r="Y17" s="27" t="s">
        <v>200</v>
      </c>
      <c r="Z17" s="27">
        <v>-10779.25</v>
      </c>
    </row>
    <row r="18" spans="1:26">
      <c r="A18" s="27" t="s">
        <v>196</v>
      </c>
      <c r="B18" s="27" t="s">
        <v>264</v>
      </c>
      <c r="C18" s="27" t="s">
        <v>198</v>
      </c>
      <c r="D18" s="27" t="s">
        <v>1155</v>
      </c>
      <c r="E18" s="27" t="s">
        <v>75</v>
      </c>
      <c r="F18" s="27" t="s">
        <v>200</v>
      </c>
      <c r="G18" s="27">
        <v>0</v>
      </c>
      <c r="H18" s="27">
        <v>0</v>
      </c>
      <c r="I18" s="27">
        <v>0</v>
      </c>
      <c r="J18" s="27">
        <v>0</v>
      </c>
      <c r="K18" s="27">
        <v>-2.7885</v>
      </c>
      <c r="L18" s="27">
        <v>-4.8348000000000004</v>
      </c>
      <c r="M18" s="27">
        <v>-246.22800000000001</v>
      </c>
      <c r="N18" s="27">
        <v>-1691.0515</v>
      </c>
      <c r="O18" s="27">
        <v>-3660.6219999999998</v>
      </c>
      <c r="P18" s="27">
        <v>-3003.15</v>
      </c>
      <c r="Q18" s="27">
        <v>-2576.3238000000001</v>
      </c>
      <c r="R18" s="27">
        <v>-2094.2995999999998</v>
      </c>
      <c r="S18" s="27" t="s">
        <v>200</v>
      </c>
      <c r="T18" s="27">
        <v>-1399.3397</v>
      </c>
      <c r="U18" s="27" t="s">
        <v>200</v>
      </c>
      <c r="V18" s="27">
        <v>-975.61509999999998</v>
      </c>
      <c r="W18" s="27" t="s">
        <v>200</v>
      </c>
      <c r="X18" s="27">
        <v>-763.66369999999995</v>
      </c>
      <c r="Y18" s="27" t="s">
        <v>200</v>
      </c>
      <c r="Z18" s="27">
        <v>-447.18740000000003</v>
      </c>
    </row>
    <row r="19" spans="1:26">
      <c r="A19" s="27" t="s">
        <v>218</v>
      </c>
      <c r="B19" s="27" t="s">
        <v>265</v>
      </c>
      <c r="C19" s="27" t="s">
        <v>198</v>
      </c>
      <c r="D19" s="27" t="s">
        <v>1155</v>
      </c>
      <c r="E19" s="27" t="s">
        <v>75</v>
      </c>
      <c r="F19" s="27" t="s">
        <v>200</v>
      </c>
      <c r="G19" s="27">
        <v>0</v>
      </c>
      <c r="H19" s="27">
        <v>0</v>
      </c>
      <c r="I19" s="27">
        <v>0</v>
      </c>
      <c r="J19" s="27">
        <v>0</v>
      </c>
      <c r="K19" s="27">
        <v>0</v>
      </c>
      <c r="L19" s="27">
        <v>0</v>
      </c>
      <c r="M19" s="27">
        <v>0</v>
      </c>
      <c r="N19" s="27">
        <v>0</v>
      </c>
      <c r="O19" s="27">
        <v>0</v>
      </c>
      <c r="P19" s="27">
        <v>0</v>
      </c>
      <c r="Q19" s="27">
        <v>0</v>
      </c>
      <c r="R19" s="27">
        <v>0</v>
      </c>
      <c r="S19" s="27" t="s">
        <v>200</v>
      </c>
      <c r="T19" s="27">
        <v>0</v>
      </c>
      <c r="U19" s="27" t="s">
        <v>200</v>
      </c>
      <c r="V19" s="27">
        <v>0</v>
      </c>
      <c r="W19" s="27" t="s">
        <v>200</v>
      </c>
      <c r="X19" s="27">
        <v>0</v>
      </c>
      <c r="Y19" s="27" t="s">
        <v>200</v>
      </c>
      <c r="Z19" s="27">
        <v>0</v>
      </c>
    </row>
    <row r="20" spans="1:26">
      <c r="A20" s="27" t="s">
        <v>196</v>
      </c>
      <c r="B20" s="27" t="s">
        <v>268</v>
      </c>
      <c r="C20" s="27" t="s">
        <v>198</v>
      </c>
      <c r="D20" s="27" t="s">
        <v>1155</v>
      </c>
      <c r="E20" s="27" t="s">
        <v>75</v>
      </c>
      <c r="F20" s="27" t="s">
        <v>200</v>
      </c>
      <c r="G20" s="27">
        <v>0</v>
      </c>
      <c r="H20" s="27">
        <v>0</v>
      </c>
      <c r="I20" s="27">
        <v>0</v>
      </c>
      <c r="J20" s="27">
        <v>0</v>
      </c>
      <c r="K20" s="27">
        <v>-0.1105</v>
      </c>
      <c r="L20" s="27">
        <v>-4.2670000000000003</v>
      </c>
      <c r="M20" s="27">
        <v>-28.571400000000001</v>
      </c>
      <c r="N20" s="27">
        <v>-105.10639999999999</v>
      </c>
      <c r="O20" s="27">
        <v>-258.49950000000001</v>
      </c>
      <c r="P20" s="27">
        <v>-594.86630000000002</v>
      </c>
      <c r="Q20" s="27">
        <v>-1155.8998999999999</v>
      </c>
      <c r="R20" s="27">
        <v>-1962.84</v>
      </c>
      <c r="S20" s="27" t="s">
        <v>200</v>
      </c>
      <c r="T20" s="27">
        <v>-4712.9340000000002</v>
      </c>
      <c r="U20" s="27" t="s">
        <v>200</v>
      </c>
      <c r="V20" s="27">
        <v>-8886.0782999999992</v>
      </c>
      <c r="W20" s="27" t="s">
        <v>200</v>
      </c>
      <c r="X20" s="27">
        <v>-12576.8179</v>
      </c>
      <c r="Y20" s="27" t="s">
        <v>200</v>
      </c>
      <c r="Z20" s="27">
        <v>-13839.9377</v>
      </c>
    </row>
    <row r="21" spans="1:26">
      <c r="A21" s="27" t="s">
        <v>222</v>
      </c>
      <c r="B21" s="27" t="s">
        <v>269</v>
      </c>
      <c r="C21" s="27" t="s">
        <v>198</v>
      </c>
      <c r="D21" s="27" t="s">
        <v>1155</v>
      </c>
      <c r="E21" s="27" t="s">
        <v>75</v>
      </c>
      <c r="F21" s="27" t="s">
        <v>200</v>
      </c>
      <c r="G21" s="27">
        <v>0</v>
      </c>
      <c r="H21" s="27">
        <v>0</v>
      </c>
      <c r="I21" s="27">
        <v>0</v>
      </c>
      <c r="J21" s="27">
        <v>0</v>
      </c>
      <c r="K21" s="27">
        <v>0</v>
      </c>
      <c r="L21" s="27">
        <v>-1.9419999999999999</v>
      </c>
      <c r="M21" s="27">
        <v>-0.55649999999999999</v>
      </c>
      <c r="N21" s="27">
        <v>-0.47199999999999998</v>
      </c>
      <c r="O21" s="27">
        <v>-0.26390000000000002</v>
      </c>
      <c r="P21" s="27">
        <v>0</v>
      </c>
      <c r="Q21" s="27">
        <v>0</v>
      </c>
      <c r="R21" s="27">
        <v>0</v>
      </c>
      <c r="S21" s="27" t="s">
        <v>200</v>
      </c>
      <c r="T21" s="27">
        <v>-0.70750000000000002</v>
      </c>
      <c r="U21" s="27" t="s">
        <v>200</v>
      </c>
      <c r="V21" s="27">
        <v>-7.5077999999999996</v>
      </c>
      <c r="W21" s="27" t="s">
        <v>200</v>
      </c>
      <c r="X21" s="27">
        <v>-32.778300000000002</v>
      </c>
      <c r="Y21" s="27" t="s">
        <v>200</v>
      </c>
      <c r="Z21" s="27">
        <v>-104.1969</v>
      </c>
    </row>
    <row r="22" spans="1:26">
      <c r="A22" s="27" t="s">
        <v>196</v>
      </c>
      <c r="B22" s="27" t="s">
        <v>275</v>
      </c>
      <c r="C22" s="27" t="s">
        <v>198</v>
      </c>
      <c r="D22" s="27" t="s">
        <v>1155</v>
      </c>
      <c r="E22" s="27" t="s">
        <v>75</v>
      </c>
      <c r="F22" s="27" t="s">
        <v>200</v>
      </c>
      <c r="G22" s="27">
        <v>0</v>
      </c>
      <c r="H22" s="27">
        <v>0</v>
      </c>
      <c r="I22" s="27">
        <v>0</v>
      </c>
      <c r="J22" s="27">
        <v>0</v>
      </c>
      <c r="K22" s="27">
        <v>-0.1769</v>
      </c>
      <c r="L22" s="27">
        <v>-2.1981000000000002</v>
      </c>
      <c r="M22" s="27">
        <v>-13.9338</v>
      </c>
      <c r="N22" s="27">
        <v>-36.284700000000001</v>
      </c>
      <c r="O22" s="27">
        <v>-84.347999999999999</v>
      </c>
      <c r="P22" s="27">
        <v>-155.66409999999999</v>
      </c>
      <c r="Q22" s="27">
        <v>-203.40819999999999</v>
      </c>
      <c r="R22" s="27">
        <v>-239.84350000000001</v>
      </c>
      <c r="S22" s="27" t="s">
        <v>200</v>
      </c>
      <c r="T22" s="27">
        <v>-261.54000000000002</v>
      </c>
      <c r="U22" s="27" t="s">
        <v>200</v>
      </c>
      <c r="V22" s="27">
        <v>-384.14569999999998</v>
      </c>
      <c r="W22" s="27" t="s">
        <v>200</v>
      </c>
      <c r="X22" s="27">
        <v>-869.90899999999999</v>
      </c>
      <c r="Y22" s="27" t="s">
        <v>200</v>
      </c>
      <c r="Z22" s="27">
        <v>-1906.4870000000001</v>
      </c>
    </row>
    <row r="23" spans="1:26">
      <c r="A23" s="27" t="s">
        <v>203</v>
      </c>
      <c r="B23" s="27" t="s">
        <v>277</v>
      </c>
      <c r="C23" s="27" t="s">
        <v>198</v>
      </c>
      <c r="D23" s="27" t="s">
        <v>1155</v>
      </c>
      <c r="E23" s="27" t="s">
        <v>75</v>
      </c>
      <c r="F23" s="27" t="s">
        <v>200</v>
      </c>
      <c r="G23" s="27">
        <v>0</v>
      </c>
      <c r="H23" s="27">
        <v>0</v>
      </c>
      <c r="I23" s="27">
        <v>0</v>
      </c>
      <c r="J23" s="27">
        <v>0</v>
      </c>
      <c r="K23" s="27">
        <v>-0.93840000000000001</v>
      </c>
      <c r="L23" s="27">
        <v>-22.808299999999999</v>
      </c>
      <c r="M23" s="27">
        <v>-100.7757</v>
      </c>
      <c r="N23" s="27">
        <v>-337.41879999999998</v>
      </c>
      <c r="O23" s="27">
        <v>-917.05619999999999</v>
      </c>
      <c r="P23" s="27">
        <v>-1970.3259</v>
      </c>
      <c r="Q23" s="27">
        <v>-3257.8874999999998</v>
      </c>
      <c r="R23" s="27">
        <v>-4298.6108999999997</v>
      </c>
      <c r="S23" s="27" t="s">
        <v>200</v>
      </c>
      <c r="T23" s="27">
        <v>-5228.3320999999996</v>
      </c>
      <c r="U23" s="27" t="s">
        <v>200</v>
      </c>
      <c r="V23" s="27">
        <v>-5940.1031999999996</v>
      </c>
      <c r="W23" s="27" t="s">
        <v>200</v>
      </c>
      <c r="X23" s="27">
        <v>-7108.5195999999996</v>
      </c>
      <c r="Y23" s="27" t="s">
        <v>200</v>
      </c>
      <c r="Z23" s="27">
        <v>-7552.2942999999996</v>
      </c>
    </row>
    <row r="24" spans="1:26">
      <c r="A24" s="27" t="s">
        <v>203</v>
      </c>
      <c r="B24" s="27" t="s">
        <v>278</v>
      </c>
      <c r="C24" s="27" t="s">
        <v>198</v>
      </c>
      <c r="D24" s="27" t="s">
        <v>1155</v>
      </c>
      <c r="E24" s="27" t="s">
        <v>75</v>
      </c>
      <c r="F24" s="27" t="s">
        <v>200</v>
      </c>
      <c r="G24" s="27">
        <v>0</v>
      </c>
      <c r="H24" s="27">
        <v>0</v>
      </c>
      <c r="I24" s="27">
        <v>0</v>
      </c>
      <c r="J24" s="27">
        <v>0</v>
      </c>
      <c r="K24" s="27">
        <v>-2.4769000000000001</v>
      </c>
      <c r="L24" s="27">
        <v>-48.8964</v>
      </c>
      <c r="M24" s="27">
        <v>-230.60810000000001</v>
      </c>
      <c r="N24" s="27">
        <v>-570.57500000000005</v>
      </c>
      <c r="O24" s="27">
        <v>-1218.1962000000001</v>
      </c>
      <c r="P24" s="27">
        <v>-1963.6902</v>
      </c>
      <c r="Q24" s="27">
        <v>-2806.2467000000001</v>
      </c>
      <c r="R24" s="27">
        <v>-3589.8987000000002</v>
      </c>
      <c r="S24" s="27" t="s">
        <v>200</v>
      </c>
      <c r="T24" s="27">
        <v>-4924.5487000000003</v>
      </c>
      <c r="U24" s="27" t="s">
        <v>200</v>
      </c>
      <c r="V24" s="27">
        <v>-5922.6144000000004</v>
      </c>
      <c r="W24" s="27" t="s">
        <v>200</v>
      </c>
      <c r="X24" s="27">
        <v>-6578.9179999999997</v>
      </c>
      <c r="Y24" s="27" t="s">
        <v>200</v>
      </c>
      <c r="Z24" s="27">
        <v>-6469.0995000000003</v>
      </c>
    </row>
    <row r="25" spans="1:26">
      <c r="A25" s="27" t="s">
        <v>196</v>
      </c>
      <c r="B25" s="27" t="s">
        <v>279</v>
      </c>
      <c r="C25" s="27" t="s">
        <v>198</v>
      </c>
      <c r="D25" s="27" t="s">
        <v>1155</v>
      </c>
      <c r="E25" s="27" t="s">
        <v>75</v>
      </c>
      <c r="F25" s="27" t="s">
        <v>200</v>
      </c>
      <c r="G25" s="27">
        <v>0</v>
      </c>
      <c r="H25" s="27">
        <v>0</v>
      </c>
      <c r="I25" s="27">
        <v>0</v>
      </c>
      <c r="J25" s="27">
        <v>0</v>
      </c>
      <c r="K25" s="27">
        <v>0</v>
      </c>
      <c r="L25" s="27">
        <v>0</v>
      </c>
      <c r="M25" s="27">
        <v>-0.1739</v>
      </c>
      <c r="N25" s="27">
        <v>-2.8973</v>
      </c>
      <c r="O25" s="27">
        <v>-2.2189000000000001</v>
      </c>
      <c r="P25" s="27">
        <v>-4.9676999999999998</v>
      </c>
      <c r="Q25" s="27">
        <v>-7.2973999999999997</v>
      </c>
      <c r="R25" s="27">
        <v>-12.790800000000001</v>
      </c>
      <c r="S25" s="27" t="s">
        <v>200</v>
      </c>
      <c r="T25" s="27">
        <v>-42.837600000000002</v>
      </c>
      <c r="U25" s="27" t="s">
        <v>200</v>
      </c>
      <c r="V25" s="27">
        <v>-127.2213</v>
      </c>
      <c r="W25" s="27" t="s">
        <v>200</v>
      </c>
      <c r="X25" s="27">
        <v>-330.36559999999997</v>
      </c>
      <c r="Y25" s="27" t="s">
        <v>200</v>
      </c>
      <c r="Z25" s="27">
        <v>-658.1386</v>
      </c>
    </row>
    <row r="26" spans="1:26">
      <c r="A26" s="27" t="s">
        <v>203</v>
      </c>
      <c r="B26" s="27" t="s">
        <v>281</v>
      </c>
      <c r="C26" s="27" t="s">
        <v>198</v>
      </c>
      <c r="D26" s="27" t="s">
        <v>1155</v>
      </c>
      <c r="E26" s="27" t="s">
        <v>75</v>
      </c>
      <c r="F26" s="27" t="s">
        <v>200</v>
      </c>
      <c r="G26" s="27">
        <v>0</v>
      </c>
      <c r="H26" s="27">
        <v>0</v>
      </c>
      <c r="I26" s="27">
        <v>0</v>
      </c>
      <c r="J26" s="27">
        <v>0</v>
      </c>
      <c r="K26" s="27">
        <v>-0.2165</v>
      </c>
      <c r="L26" s="27">
        <v>-2.8159999999999998</v>
      </c>
      <c r="M26" s="27">
        <v>-16.073799999999999</v>
      </c>
      <c r="N26" s="27">
        <v>-40.9925</v>
      </c>
      <c r="O26" s="27">
        <v>-92.702299999999994</v>
      </c>
      <c r="P26" s="27">
        <v>-163.0222</v>
      </c>
      <c r="Q26" s="27">
        <v>-219.02860000000001</v>
      </c>
      <c r="R26" s="27">
        <v>-261.46089999999998</v>
      </c>
      <c r="S26" s="27" t="s">
        <v>200</v>
      </c>
      <c r="T26" s="27">
        <v>-319.67070000000001</v>
      </c>
      <c r="U26" s="27" t="s">
        <v>200</v>
      </c>
      <c r="V26" s="27">
        <v>-515.00289999999995</v>
      </c>
      <c r="W26" s="27" t="s">
        <v>200</v>
      </c>
      <c r="X26" s="27">
        <v>-1080.2855</v>
      </c>
      <c r="Y26" s="27" t="s">
        <v>200</v>
      </c>
      <c r="Z26" s="27">
        <v>-2147.5165000000002</v>
      </c>
    </row>
    <row r="27" spans="1:26">
      <c r="A27" s="27" t="s">
        <v>203</v>
      </c>
      <c r="B27" s="27" t="s">
        <v>284</v>
      </c>
      <c r="C27" s="27" t="s">
        <v>198</v>
      </c>
      <c r="D27" s="27" t="s">
        <v>1155</v>
      </c>
      <c r="E27" s="27" t="s">
        <v>75</v>
      </c>
      <c r="F27" s="27" t="s">
        <v>200</v>
      </c>
      <c r="G27" s="27">
        <v>0</v>
      </c>
      <c r="H27" s="27">
        <v>0</v>
      </c>
      <c r="I27" s="27">
        <v>0</v>
      </c>
      <c r="J27" s="27">
        <v>0</v>
      </c>
      <c r="K27" s="27">
        <v>0</v>
      </c>
      <c r="L27" s="27">
        <v>0</v>
      </c>
      <c r="M27" s="27">
        <v>-0.14580000000000001</v>
      </c>
      <c r="N27" s="27">
        <v>-3.2509000000000001</v>
      </c>
      <c r="O27" s="27">
        <v>-3.7658999999999998</v>
      </c>
      <c r="P27" s="27">
        <v>-10.101800000000001</v>
      </c>
      <c r="Q27" s="27">
        <v>-17.352599999999999</v>
      </c>
      <c r="R27" s="27">
        <v>-30.688400000000001</v>
      </c>
      <c r="S27" s="27" t="s">
        <v>200</v>
      </c>
      <c r="T27" s="27">
        <v>-85.164299999999997</v>
      </c>
      <c r="U27" s="27" t="s">
        <v>200</v>
      </c>
      <c r="V27" s="27">
        <v>-209.20419999999999</v>
      </c>
      <c r="W27" s="27" t="s">
        <v>200</v>
      </c>
      <c r="X27" s="27">
        <v>-473.79169999999999</v>
      </c>
      <c r="Y27" s="27" t="s">
        <v>200</v>
      </c>
      <c r="Z27" s="27">
        <v>-890.83159999999998</v>
      </c>
    </row>
    <row r="28" spans="1:26">
      <c r="A28" s="27" t="s">
        <v>203</v>
      </c>
      <c r="B28" s="27" t="s">
        <v>285</v>
      </c>
      <c r="C28" s="27" t="s">
        <v>198</v>
      </c>
      <c r="D28" s="27" t="s">
        <v>1155</v>
      </c>
      <c r="E28" s="27" t="s">
        <v>75</v>
      </c>
      <c r="F28" s="27" t="s">
        <v>200</v>
      </c>
      <c r="G28" s="27">
        <v>0</v>
      </c>
      <c r="H28" s="27">
        <v>0</v>
      </c>
      <c r="I28" s="27">
        <v>0</v>
      </c>
      <c r="J28" s="27">
        <v>0</v>
      </c>
      <c r="K28" s="27">
        <v>0</v>
      </c>
      <c r="L28" s="27">
        <v>0</v>
      </c>
      <c r="M28" s="27">
        <v>0</v>
      </c>
      <c r="N28" s="27">
        <v>0</v>
      </c>
      <c r="O28" s="27">
        <v>0</v>
      </c>
      <c r="P28" s="27">
        <v>0</v>
      </c>
      <c r="Q28" s="27">
        <v>0</v>
      </c>
      <c r="R28" s="27">
        <v>0</v>
      </c>
      <c r="S28" s="27" t="s">
        <v>200</v>
      </c>
      <c r="T28" s="27">
        <v>-2.8060999999999998</v>
      </c>
      <c r="U28" s="27" t="s">
        <v>200</v>
      </c>
      <c r="V28" s="27">
        <v>-27.398</v>
      </c>
      <c r="W28" s="27" t="s">
        <v>200</v>
      </c>
      <c r="X28" s="27">
        <v>-124.4365</v>
      </c>
      <c r="Y28" s="27" t="s">
        <v>200</v>
      </c>
      <c r="Z28" s="27">
        <v>-353.51589999999999</v>
      </c>
    </row>
    <row r="29" spans="1:26">
      <c r="A29" s="27" t="s">
        <v>196</v>
      </c>
      <c r="B29" s="27" t="s">
        <v>286</v>
      </c>
      <c r="C29" s="27" t="s">
        <v>198</v>
      </c>
      <c r="D29" s="27" t="s">
        <v>1155</v>
      </c>
      <c r="E29" s="27" t="s">
        <v>75</v>
      </c>
      <c r="F29" s="27" t="s">
        <v>200</v>
      </c>
      <c r="G29" s="27">
        <v>0</v>
      </c>
      <c r="H29" s="27">
        <v>0</v>
      </c>
      <c r="I29" s="27">
        <v>0</v>
      </c>
      <c r="J29" s="27">
        <v>0</v>
      </c>
      <c r="K29" s="27">
        <v>-10.667</v>
      </c>
      <c r="L29" s="27">
        <v>-223.71019999999999</v>
      </c>
      <c r="M29" s="27">
        <v>-1257.6792</v>
      </c>
      <c r="N29" s="27">
        <v>-1637.8828000000001</v>
      </c>
      <c r="O29" s="27">
        <v>-2221.0916000000002</v>
      </c>
      <c r="P29" s="27">
        <v>-2213.3478</v>
      </c>
      <c r="Q29" s="27">
        <v>-1950.0078000000001</v>
      </c>
      <c r="R29" s="27">
        <v>-1494.0561</v>
      </c>
      <c r="S29" s="27" t="s">
        <v>200</v>
      </c>
      <c r="T29" s="27">
        <v>-1034.9920999999999</v>
      </c>
      <c r="U29" s="27" t="s">
        <v>200</v>
      </c>
      <c r="V29" s="27">
        <v>-935.81690000000003</v>
      </c>
      <c r="W29" s="27" t="s">
        <v>200</v>
      </c>
      <c r="X29" s="27">
        <v>-979.22699999999998</v>
      </c>
      <c r="Y29" s="27" t="s">
        <v>200</v>
      </c>
      <c r="Z29" s="27">
        <v>-1022.5121</v>
      </c>
    </row>
    <row r="30" spans="1:26">
      <c r="A30" s="27" t="s">
        <v>196</v>
      </c>
      <c r="B30" s="27" t="s">
        <v>267</v>
      </c>
      <c r="C30" s="27" t="s">
        <v>198</v>
      </c>
      <c r="D30" s="27" t="s">
        <v>1155</v>
      </c>
      <c r="E30" s="27" t="s">
        <v>75</v>
      </c>
      <c r="F30" s="27" t="s">
        <v>200</v>
      </c>
      <c r="G30" s="27">
        <v>0</v>
      </c>
      <c r="H30" s="27">
        <v>0</v>
      </c>
      <c r="I30" s="27">
        <v>0</v>
      </c>
      <c r="J30" s="27">
        <v>0</v>
      </c>
      <c r="K30" s="27">
        <v>-1.3625</v>
      </c>
      <c r="L30" s="27">
        <v>-32.647399999999998</v>
      </c>
      <c r="M30" s="27">
        <v>-179.20339999999999</v>
      </c>
      <c r="N30" s="27">
        <v>-375.07459999999998</v>
      </c>
      <c r="O30" s="27">
        <v>-726.13729999999998</v>
      </c>
      <c r="P30" s="27">
        <v>-994.02800000000002</v>
      </c>
      <c r="Q30" s="27">
        <v>-1116.2032999999999</v>
      </c>
      <c r="R30" s="27">
        <v>-1085.7607</v>
      </c>
      <c r="S30" s="27" t="s">
        <v>200</v>
      </c>
      <c r="T30" s="27">
        <v>-879.97550000000001</v>
      </c>
      <c r="U30" s="27" t="s">
        <v>200</v>
      </c>
      <c r="V30" s="27">
        <v>-865.58810000000005</v>
      </c>
      <c r="W30" s="27" t="s">
        <v>200</v>
      </c>
      <c r="X30" s="27">
        <v>-934.01589999999999</v>
      </c>
      <c r="Y30" s="27" t="s">
        <v>200</v>
      </c>
      <c r="Z30" s="27">
        <v>-944.75789999999995</v>
      </c>
    </row>
    <row r="31" spans="1:26">
      <c r="A31" s="27" t="s">
        <v>196</v>
      </c>
      <c r="B31" s="27" t="s">
        <v>289</v>
      </c>
      <c r="C31" s="27" t="s">
        <v>198</v>
      </c>
      <c r="D31" s="27" t="s">
        <v>1155</v>
      </c>
      <c r="E31" s="27" t="s">
        <v>75</v>
      </c>
      <c r="F31" s="27" t="s">
        <v>200</v>
      </c>
      <c r="G31" s="27">
        <v>0</v>
      </c>
      <c r="H31" s="27">
        <v>0</v>
      </c>
      <c r="I31" s="27">
        <v>0</v>
      </c>
      <c r="J31" s="27">
        <v>0</v>
      </c>
      <c r="K31" s="27">
        <v>0</v>
      </c>
      <c r="L31" s="27">
        <v>0</v>
      </c>
      <c r="M31" s="27">
        <v>0</v>
      </c>
      <c r="N31" s="27">
        <v>0</v>
      </c>
      <c r="O31" s="27">
        <v>0</v>
      </c>
      <c r="P31" s="27">
        <v>0</v>
      </c>
      <c r="Q31" s="27">
        <v>0</v>
      </c>
      <c r="R31" s="27">
        <v>0</v>
      </c>
      <c r="S31" s="27" t="s">
        <v>200</v>
      </c>
      <c r="T31" s="27">
        <v>0</v>
      </c>
      <c r="U31" s="27" t="s">
        <v>200</v>
      </c>
      <c r="V31" s="27">
        <v>0</v>
      </c>
      <c r="W31" s="27" t="s">
        <v>200</v>
      </c>
      <c r="X31" s="27">
        <v>0</v>
      </c>
      <c r="Y31" s="27" t="s">
        <v>200</v>
      </c>
      <c r="Z31" s="27">
        <v>0</v>
      </c>
    </row>
    <row r="32" spans="1:26">
      <c r="A32" s="27" t="s">
        <v>211</v>
      </c>
      <c r="B32" s="27" t="s">
        <v>290</v>
      </c>
      <c r="C32" s="27" t="s">
        <v>198</v>
      </c>
      <c r="D32" s="27" t="s">
        <v>1155</v>
      </c>
      <c r="E32" s="27" t="s">
        <v>75</v>
      </c>
      <c r="F32" s="27">
        <v>0</v>
      </c>
      <c r="G32" s="27">
        <v>3.6379788070917089E-12</v>
      </c>
      <c r="H32" s="27">
        <v>0</v>
      </c>
      <c r="I32" s="27" t="s">
        <v>200</v>
      </c>
      <c r="J32" s="27">
        <v>0</v>
      </c>
      <c r="K32" s="27" t="s">
        <v>200</v>
      </c>
      <c r="L32" s="27">
        <v>-1.8332002582610601E-12</v>
      </c>
      <c r="M32" s="27" t="s">
        <v>200</v>
      </c>
      <c r="N32" s="27">
        <v>0</v>
      </c>
      <c r="O32" s="27" t="s">
        <v>200</v>
      </c>
      <c r="P32" s="27">
        <v>2.2737367544323211E-13</v>
      </c>
      <c r="Q32" s="27" t="s">
        <v>200</v>
      </c>
      <c r="R32" s="27">
        <v>0</v>
      </c>
      <c r="S32" s="27" t="s">
        <v>200</v>
      </c>
      <c r="T32" s="27">
        <v>9.0949470177292804E-13</v>
      </c>
      <c r="U32" s="27" t="s">
        <v>200</v>
      </c>
      <c r="V32" s="27">
        <v>-1.8189894035458601E-12</v>
      </c>
      <c r="W32" s="27" t="s">
        <v>200</v>
      </c>
      <c r="X32" s="27">
        <v>0</v>
      </c>
      <c r="Y32" s="27" t="s">
        <v>200</v>
      </c>
      <c r="Z32" s="27">
        <v>0</v>
      </c>
    </row>
    <row r="33" spans="1:26">
      <c r="A33" s="27" t="s">
        <v>226</v>
      </c>
      <c r="B33" s="27" t="s">
        <v>291</v>
      </c>
      <c r="C33" s="27" t="s">
        <v>198</v>
      </c>
      <c r="D33" s="27" t="s">
        <v>1155</v>
      </c>
      <c r="E33" s="27" t="s">
        <v>75</v>
      </c>
      <c r="F33" s="27" t="s">
        <v>200</v>
      </c>
      <c r="G33" s="27">
        <v>0.70100000000044549</v>
      </c>
      <c r="H33" s="27">
        <v>0.31350000000035128</v>
      </c>
      <c r="I33" s="27">
        <v>2.5256999999997891</v>
      </c>
      <c r="J33" s="27">
        <v>1.000000009883E-4</v>
      </c>
      <c r="K33" s="27">
        <v>-3.9999999986910001E-4</v>
      </c>
      <c r="L33" s="27">
        <v>-3.0000000026750003E-4</v>
      </c>
      <c r="M33" s="27">
        <v>1.1999999995002E-3</v>
      </c>
      <c r="N33" s="27">
        <v>1.0000000000838E-3</v>
      </c>
      <c r="O33" s="27">
        <v>5.9999999977830001E-4</v>
      </c>
      <c r="P33" s="27">
        <v>-1.9999999969659999E-4</v>
      </c>
      <c r="Q33" s="27">
        <v>6.9999999978599995E-4</v>
      </c>
      <c r="R33" s="27">
        <v>-9.0000000014400002E-4</v>
      </c>
      <c r="S33" s="27" t="s">
        <v>200</v>
      </c>
      <c r="T33" s="27">
        <v>3.0000000018089997E-4</v>
      </c>
      <c r="U33" s="27" t="s">
        <v>200</v>
      </c>
      <c r="V33" s="27">
        <v>-1.0999999992615001E-3</v>
      </c>
      <c r="W33" s="27" t="s">
        <v>200</v>
      </c>
      <c r="X33" s="27">
        <v>4.0000000014019999E-4</v>
      </c>
      <c r="Y33" s="27" t="s">
        <v>200</v>
      </c>
      <c r="Z33" s="27">
        <v>-9.9999999402911925E-5</v>
      </c>
    </row>
    <row r="34" spans="1:26">
      <c r="A34" s="27" t="s">
        <v>196</v>
      </c>
      <c r="B34" s="27" t="s">
        <v>280</v>
      </c>
      <c r="C34" s="27" t="s">
        <v>198</v>
      </c>
      <c r="D34" s="27" t="s">
        <v>1155</v>
      </c>
      <c r="E34" s="27" t="s">
        <v>75</v>
      </c>
      <c r="F34" s="27" t="s">
        <v>200</v>
      </c>
      <c r="G34" s="27">
        <v>0</v>
      </c>
      <c r="H34" s="27">
        <v>0</v>
      </c>
      <c r="I34" s="27">
        <v>0</v>
      </c>
      <c r="J34" s="27">
        <v>0</v>
      </c>
      <c r="K34" s="27">
        <v>-9.0399999999999994E-2</v>
      </c>
      <c r="L34" s="27">
        <v>-3.2427000000000001</v>
      </c>
      <c r="M34" s="27">
        <v>-18.927099999999999</v>
      </c>
      <c r="N34" s="27">
        <v>-57.6678</v>
      </c>
      <c r="O34" s="27">
        <v>-147.78319999999999</v>
      </c>
      <c r="P34" s="27">
        <v>-307.67140000000001</v>
      </c>
      <c r="Q34" s="27">
        <v>-503.4033</v>
      </c>
      <c r="R34" s="27">
        <v>-642.26390000000004</v>
      </c>
      <c r="S34" s="27" t="s">
        <v>200</v>
      </c>
      <c r="T34" s="27">
        <v>-787.84109999999998</v>
      </c>
      <c r="U34" s="27" t="s">
        <v>200</v>
      </c>
      <c r="V34" s="27">
        <v>-823.1925</v>
      </c>
      <c r="W34" s="27" t="s">
        <v>200</v>
      </c>
      <c r="X34" s="27">
        <v>-910.71529999999996</v>
      </c>
      <c r="Y34" s="27" t="s">
        <v>200</v>
      </c>
      <c r="Z34" s="27">
        <v>-906.07780000000002</v>
      </c>
    </row>
    <row r="35" spans="1:26">
      <c r="A35" s="27" t="s">
        <v>218</v>
      </c>
      <c r="B35" s="27" t="s">
        <v>294</v>
      </c>
      <c r="C35" s="27" t="s">
        <v>198</v>
      </c>
      <c r="D35" s="27" t="s">
        <v>1155</v>
      </c>
      <c r="E35" s="27" t="s">
        <v>75</v>
      </c>
      <c r="F35" s="27" t="s">
        <v>200</v>
      </c>
      <c r="G35" s="27">
        <v>0</v>
      </c>
      <c r="H35" s="27">
        <v>0</v>
      </c>
      <c r="I35" s="27">
        <v>0</v>
      </c>
      <c r="J35" s="27">
        <v>0</v>
      </c>
      <c r="K35" s="27">
        <v>-314.24169999999998</v>
      </c>
      <c r="L35" s="27">
        <v>-433.73419999999999</v>
      </c>
      <c r="M35" s="27">
        <v>-147.79830000000001</v>
      </c>
      <c r="N35" s="27">
        <v>-31.258299999999998</v>
      </c>
      <c r="O35" s="27">
        <v>-11.2525</v>
      </c>
      <c r="P35" s="27">
        <v>-1.3411999999999999</v>
      </c>
      <c r="Q35" s="27">
        <v>0</v>
      </c>
      <c r="R35" s="27">
        <v>0</v>
      </c>
      <c r="S35" s="27" t="s">
        <v>200</v>
      </c>
      <c r="T35" s="27">
        <v>-0.1918</v>
      </c>
      <c r="U35" s="27" t="s">
        <v>200</v>
      </c>
      <c r="V35" s="27">
        <v>-75.133499999999998</v>
      </c>
      <c r="W35" s="27" t="s">
        <v>200</v>
      </c>
      <c r="X35" s="27">
        <v>-583.19970000000001</v>
      </c>
      <c r="Y35" s="27" t="s">
        <v>200</v>
      </c>
      <c r="Z35" s="27">
        <v>-2110.0300000000002</v>
      </c>
    </row>
    <row r="36" spans="1:26">
      <c r="A36" s="27" t="s">
        <v>196</v>
      </c>
      <c r="B36" s="27" t="s">
        <v>296</v>
      </c>
      <c r="C36" s="27" t="s">
        <v>198</v>
      </c>
      <c r="D36" s="27" t="s">
        <v>1155</v>
      </c>
      <c r="E36" s="27" t="s">
        <v>75</v>
      </c>
      <c r="F36" s="27" t="s">
        <v>200</v>
      </c>
      <c r="G36" s="27">
        <v>0</v>
      </c>
      <c r="H36" s="27">
        <v>0</v>
      </c>
      <c r="I36" s="27">
        <v>0</v>
      </c>
      <c r="J36" s="27">
        <v>0</v>
      </c>
      <c r="K36" s="27">
        <v>0</v>
      </c>
      <c r="L36" s="27">
        <v>0</v>
      </c>
      <c r="M36" s="27">
        <v>0</v>
      </c>
      <c r="N36" s="27">
        <v>0</v>
      </c>
      <c r="O36" s="27">
        <v>0</v>
      </c>
      <c r="P36" s="27">
        <v>0</v>
      </c>
      <c r="Q36" s="27">
        <v>0</v>
      </c>
      <c r="R36" s="27">
        <v>0</v>
      </c>
      <c r="S36" s="27" t="s">
        <v>200</v>
      </c>
      <c r="T36" s="27">
        <v>0</v>
      </c>
      <c r="U36" s="27" t="s">
        <v>200</v>
      </c>
      <c r="V36" s="27">
        <v>0</v>
      </c>
      <c r="W36" s="27" t="s">
        <v>200</v>
      </c>
      <c r="X36" s="27">
        <v>0</v>
      </c>
      <c r="Y36" s="27" t="s">
        <v>200</v>
      </c>
      <c r="Z36" s="27">
        <v>0</v>
      </c>
    </row>
    <row r="100" spans="3:30">
      <c r="C100" s="3" t="s">
        <v>69</v>
      </c>
      <c r="F100" s="27">
        <f>MEDIAN(F2:F98)</f>
        <v>0</v>
      </c>
      <c r="G100" s="27">
        <f t="shared" ref="G100:Z100" si="0">MEDIAN(G2:G98)</f>
        <v>0</v>
      </c>
      <c r="H100" s="27">
        <f t="shared" si="0"/>
        <v>0</v>
      </c>
      <c r="I100" s="27">
        <f t="shared" si="0"/>
        <v>0</v>
      </c>
      <c r="J100" s="27">
        <f t="shared" si="0"/>
        <v>0</v>
      </c>
      <c r="K100" s="27">
        <f>MEDIAN(K2:K98)</f>
        <v>-3.9999999986910001E-4</v>
      </c>
      <c r="L100" s="27">
        <f t="shared" si="0"/>
        <v>-0.51790000000000003</v>
      </c>
      <c r="M100" s="27">
        <f t="shared" si="0"/>
        <v>-3.1076000000000001</v>
      </c>
      <c r="N100" s="27">
        <f t="shared" si="0"/>
        <v>-3.5914000000000001</v>
      </c>
      <c r="O100" s="27">
        <f t="shared" si="0"/>
        <v>-11.2525</v>
      </c>
      <c r="P100" s="27">
        <f t="shared" si="0"/>
        <v>-4.9676999999999998</v>
      </c>
      <c r="Q100" s="27">
        <f t="shared" si="0"/>
        <v>-17.352599999999999</v>
      </c>
      <c r="R100" s="27">
        <f t="shared" si="0"/>
        <v>-12.790800000000001</v>
      </c>
      <c r="S100" s="27">
        <f t="shared" si="0"/>
        <v>0</v>
      </c>
      <c r="T100" s="27">
        <f t="shared" si="0"/>
        <v>-42.837600000000002</v>
      </c>
      <c r="U100" s="27">
        <f t="shared" si="0"/>
        <v>0</v>
      </c>
      <c r="V100" s="27">
        <f t="shared" si="0"/>
        <v>-155.50319999999999</v>
      </c>
      <c r="W100" s="27">
        <f t="shared" si="0"/>
        <v>0</v>
      </c>
      <c r="X100" s="27">
        <f t="shared" si="0"/>
        <v>-583.19970000000001</v>
      </c>
      <c r="Y100" s="27">
        <f t="shared" si="0"/>
        <v>0</v>
      </c>
      <c r="Z100" s="27">
        <f t="shared" si="0"/>
        <v>-890.83159999999998</v>
      </c>
    </row>
    <row r="101" spans="3:30">
      <c r="C101" s="3" t="s">
        <v>72</v>
      </c>
      <c r="F101" s="27">
        <f>_xlfn.PERCENTILE.INC(F2:F98,0.25)</f>
        <v>0</v>
      </c>
      <c r="G101" s="27">
        <f t="shared" ref="G101:Z101" si="1">_xlfn.PERCENTILE.INC(G2:G98,0.25)</f>
        <v>0</v>
      </c>
      <c r="H101" s="27">
        <f t="shared" si="1"/>
        <v>0</v>
      </c>
      <c r="I101" s="27">
        <f t="shared" si="1"/>
        <v>0</v>
      </c>
      <c r="J101" s="27">
        <f t="shared" si="1"/>
        <v>0</v>
      </c>
      <c r="K101" s="27">
        <f t="shared" si="1"/>
        <v>-0.93840000000000001</v>
      </c>
      <c r="L101" s="27">
        <f t="shared" si="1"/>
        <v>-7.2230500000000006</v>
      </c>
      <c r="M101" s="27">
        <f t="shared" si="1"/>
        <v>-44.350499999999997</v>
      </c>
      <c r="N101" s="27">
        <f t="shared" si="1"/>
        <v>-119.32235</v>
      </c>
      <c r="O101" s="27">
        <f t="shared" si="1"/>
        <v>-338.7629</v>
      </c>
      <c r="P101" s="27">
        <f t="shared" si="1"/>
        <v>-630.35900000000004</v>
      </c>
      <c r="Q101" s="27">
        <f t="shared" si="1"/>
        <v>-1116.2032999999999</v>
      </c>
      <c r="R101" s="27">
        <f t="shared" si="1"/>
        <v>-1362.2285999999999</v>
      </c>
      <c r="S101" s="27">
        <f t="shared" si="1"/>
        <v>0</v>
      </c>
      <c r="T101" s="27">
        <f t="shared" si="1"/>
        <v>-1793.4831999999999</v>
      </c>
      <c r="U101" s="27">
        <f t="shared" si="1"/>
        <v>0</v>
      </c>
      <c r="V101" s="27">
        <f t="shared" si="1"/>
        <v>-1596.3031000000001</v>
      </c>
      <c r="W101" s="27">
        <f t="shared" si="1"/>
        <v>0</v>
      </c>
      <c r="X101" s="27">
        <f t="shared" si="1"/>
        <v>-2181.5107000000003</v>
      </c>
      <c r="Y101" s="27">
        <f t="shared" si="1"/>
        <v>0</v>
      </c>
      <c r="Z101" s="27">
        <f t="shared" si="1"/>
        <v>-2960.3454000000002</v>
      </c>
    </row>
    <row r="102" spans="3:30">
      <c r="C102" s="3" t="s">
        <v>73</v>
      </c>
      <c r="F102" s="27">
        <f>_xlfn.PERCENTILE.INC(F2:F98,0.75)</f>
        <v>0</v>
      </c>
      <c r="G102" s="27">
        <f t="shared" ref="G102:Z102" si="2">_xlfn.PERCENTILE.INC(G2:G98,0.75)</f>
        <v>0</v>
      </c>
      <c r="H102" s="27">
        <f t="shared" si="2"/>
        <v>0</v>
      </c>
      <c r="I102" s="27">
        <f t="shared" si="2"/>
        <v>0</v>
      </c>
      <c r="J102" s="27">
        <f t="shared" si="2"/>
        <v>0</v>
      </c>
      <c r="K102" s="27">
        <f t="shared" si="2"/>
        <v>0</v>
      </c>
      <c r="L102" s="27">
        <f t="shared" si="2"/>
        <v>0</v>
      </c>
      <c r="M102" s="27">
        <f t="shared" si="2"/>
        <v>0</v>
      </c>
      <c r="N102" s="27">
        <f t="shared" si="2"/>
        <v>0</v>
      </c>
      <c r="O102" s="27">
        <f t="shared" si="2"/>
        <v>0</v>
      </c>
      <c r="P102" s="27">
        <f t="shared" si="2"/>
        <v>0</v>
      </c>
      <c r="Q102" s="27">
        <f t="shared" si="2"/>
        <v>0</v>
      </c>
      <c r="R102" s="27">
        <f t="shared" si="2"/>
        <v>0</v>
      </c>
      <c r="S102" s="27">
        <f t="shared" si="2"/>
        <v>0</v>
      </c>
      <c r="T102" s="27">
        <f t="shared" si="2"/>
        <v>-1.3642420526593895E-12</v>
      </c>
      <c r="U102" s="27">
        <f t="shared" si="2"/>
        <v>0</v>
      </c>
      <c r="V102" s="27">
        <f t="shared" si="2"/>
        <v>-1.8189894035458601E-12</v>
      </c>
      <c r="W102" s="27">
        <f t="shared" si="2"/>
        <v>0</v>
      </c>
      <c r="X102" s="27">
        <f t="shared" si="2"/>
        <v>0</v>
      </c>
      <c r="Y102" s="27">
        <f t="shared" si="2"/>
        <v>0</v>
      </c>
      <c r="Z102" s="27">
        <f t="shared" si="2"/>
        <v>-4.9999999701455962E-5</v>
      </c>
    </row>
    <row r="104" spans="3:30">
      <c r="F104" s="27">
        <f>MAX(F$2:F$98)</f>
        <v>0</v>
      </c>
      <c r="G104" s="27">
        <f t="shared" ref="G104:AD104" si="3">MAX(G$2:G$98)</f>
        <v>0.70100000000044549</v>
      </c>
      <c r="H104" s="27">
        <f t="shared" si="3"/>
        <v>0.31350000000035128</v>
      </c>
      <c r="I104" s="27">
        <f t="shared" si="3"/>
        <v>2.5256999999997891</v>
      </c>
      <c r="J104" s="27">
        <f t="shared" si="3"/>
        <v>1.000000009883E-4</v>
      </c>
      <c r="K104" s="27">
        <f t="shared" si="3"/>
        <v>0</v>
      </c>
      <c r="L104" s="27">
        <f t="shared" si="3"/>
        <v>0</v>
      </c>
      <c r="M104" s="27">
        <f t="shared" si="3"/>
        <v>1.1999999995002E-3</v>
      </c>
      <c r="N104" s="27">
        <f t="shared" si="3"/>
        <v>1.0000000000838E-3</v>
      </c>
      <c r="O104" s="27">
        <f t="shared" si="3"/>
        <v>5.9999999977830001E-4</v>
      </c>
      <c r="P104" s="27">
        <f t="shared" si="3"/>
        <v>2.2737367544323211E-13</v>
      </c>
      <c r="Q104" s="27">
        <f t="shared" si="3"/>
        <v>6.9999999978599995E-4</v>
      </c>
      <c r="R104" s="27">
        <f t="shared" si="3"/>
        <v>0</v>
      </c>
      <c r="S104" s="27">
        <f t="shared" si="3"/>
        <v>0</v>
      </c>
      <c r="T104" s="27">
        <f t="shared" si="3"/>
        <v>3.0000000018089997E-4</v>
      </c>
      <c r="U104" s="27">
        <f t="shared" si="3"/>
        <v>0</v>
      </c>
      <c r="V104" s="27">
        <f t="shared" si="3"/>
        <v>0</v>
      </c>
      <c r="W104" s="27">
        <f t="shared" si="3"/>
        <v>0</v>
      </c>
      <c r="X104" s="27">
        <f t="shared" si="3"/>
        <v>4.0000000014019999E-4</v>
      </c>
      <c r="Y104" s="27">
        <f t="shared" si="3"/>
        <v>0</v>
      </c>
      <c r="Z104" s="27">
        <f t="shared" si="3"/>
        <v>0</v>
      </c>
      <c r="AA104" s="27">
        <f t="shared" si="3"/>
        <v>0</v>
      </c>
      <c r="AB104" s="27">
        <f t="shared" si="3"/>
        <v>0</v>
      </c>
      <c r="AC104" s="27">
        <f t="shared" si="3"/>
        <v>0</v>
      </c>
      <c r="AD104" s="27">
        <f t="shared" si="3"/>
        <v>0</v>
      </c>
    </row>
    <row r="105" spans="3:30">
      <c r="F105" s="27">
        <f>MEDIAN(F$2:F$98)</f>
        <v>0</v>
      </c>
      <c r="G105" s="27">
        <f t="shared" ref="G105:AD105" si="4">MEDIAN(G$2:G$98)</f>
        <v>0</v>
      </c>
      <c r="H105" s="27">
        <f t="shared" si="4"/>
        <v>0</v>
      </c>
      <c r="I105" s="27">
        <f t="shared" si="4"/>
        <v>0</v>
      </c>
      <c r="J105" s="27">
        <f t="shared" si="4"/>
        <v>0</v>
      </c>
      <c r="K105" s="27">
        <f t="shared" si="4"/>
        <v>-3.9999999986910001E-4</v>
      </c>
      <c r="L105" s="27">
        <f t="shared" si="4"/>
        <v>-0.51790000000000003</v>
      </c>
      <c r="M105" s="27">
        <f t="shared" si="4"/>
        <v>-3.1076000000000001</v>
      </c>
      <c r="N105" s="27">
        <f t="shared" si="4"/>
        <v>-3.5914000000000001</v>
      </c>
      <c r="O105" s="27">
        <f t="shared" si="4"/>
        <v>-11.2525</v>
      </c>
      <c r="P105" s="27">
        <f t="shared" si="4"/>
        <v>-4.9676999999999998</v>
      </c>
      <c r="Q105" s="27">
        <f t="shared" si="4"/>
        <v>-17.352599999999999</v>
      </c>
      <c r="R105" s="27">
        <f t="shared" si="4"/>
        <v>-12.790800000000001</v>
      </c>
      <c r="S105" s="27">
        <f t="shared" si="4"/>
        <v>0</v>
      </c>
      <c r="T105" s="27">
        <f t="shared" si="4"/>
        <v>-42.837600000000002</v>
      </c>
      <c r="U105" s="27">
        <f t="shared" si="4"/>
        <v>0</v>
      </c>
      <c r="V105" s="27">
        <f t="shared" si="4"/>
        <v>-155.50319999999999</v>
      </c>
      <c r="W105" s="27">
        <f t="shared" si="4"/>
        <v>0</v>
      </c>
      <c r="X105" s="27">
        <f t="shared" si="4"/>
        <v>-583.19970000000001</v>
      </c>
      <c r="Y105" s="27">
        <f t="shared" si="4"/>
        <v>0</v>
      </c>
      <c r="Z105" s="27">
        <f t="shared" si="4"/>
        <v>-890.83159999999998</v>
      </c>
      <c r="AA105" s="27" t="e">
        <f t="shared" si="4"/>
        <v>#NUM!</v>
      </c>
      <c r="AB105" s="27" t="e">
        <f t="shared" si="4"/>
        <v>#NUM!</v>
      </c>
      <c r="AC105" s="27" t="e">
        <f t="shared" si="4"/>
        <v>#NUM!</v>
      </c>
      <c r="AD105" s="27" t="e">
        <f t="shared" si="4"/>
        <v>#NUM!</v>
      </c>
    </row>
    <row r="106" spans="3:30">
      <c r="F106" s="27">
        <f>MIN(F$2:F$98)</f>
        <v>0</v>
      </c>
      <c r="G106" s="27">
        <f t="shared" ref="G106:AD106" si="5">MIN(G$2:G$98)</f>
        <v>0</v>
      </c>
      <c r="H106" s="27">
        <f t="shared" si="5"/>
        <v>0</v>
      </c>
      <c r="I106" s="27">
        <f t="shared" si="5"/>
        <v>0</v>
      </c>
      <c r="J106" s="27">
        <f t="shared" si="5"/>
        <v>0</v>
      </c>
      <c r="K106" s="27">
        <f t="shared" si="5"/>
        <v>-314.24169999999998</v>
      </c>
      <c r="L106" s="27">
        <f t="shared" si="5"/>
        <v>-433.73419999999999</v>
      </c>
      <c r="M106" s="27">
        <f t="shared" si="5"/>
        <v>-1257.6792</v>
      </c>
      <c r="N106" s="27">
        <f t="shared" si="5"/>
        <v>-2619.6253000000002</v>
      </c>
      <c r="O106" s="27">
        <f t="shared" si="5"/>
        <v>-4171.8343999999997</v>
      </c>
      <c r="P106" s="27">
        <f t="shared" si="5"/>
        <v>-3705.4223000000002</v>
      </c>
      <c r="Q106" s="27">
        <f t="shared" si="5"/>
        <v>-3360.4627</v>
      </c>
      <c r="R106" s="27">
        <f t="shared" si="5"/>
        <v>-4298.6108999999997</v>
      </c>
      <c r="S106" s="27">
        <f t="shared" si="5"/>
        <v>0</v>
      </c>
      <c r="T106" s="27">
        <f t="shared" si="5"/>
        <v>-6736.2830000000004</v>
      </c>
      <c r="U106" s="27">
        <f t="shared" si="5"/>
        <v>0</v>
      </c>
      <c r="V106" s="27">
        <f t="shared" si="5"/>
        <v>-8886.0782999999992</v>
      </c>
      <c r="W106" s="27">
        <f t="shared" si="5"/>
        <v>0</v>
      </c>
      <c r="X106" s="27">
        <f t="shared" si="5"/>
        <v>-12576.8179</v>
      </c>
      <c r="Y106" s="27">
        <f t="shared" si="5"/>
        <v>0</v>
      </c>
      <c r="Z106" s="27">
        <f t="shared" si="5"/>
        <v>-13839.9377</v>
      </c>
      <c r="AA106" s="27">
        <f t="shared" si="5"/>
        <v>0</v>
      </c>
      <c r="AB106" s="27">
        <f t="shared" si="5"/>
        <v>0</v>
      </c>
      <c r="AC106" s="27">
        <f t="shared" si="5"/>
        <v>0</v>
      </c>
      <c r="AD106" s="27">
        <f t="shared" si="5"/>
        <v>0</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63D3B-B02C-4AA7-A99B-FC4CE647DE3D}">
  <sheetPr codeName="Sheet4">
    <tabColor rgb="FF9966FF"/>
  </sheetPr>
  <dimension ref="A1:AV71"/>
  <sheetViews>
    <sheetView topLeftCell="C1" workbookViewId="0">
      <pane ySplit="1" topLeftCell="A2" activePane="bottomLeft" state="frozen"/>
      <selection pane="bottomLeft" activeCell="AK43" sqref="AK43"/>
      <selection activeCell="G27" sqref="G27"/>
    </sheetView>
  </sheetViews>
  <sheetFormatPr defaultRowHeight="15" outlineLevelCol="1"/>
  <cols>
    <col min="1" max="1" width="7.7109375" bestFit="1" customWidth="1"/>
    <col min="2" max="2" width="8.5703125" customWidth="1"/>
    <col min="3" max="3" width="16" customWidth="1"/>
    <col min="5" max="5" width="23.140625" hidden="1" customWidth="1" outlineLevel="1"/>
    <col min="6" max="6" width="9.140625" hidden="1" customWidth="1" outlineLevel="1"/>
    <col min="7" max="15" width="9.5703125" hidden="1" customWidth="1" outlineLevel="1"/>
    <col min="16" max="16" width="9.140625" hidden="1" customWidth="1" outlineLevel="1"/>
    <col min="17" max="25" width="9.5703125" hidden="1" customWidth="1" outlineLevel="1"/>
    <col min="26" max="26" width="8.7109375" collapsed="1"/>
    <col min="37" max="37" width="23.140625" style="192" customWidth="1"/>
    <col min="38" max="38" width="23.140625" customWidth="1"/>
  </cols>
  <sheetData>
    <row r="1" spans="1:48" ht="31.5">
      <c r="A1" s="1"/>
      <c r="B1" s="2" t="s">
        <v>63</v>
      </c>
      <c r="C1" s="2" t="s">
        <v>64</v>
      </c>
      <c r="D1" s="2" t="s">
        <v>65</v>
      </c>
      <c r="E1" s="53" t="s">
        <v>5</v>
      </c>
      <c r="F1" s="52">
        <v>2010</v>
      </c>
      <c r="G1" s="52">
        <v>2020</v>
      </c>
      <c r="H1" s="52">
        <v>2030</v>
      </c>
      <c r="I1" s="52">
        <v>2040</v>
      </c>
      <c r="J1" s="52">
        <v>2050</v>
      </c>
      <c r="K1" s="52">
        <v>2060</v>
      </c>
      <c r="L1" s="52">
        <v>2070</v>
      </c>
      <c r="M1" s="52">
        <v>2080</v>
      </c>
      <c r="N1" s="52">
        <v>2090</v>
      </c>
      <c r="O1" s="52">
        <v>2100</v>
      </c>
      <c r="P1" s="52">
        <v>2010</v>
      </c>
      <c r="Q1" s="52">
        <v>2020</v>
      </c>
      <c r="R1" s="52">
        <v>2030</v>
      </c>
      <c r="S1" s="52">
        <v>2040</v>
      </c>
      <c r="T1" s="52">
        <v>2050</v>
      </c>
      <c r="U1" s="52">
        <v>2060</v>
      </c>
      <c r="V1" s="52">
        <v>2070</v>
      </c>
      <c r="W1" s="52">
        <v>2080</v>
      </c>
      <c r="X1" s="52">
        <v>2090</v>
      </c>
      <c r="Y1" s="52">
        <v>2100</v>
      </c>
      <c r="Z1" s="52">
        <v>2010</v>
      </c>
      <c r="AA1" s="52">
        <v>2020</v>
      </c>
      <c r="AB1" s="52">
        <v>2030</v>
      </c>
      <c r="AC1" s="52">
        <v>2040</v>
      </c>
      <c r="AD1" s="52">
        <v>2050</v>
      </c>
      <c r="AE1" s="52">
        <v>2060</v>
      </c>
      <c r="AF1" s="52">
        <v>2070</v>
      </c>
      <c r="AG1" s="52">
        <v>2080</v>
      </c>
      <c r="AH1" s="52">
        <v>2090</v>
      </c>
      <c r="AI1" s="52">
        <v>2100</v>
      </c>
      <c r="AM1" s="52">
        <v>2010</v>
      </c>
      <c r="AN1" s="52">
        <v>2020</v>
      </c>
      <c r="AO1" s="52">
        <v>2030</v>
      </c>
      <c r="AP1" s="52">
        <v>2040</v>
      </c>
      <c r="AQ1" s="52">
        <v>2050</v>
      </c>
      <c r="AR1" s="52">
        <v>2060</v>
      </c>
      <c r="AS1" s="52">
        <v>2070</v>
      </c>
      <c r="AT1" s="52">
        <v>2080</v>
      </c>
      <c r="AU1" s="52">
        <v>2090</v>
      </c>
      <c r="AV1" s="52">
        <v>2100</v>
      </c>
    </row>
    <row r="2" spans="1:48" ht="47.25">
      <c r="A2" s="1"/>
      <c r="B2" s="2"/>
      <c r="C2" s="2"/>
      <c r="D2" s="2"/>
      <c r="E2" s="53"/>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K2" s="193" t="s">
        <v>66</v>
      </c>
      <c r="AL2" s="57" t="s">
        <v>67</v>
      </c>
      <c r="AM2" s="52" t="s">
        <v>68</v>
      </c>
    </row>
    <row r="3" spans="1:48" ht="15.75">
      <c r="A3" s="1"/>
      <c r="B3" s="2"/>
      <c r="C3" s="2"/>
      <c r="D3" s="2"/>
      <c r="F3" s="51" t="b">
        <f>F1=P1</f>
        <v>1</v>
      </c>
      <c r="G3" s="51" t="b">
        <f t="shared" ref="G3:O3" si="0">G1=Q1</f>
        <v>1</v>
      </c>
      <c r="H3" s="51" t="b">
        <f t="shared" si="0"/>
        <v>1</v>
      </c>
      <c r="I3" s="51" t="b">
        <f t="shared" si="0"/>
        <v>1</v>
      </c>
      <c r="J3" s="51" t="b">
        <f t="shared" si="0"/>
        <v>1</v>
      </c>
      <c r="K3" s="51" t="b">
        <f t="shared" si="0"/>
        <v>1</v>
      </c>
      <c r="L3" s="51" t="b">
        <f t="shared" si="0"/>
        <v>1</v>
      </c>
      <c r="M3" s="51" t="b">
        <f t="shared" si="0"/>
        <v>1</v>
      </c>
      <c r="N3" s="51" t="b">
        <f t="shared" si="0"/>
        <v>1</v>
      </c>
      <c r="O3" s="51" t="b">
        <f t="shared" si="0"/>
        <v>1</v>
      </c>
      <c r="P3" s="51" t="b">
        <f>P1=Z1</f>
        <v>1</v>
      </c>
      <c r="Q3" s="51" t="b">
        <f t="shared" ref="Q3:Y3" si="1">Q1=AA1</f>
        <v>1</v>
      </c>
      <c r="R3" s="51" t="b">
        <f t="shared" si="1"/>
        <v>1</v>
      </c>
      <c r="S3" s="51" t="b">
        <f t="shared" si="1"/>
        <v>1</v>
      </c>
      <c r="T3" s="51" t="b">
        <f t="shared" si="1"/>
        <v>1</v>
      </c>
      <c r="U3" s="51" t="b">
        <f t="shared" si="1"/>
        <v>1</v>
      </c>
      <c r="V3" s="51" t="b">
        <f t="shared" si="1"/>
        <v>1</v>
      </c>
      <c r="W3" s="51" t="b">
        <f t="shared" si="1"/>
        <v>1</v>
      </c>
      <c r="X3" s="51" t="b">
        <f t="shared" si="1"/>
        <v>1</v>
      </c>
      <c r="Y3" s="51" t="b">
        <f t="shared" si="1"/>
        <v>1</v>
      </c>
      <c r="AK3"/>
    </row>
    <row r="4" spans="1:48" ht="15.75">
      <c r="A4" s="3" t="s">
        <v>69</v>
      </c>
      <c r="B4" s="3" t="s">
        <v>70</v>
      </c>
      <c r="C4" s="4" t="s">
        <v>43</v>
      </c>
      <c r="D4" s="28" t="s">
        <v>71</v>
      </c>
      <c r="E4" t="str">
        <f t="shared" ref="E4:E43" si="2">CONCATENATE("'",C4,"'!")</f>
        <v>'CH4 TOTAL'!</v>
      </c>
      <c r="F4">
        <f t="shared" ref="F4:O13" ca="1" si="3">_xlfn.XMATCH($A4,INDIRECT(CONCATENATE($E4,"$C$1:$C$120")),0,-1)</f>
        <v>100</v>
      </c>
      <c r="G4">
        <f t="shared" ca="1" si="3"/>
        <v>100</v>
      </c>
      <c r="H4">
        <f t="shared" ca="1" si="3"/>
        <v>100</v>
      </c>
      <c r="I4">
        <f t="shared" ca="1" si="3"/>
        <v>100</v>
      </c>
      <c r="J4">
        <f t="shared" ca="1" si="3"/>
        <v>100</v>
      </c>
      <c r="K4">
        <f t="shared" ca="1" si="3"/>
        <v>100</v>
      </c>
      <c r="L4">
        <f t="shared" ca="1" si="3"/>
        <v>100</v>
      </c>
      <c r="M4">
        <f t="shared" ca="1" si="3"/>
        <v>100</v>
      </c>
      <c r="N4">
        <f t="shared" ca="1" si="3"/>
        <v>100</v>
      </c>
      <c r="O4">
        <f t="shared" ca="1" si="3"/>
        <v>100</v>
      </c>
      <c r="P4">
        <f ca="1">MATCH(P$1,INDIRECT(CONCATENATE($E4,"A1:AM1")),0)</f>
        <v>8</v>
      </c>
      <c r="Q4">
        <f t="shared" ref="Q4:Y19" ca="1" si="4">MATCH(Q$1,INDIRECT(CONCATENATE($E4,"A1:AM1")),0)</f>
        <v>10</v>
      </c>
      <c r="R4">
        <f t="shared" ca="1" si="4"/>
        <v>16</v>
      </c>
      <c r="S4">
        <f t="shared" ca="1" si="4"/>
        <v>18</v>
      </c>
      <c r="T4">
        <f t="shared" ca="1" si="4"/>
        <v>20</v>
      </c>
      <c r="U4">
        <f t="shared" ca="1" si="4"/>
        <v>22</v>
      </c>
      <c r="V4">
        <f t="shared" ca="1" si="4"/>
        <v>24</v>
      </c>
      <c r="W4">
        <f t="shared" ca="1" si="4"/>
        <v>26</v>
      </c>
      <c r="X4">
        <f t="shared" ca="1" si="4"/>
        <v>28</v>
      </c>
      <c r="Y4">
        <f t="shared" ca="1" si="4"/>
        <v>30</v>
      </c>
      <c r="Z4" s="3" cm="1">
        <f t="array" aca="1" ref="Z4" ca="1">INDEX(INDIRECT(CONCATENATE($E4,"$A$1:$AM$120")),F4,P4)</f>
        <v>353.44600000000003</v>
      </c>
      <c r="AA4" s="3" cm="1">
        <f t="array" aca="1" ref="AA4" ca="1">INDEX(INDIRECT(CONCATENATE($E4,"$A$1:$AM$120")),G4,Q4)</f>
        <v>362.15469999999999</v>
      </c>
      <c r="AB4" s="3" cm="1">
        <f t="array" aca="1" ref="AB4" ca="1">INDEX(INDIRECT(CONCATENATE($E4,"$A$1:$AM$120")),H4,R4)</f>
        <v>244.98577585727801</v>
      </c>
      <c r="AC4" s="3" cm="1">
        <f t="array" aca="1" ref="AC4" ca="1">INDEX(INDIRECT(CONCATENATE($E4,"$A$1:$AM$120")),I4,S4)</f>
        <v>206.88220000000001</v>
      </c>
      <c r="AD4" s="3" cm="1">
        <f t="array" aca="1" ref="AD4" ca="1">INDEX(INDIRECT(CONCATENATE($E4,"$A$1:$AM$120")),J4,T4)</f>
        <v>181.23339999999999</v>
      </c>
      <c r="AE4" s="3" cm="1">
        <f t="array" aca="1" ref="AE4" ca="1">INDEX(INDIRECT(CONCATENATE($E4,"$A$1:$AM$120")),K4,U4)</f>
        <v>166.67767826946351</v>
      </c>
      <c r="AF4" s="3" cm="1">
        <f t="array" aca="1" ref="AF4" ca="1">INDEX(INDIRECT(CONCATENATE($E4,"$A$1:$AM$120")),L4,V4)</f>
        <v>158.935</v>
      </c>
      <c r="AG4" s="3" cm="1">
        <f t="array" aca="1" ref="AG4" ca="1">INDEX(INDIRECT(CONCATENATE($E4,"$A$1:$AM$120")),M4,W4)</f>
        <v>140.6882019042969</v>
      </c>
      <c r="AH4" s="3" cm="1">
        <f t="array" aca="1" ref="AH4" ca="1">INDEX(INDIRECT(CONCATENATE($E4,"$A$1:$AM$120")),N4,X4)</f>
        <v>134.28096912807169</v>
      </c>
      <c r="AI4" s="3" cm="1">
        <f t="array" aca="1" ref="AI4" ca="1">INDEX(INDIRECT(CONCATENATE($E4,"$A$1:$AM$120")),O4,Y4)</f>
        <v>127.578845080596</v>
      </c>
      <c r="AJ4" s="3"/>
      <c r="AK4" s="194">
        <f t="shared" ref="AK4:AK51" ca="1" si="5">SUM(AA4:AF4)+9*SUM(AA4:AE4)+45*(AF4-AA4)/10</f>
        <v>10863.783891267414</v>
      </c>
      <c r="AL4" s="3">
        <f ca="1">AD4-AA4</f>
        <v>-180.9213</v>
      </c>
      <c r="AM4">
        <f t="shared" ref="AM4:AV4" ca="1" si="6">Z4/Z$55*GWP_Methane</f>
        <v>1.4309175811401913</v>
      </c>
      <c r="AN4">
        <f t="shared" ca="1" si="6"/>
        <v>1.3249484918355074</v>
      </c>
      <c r="AO4">
        <f t="shared" ca="1" si="6"/>
        <v>0.82769719148254772</v>
      </c>
      <c r="AP4">
        <f t="shared" ca="1" si="6"/>
        <v>0.65751683292343788</v>
      </c>
      <c r="AQ4">
        <f t="shared" ca="1" si="6"/>
        <v>0.55238681809221102</v>
      </c>
      <c r="AR4">
        <f t="shared" ca="1" si="6"/>
        <v>0.4967444270335768</v>
      </c>
      <c r="AS4">
        <f t="shared" ca="1" si="6"/>
        <v>0.47052293072120854</v>
      </c>
      <c r="AT4">
        <f t="shared" ca="1" si="6"/>
        <v>0.41874782384246989</v>
      </c>
      <c r="AU4">
        <f t="shared" ca="1" si="6"/>
        <v>0.4066041966005528</v>
      </c>
      <c r="AV4">
        <f t="shared" ca="1" si="6"/>
        <v>0.39604604300402968</v>
      </c>
    </row>
    <row r="5" spans="1:48" ht="15.75">
      <c r="A5" s="3" t="s">
        <v>72</v>
      </c>
      <c r="B5" s="3"/>
      <c r="C5" s="4" t="s">
        <v>43</v>
      </c>
      <c r="D5" s="28" t="s">
        <v>71</v>
      </c>
      <c r="E5" t="str">
        <f t="shared" si="2"/>
        <v>'CH4 TOTAL'!</v>
      </c>
      <c r="F5">
        <f t="shared" ca="1" si="3"/>
        <v>101</v>
      </c>
      <c r="G5">
        <f t="shared" ca="1" si="3"/>
        <v>101</v>
      </c>
      <c r="H5">
        <f t="shared" ca="1" si="3"/>
        <v>101</v>
      </c>
      <c r="I5">
        <f t="shared" ca="1" si="3"/>
        <v>101</v>
      </c>
      <c r="J5">
        <f t="shared" ca="1" si="3"/>
        <v>101</v>
      </c>
      <c r="K5">
        <f t="shared" ca="1" si="3"/>
        <v>101</v>
      </c>
      <c r="L5">
        <f t="shared" ca="1" si="3"/>
        <v>101</v>
      </c>
      <c r="M5">
        <f t="shared" ca="1" si="3"/>
        <v>101</v>
      </c>
      <c r="N5">
        <f t="shared" ca="1" si="3"/>
        <v>101</v>
      </c>
      <c r="O5">
        <f t="shared" ca="1" si="3"/>
        <v>101</v>
      </c>
      <c r="P5">
        <f t="shared" ref="P5:Y20" ca="1" si="7">MATCH(P$1,INDIRECT(CONCATENATE($E5,"A1:AM1")),0)</f>
        <v>8</v>
      </c>
      <c r="Q5">
        <f t="shared" ca="1" si="4"/>
        <v>10</v>
      </c>
      <c r="R5">
        <f t="shared" ca="1" si="4"/>
        <v>16</v>
      </c>
      <c r="S5">
        <f t="shared" ca="1" si="4"/>
        <v>18</v>
      </c>
      <c r="T5">
        <f t="shared" ca="1" si="4"/>
        <v>20</v>
      </c>
      <c r="U5">
        <f t="shared" ca="1" si="4"/>
        <v>22</v>
      </c>
      <c r="V5">
        <f t="shared" ca="1" si="4"/>
        <v>24</v>
      </c>
      <c r="W5">
        <f t="shared" ca="1" si="4"/>
        <v>26</v>
      </c>
      <c r="X5">
        <f t="shared" ca="1" si="4"/>
        <v>28</v>
      </c>
      <c r="Y5">
        <f t="shared" ca="1" si="4"/>
        <v>30</v>
      </c>
      <c r="Z5" s="3" cm="1">
        <f t="array" aca="1" ref="Z5" ca="1">INDEX(INDIRECT(CONCATENATE($E5,"$A$1:$AM$120")),F5,P5)</f>
        <v>333.66154451874712</v>
      </c>
      <c r="AA5" s="3" cm="1">
        <f t="array" aca="1" ref="AA5" ca="1">INDEX(INDIRECT(CONCATENATE($E5,"$A$1:$AM$120")),G5,Q5)</f>
        <v>352.18172521728991</v>
      </c>
      <c r="AB5" s="3" cm="1">
        <f t="array" aca="1" ref="AB5" ca="1">INDEX(INDIRECT(CONCATENATE($E5,"$A$1:$AM$120")),H5,R5)</f>
        <v>224.578005379769</v>
      </c>
      <c r="AC5" s="3" cm="1">
        <f t="array" aca="1" ref="AC5" ca="1">INDEX(INDIRECT(CONCATENATE($E5,"$A$1:$AM$120")),I5,S5)</f>
        <v>180.79710388183591</v>
      </c>
      <c r="AD5" s="3" cm="1">
        <f t="array" aca="1" ref="AD5" ca="1">INDEX(INDIRECT(CONCATENATE($E5,"$A$1:$AM$120")),J5,T5)</f>
        <v>146.81684486280699</v>
      </c>
      <c r="AE5" s="3" cm="1">
        <f t="array" aca="1" ref="AE5" ca="1">INDEX(INDIRECT(CONCATENATE($E5,"$A$1:$AM$120")),K5,U5)</f>
        <v>138.27778084646721</v>
      </c>
      <c r="AF5" s="3" cm="1">
        <f t="array" aca="1" ref="AF5" ca="1">INDEX(INDIRECT(CONCATENATE($E5,"$A$1:$AM$120")),L5,V5)</f>
        <v>136.1695968941396</v>
      </c>
      <c r="AG5" s="3" cm="1">
        <f t="array" aca="1" ref="AG5" ca="1">INDEX(INDIRECT(CONCATENATE($E5,"$A$1:$AM$120")),M5,W5)</f>
        <v>129.5205</v>
      </c>
      <c r="AH5" s="3" cm="1">
        <f t="array" aca="1" ref="AH5" ca="1">INDEX(INDIRECT(CONCATENATE($E5,"$A$1:$AM$120")),N5,X5)</f>
        <v>122.93250810000001</v>
      </c>
      <c r="AI5" s="3" cm="1">
        <f t="array" aca="1" ref="AI5" ca="1">INDEX(INDIRECT(CONCATENATE($E5,"$A$1:$AM$120")),O5,Y5)</f>
        <v>112.56199645996089</v>
      </c>
      <c r="AJ5" s="3"/>
      <c r="AK5" s="194">
        <f t="shared" ca="1" si="5"/>
        <v>9590.6296213216519</v>
      </c>
      <c r="AL5" s="3">
        <f t="shared" ref="AL5:AL51" ca="1" si="8">AD5-AA5</f>
        <v>-205.36488035448292</v>
      </c>
      <c r="AM5">
        <f t="shared" ref="AM5:AV5" ca="1" si="9">Z5/Z$56*GWP_Methane</f>
        <v>1.3604183242045977</v>
      </c>
      <c r="AN5">
        <f t="shared" ca="1" si="9"/>
        <v>1.2955937994526678</v>
      </c>
      <c r="AO5">
        <f t="shared" ca="1" si="9"/>
        <v>0.76109801036233793</v>
      </c>
      <c r="AP5">
        <f t="shared" ca="1" si="9"/>
        <v>0.57610672310056144</v>
      </c>
      <c r="AQ5">
        <f t="shared" ca="1" si="9"/>
        <v>0.44833922334431531</v>
      </c>
      <c r="AR5">
        <f t="shared" ca="1" si="9"/>
        <v>0.41256277384477735</v>
      </c>
      <c r="AS5">
        <f t="shared" ca="1" si="9"/>
        <v>0.40317194603673823</v>
      </c>
      <c r="AT5">
        <f t="shared" ca="1" si="9"/>
        <v>0.38581108036600503</v>
      </c>
      <c r="AU5">
        <f t="shared" ca="1" si="9"/>
        <v>0.37254174177060329</v>
      </c>
      <c r="AV5">
        <f t="shared" ca="1" si="9"/>
        <v>0.34971834893352544</v>
      </c>
    </row>
    <row r="6" spans="1:48" ht="15.75">
      <c r="A6" s="3" t="s">
        <v>73</v>
      </c>
      <c r="B6" s="3"/>
      <c r="C6" s="4" t="s">
        <v>43</v>
      </c>
      <c r="D6" s="28" t="s">
        <v>71</v>
      </c>
      <c r="E6" t="str">
        <f t="shared" si="2"/>
        <v>'CH4 TOTAL'!</v>
      </c>
      <c r="F6">
        <f t="shared" ca="1" si="3"/>
        <v>102</v>
      </c>
      <c r="G6">
        <f t="shared" ca="1" si="3"/>
        <v>102</v>
      </c>
      <c r="H6">
        <f t="shared" ca="1" si="3"/>
        <v>102</v>
      </c>
      <c r="I6">
        <f t="shared" ca="1" si="3"/>
        <v>102</v>
      </c>
      <c r="J6">
        <f t="shared" ca="1" si="3"/>
        <v>102</v>
      </c>
      <c r="K6">
        <f t="shared" ca="1" si="3"/>
        <v>102</v>
      </c>
      <c r="L6">
        <f t="shared" ca="1" si="3"/>
        <v>102</v>
      </c>
      <c r="M6">
        <f t="shared" ca="1" si="3"/>
        <v>102</v>
      </c>
      <c r="N6">
        <f t="shared" ca="1" si="3"/>
        <v>102</v>
      </c>
      <c r="O6">
        <f t="shared" ca="1" si="3"/>
        <v>102</v>
      </c>
      <c r="P6">
        <f t="shared" ca="1" si="7"/>
        <v>8</v>
      </c>
      <c r="Q6">
        <f t="shared" ca="1" si="4"/>
        <v>10</v>
      </c>
      <c r="R6">
        <f t="shared" ca="1" si="4"/>
        <v>16</v>
      </c>
      <c r="S6">
        <f t="shared" ca="1" si="4"/>
        <v>18</v>
      </c>
      <c r="T6">
        <f t="shared" ca="1" si="4"/>
        <v>20</v>
      </c>
      <c r="U6">
        <f t="shared" ca="1" si="4"/>
        <v>22</v>
      </c>
      <c r="V6">
        <f t="shared" ca="1" si="4"/>
        <v>24</v>
      </c>
      <c r="W6">
        <f t="shared" ca="1" si="4"/>
        <v>26</v>
      </c>
      <c r="X6">
        <f t="shared" ca="1" si="4"/>
        <v>28</v>
      </c>
      <c r="Y6">
        <f t="shared" ca="1" si="4"/>
        <v>30</v>
      </c>
      <c r="Z6" s="3" cm="1">
        <f t="array" aca="1" ref="Z6" ca="1">INDEX(INDIRECT(CONCATENATE($E6,"$A$1:$AM$120")),F6,P6)</f>
        <v>361.49865</v>
      </c>
      <c r="AA6" s="3" cm="1">
        <f t="array" aca="1" ref="AA6" ca="1">INDEX(INDIRECT(CONCATENATE($E6,"$A$1:$AM$120")),G6,Q6)</f>
        <v>383.44080000000002</v>
      </c>
      <c r="AB6" s="3" cm="1">
        <f t="array" aca="1" ref="AB6" ca="1">INDEX(INDIRECT(CONCATENATE($E6,"$A$1:$AM$120")),H6,R6)</f>
        <v>263.12630000000001</v>
      </c>
      <c r="AC6" s="3" cm="1">
        <f t="array" aca="1" ref="AC6" ca="1">INDEX(INDIRECT(CONCATENATE($E6,"$A$1:$AM$120")),I6,S6)</f>
        <v>221.3143</v>
      </c>
      <c r="AD6" s="3" cm="1">
        <f t="array" aca="1" ref="AD6" ca="1">INDEX(INDIRECT(CONCATENATE($E6,"$A$1:$AM$120")),J6,T6)</f>
        <v>199.23050000000001</v>
      </c>
      <c r="AE6" s="3" cm="1">
        <f t="array" aca="1" ref="AE6" ca="1">INDEX(INDIRECT(CONCATENATE($E6,"$A$1:$AM$120")),K6,U6)</f>
        <v>197.04</v>
      </c>
      <c r="AF6" s="3" cm="1">
        <f t="array" aca="1" ref="AF6" ca="1">INDEX(INDIRECT(CONCATENATE($E6,"$A$1:$AM$120")),L6,V6)</f>
        <v>192.52789999999999</v>
      </c>
      <c r="AG6" s="3" cm="1">
        <f t="array" aca="1" ref="AG6" ca="1">INDEX(INDIRECT(CONCATENATE($E6,"$A$1:$AM$120")),M6,W6)</f>
        <v>183.41640000000001</v>
      </c>
      <c r="AH6" s="3" cm="1">
        <f t="array" aca="1" ref="AH6" ca="1">INDEX(INDIRECT(CONCATENATE($E6,"$A$1:$AM$120")),N6,X6)</f>
        <v>171.74789999999999</v>
      </c>
      <c r="AI6" s="3" cm="1">
        <f t="array" aca="1" ref="AI6" ca="1">INDEX(INDIRECT(CONCATENATE($E6,"$A$1:$AM$120")),O6,Y6)</f>
        <v>163.56389999999999</v>
      </c>
      <c r="AJ6" s="3"/>
      <c r="AK6" s="194">
        <f t="shared" ca="1" si="5"/>
        <v>11974.938849999999</v>
      </c>
      <c r="AL6" s="3">
        <f t="shared" ca="1" si="8"/>
        <v>-184.21030000000002</v>
      </c>
      <c r="AM6">
        <f t="shared" ref="AM6:AV6" ca="1" si="10">Z6/Z$57*GWP_Methane</f>
        <v>1.4593855254627175</v>
      </c>
      <c r="AN6">
        <f t="shared" ca="1" si="10"/>
        <v>1.3917065258312185</v>
      </c>
      <c r="AO6">
        <f t="shared" ca="1" si="10"/>
        <v>0.88325484642267182</v>
      </c>
      <c r="AP6">
        <f t="shared" ca="1" si="10"/>
        <v>0.70094895958947157</v>
      </c>
      <c r="AQ6">
        <f t="shared" ca="1" si="10"/>
        <v>0.60674762654871062</v>
      </c>
      <c r="AR6">
        <f t="shared" ca="1" si="10"/>
        <v>0.58676602426135926</v>
      </c>
      <c r="AS6">
        <f t="shared" ca="1" si="10"/>
        <v>0.569524266505958</v>
      </c>
      <c r="AT6">
        <f t="shared" ca="1" si="10"/>
        <v>0.54592067877580519</v>
      </c>
      <c r="AU6">
        <f t="shared" ca="1" si="10"/>
        <v>0.51966361375447245</v>
      </c>
      <c r="AV6">
        <f t="shared" ca="1" si="10"/>
        <v>0.50703899951508002</v>
      </c>
    </row>
    <row r="7" spans="1:48" ht="15.75">
      <c r="A7" s="5" t="s">
        <v>69</v>
      </c>
      <c r="B7" s="5" t="s">
        <v>70</v>
      </c>
      <c r="C7" s="6" t="s">
        <v>45</v>
      </c>
      <c r="D7" s="29" t="s">
        <v>71</v>
      </c>
      <c r="E7" t="str">
        <f t="shared" si="2"/>
        <v>'CH4 AFOLU'!</v>
      </c>
      <c r="F7">
        <f t="shared" ca="1" si="3"/>
        <v>100</v>
      </c>
      <c r="G7">
        <f t="shared" ca="1" si="3"/>
        <v>100</v>
      </c>
      <c r="H7">
        <f t="shared" ca="1" si="3"/>
        <v>100</v>
      </c>
      <c r="I7">
        <f t="shared" ca="1" si="3"/>
        <v>100</v>
      </c>
      <c r="J7">
        <f t="shared" ca="1" si="3"/>
        <v>100</v>
      </c>
      <c r="K7">
        <f t="shared" ca="1" si="3"/>
        <v>100</v>
      </c>
      <c r="L7">
        <f t="shared" ca="1" si="3"/>
        <v>100</v>
      </c>
      <c r="M7">
        <f t="shared" ca="1" si="3"/>
        <v>100</v>
      </c>
      <c r="N7">
        <f t="shared" ca="1" si="3"/>
        <v>100</v>
      </c>
      <c r="O7">
        <f t="shared" ca="1" si="3"/>
        <v>100</v>
      </c>
      <c r="P7">
        <f t="shared" ca="1" si="7"/>
        <v>8</v>
      </c>
      <c r="Q7">
        <f t="shared" ca="1" si="4"/>
        <v>10</v>
      </c>
      <c r="R7">
        <f t="shared" ca="1" si="4"/>
        <v>12</v>
      </c>
      <c r="S7">
        <f t="shared" ca="1" si="4"/>
        <v>14</v>
      </c>
      <c r="T7">
        <f t="shared" ca="1" si="4"/>
        <v>16</v>
      </c>
      <c r="U7">
        <f t="shared" ca="1" si="4"/>
        <v>18</v>
      </c>
      <c r="V7">
        <f t="shared" ca="1" si="4"/>
        <v>20</v>
      </c>
      <c r="W7">
        <f t="shared" ca="1" si="4"/>
        <v>22</v>
      </c>
      <c r="X7">
        <f t="shared" ca="1" si="4"/>
        <v>24</v>
      </c>
      <c r="Y7">
        <f t="shared" ca="1" si="4"/>
        <v>26</v>
      </c>
      <c r="Z7" s="5" cm="1">
        <f t="array" aca="1" ref="Z7" ca="1">INDEX(INDIRECT(CONCATENATE($E7,"$A$1:$AM$120")),F7,P7)</f>
        <v>148.36183193616341</v>
      </c>
      <c r="AA7" s="5" cm="1">
        <f t="array" aca="1" ref="AA7" ca="1">INDEX(INDIRECT(CONCATENATE($E7,"$A$1:$AM$120")),G7,Q7)</f>
        <v>162.42509999999999</v>
      </c>
      <c r="AB7" s="5" cm="1">
        <f t="array" aca="1" ref="AB7" ca="1">INDEX(INDIRECT(CONCATENATE($E7,"$A$1:$AM$120")),H7,R7)</f>
        <v>143.12870000000001</v>
      </c>
      <c r="AC7" s="5" cm="1">
        <f t="array" aca="1" ref="AC7" ca="1">INDEX(INDIRECT(CONCATENATE($E7,"$A$1:$AM$120")),I7,S7)</f>
        <v>138.54451844096181</v>
      </c>
      <c r="AD7" s="5" cm="1">
        <f t="array" aca="1" ref="AD7" ca="1">INDEX(INDIRECT(CONCATENATE($E7,"$A$1:$AM$120")),J7,T7)</f>
        <v>127.77412854135039</v>
      </c>
      <c r="AE7" s="5" cm="1">
        <f t="array" aca="1" ref="AE7" ca="1">INDEX(INDIRECT(CONCATENATE($E7,"$A$1:$AM$120")),K7,U7)</f>
        <v>130.86054340004921</v>
      </c>
      <c r="AF7" s="5" cm="1">
        <f t="array" aca="1" ref="AF7" ca="1">INDEX(INDIRECT(CONCATENATE($E7,"$A$1:$AM$120")),L7,V7)</f>
        <v>131.19359555840489</v>
      </c>
      <c r="AG7" s="5" cm="1">
        <f t="array" aca="1" ref="AG7" ca="1">INDEX(INDIRECT(CONCATENATE($E7,"$A$1:$AM$120")),M7,W7)</f>
        <v>132.23177498579031</v>
      </c>
      <c r="AH7" s="5" cm="1">
        <f t="array" aca="1" ref="AH7" ca="1">INDEX(INDIRECT(CONCATENATE($E7,"$A$1:$AM$120")),N7,X7)</f>
        <v>126.3449</v>
      </c>
      <c r="AI7" s="5" cm="1">
        <f t="array" aca="1" ref="AI7" ca="1">INDEX(INDIRECT(CONCATENATE($E7,"$A$1:$AM$120")),O7,Y7)</f>
        <v>121.6367</v>
      </c>
      <c r="AJ7" s="3"/>
      <c r="AK7" s="194">
        <f t="shared" ca="1" si="5"/>
        <v>7017.9817293948408</v>
      </c>
      <c r="AL7" s="5">
        <f t="shared" ca="1" si="8"/>
        <v>-34.650971458649593</v>
      </c>
      <c r="AM7">
        <f t="shared" ref="AM7:AV7" ca="1" si="11">Z7/Z$55*GWP_Methane</f>
        <v>0.60063928772039443</v>
      </c>
      <c r="AN7">
        <f t="shared" ca="1" si="11"/>
        <v>0.59423470489608854</v>
      </c>
      <c r="AO7">
        <f t="shared" ca="1" si="11"/>
        <v>0.48356776060159462</v>
      </c>
      <c r="AP7">
        <f t="shared" ca="1" si="11"/>
        <v>0.44032474995047444</v>
      </c>
      <c r="AQ7">
        <f t="shared" ca="1" si="11"/>
        <v>0.38944667097489594</v>
      </c>
      <c r="AR7">
        <f t="shared" ca="1" si="11"/>
        <v>0.38999970678418772</v>
      </c>
      <c r="AS7">
        <f t="shared" ca="1" si="11"/>
        <v>0.38839522492838957</v>
      </c>
      <c r="AT7">
        <f t="shared" ca="1" si="11"/>
        <v>0.39357790680837229</v>
      </c>
      <c r="AU7">
        <f t="shared" ca="1" si="11"/>
        <v>0.3825736952351031</v>
      </c>
      <c r="AV7">
        <f t="shared" ca="1" si="11"/>
        <v>0.37759970070770932</v>
      </c>
    </row>
    <row r="8" spans="1:48" ht="15.75">
      <c r="A8" s="5" t="s">
        <v>72</v>
      </c>
      <c r="B8" s="5"/>
      <c r="C8" s="6" t="s">
        <v>45</v>
      </c>
      <c r="D8" s="29" t="s">
        <v>71</v>
      </c>
      <c r="E8" t="str">
        <f t="shared" si="2"/>
        <v>'CH4 AFOLU'!</v>
      </c>
      <c r="F8">
        <f t="shared" ca="1" si="3"/>
        <v>101</v>
      </c>
      <c r="G8">
        <f t="shared" ca="1" si="3"/>
        <v>101</v>
      </c>
      <c r="H8">
        <f t="shared" ca="1" si="3"/>
        <v>101</v>
      </c>
      <c r="I8">
        <f t="shared" ca="1" si="3"/>
        <v>101</v>
      </c>
      <c r="J8">
        <f t="shared" ca="1" si="3"/>
        <v>101</v>
      </c>
      <c r="K8">
        <f t="shared" ca="1" si="3"/>
        <v>101</v>
      </c>
      <c r="L8">
        <f t="shared" ca="1" si="3"/>
        <v>101</v>
      </c>
      <c r="M8">
        <f t="shared" ca="1" si="3"/>
        <v>101</v>
      </c>
      <c r="N8">
        <f t="shared" ca="1" si="3"/>
        <v>101</v>
      </c>
      <c r="O8">
        <f t="shared" ca="1" si="3"/>
        <v>101</v>
      </c>
      <c r="P8">
        <f t="shared" ca="1" si="7"/>
        <v>8</v>
      </c>
      <c r="Q8">
        <f t="shared" ca="1" si="4"/>
        <v>10</v>
      </c>
      <c r="R8">
        <f t="shared" ca="1" si="4"/>
        <v>12</v>
      </c>
      <c r="S8">
        <f t="shared" ca="1" si="4"/>
        <v>14</v>
      </c>
      <c r="T8">
        <f t="shared" ca="1" si="4"/>
        <v>16</v>
      </c>
      <c r="U8">
        <f t="shared" ca="1" si="4"/>
        <v>18</v>
      </c>
      <c r="V8">
        <f t="shared" ca="1" si="4"/>
        <v>20</v>
      </c>
      <c r="W8">
        <f t="shared" ca="1" si="4"/>
        <v>22</v>
      </c>
      <c r="X8">
        <f t="shared" ca="1" si="4"/>
        <v>24</v>
      </c>
      <c r="Y8">
        <f t="shared" ca="1" si="4"/>
        <v>26</v>
      </c>
      <c r="Z8" s="5" cm="1">
        <f t="array" aca="1" ref="Z8" ca="1">INDEX(INDIRECT(CONCATENATE($E8,"$A$1:$AM$120")),F8,P8)</f>
        <v>137.62000964999001</v>
      </c>
      <c r="AA8" s="5" cm="1">
        <f t="array" aca="1" ref="AA8" ca="1">INDEX(INDIRECT(CONCATENATE($E8,"$A$1:$AM$120")),G8,Q8)</f>
        <v>155.5091223</v>
      </c>
      <c r="AB8" s="5" cm="1">
        <f t="array" aca="1" ref="AB8" ca="1">INDEX(INDIRECT(CONCATENATE($E8,"$A$1:$AM$120")),H8,R8)</f>
        <v>120.5342315882444</v>
      </c>
      <c r="AC8" s="5" cm="1">
        <f t="array" aca="1" ref="AC8" ca="1">INDEX(INDIRECT(CONCATENATE($E8,"$A$1:$AM$120")),I8,S8)</f>
        <v>99.742045402526855</v>
      </c>
      <c r="AD8" s="5" cm="1">
        <f t="array" aca="1" ref="AD8" ca="1">INDEX(INDIRECT(CONCATENATE($E8,"$A$1:$AM$120")),J8,T8)</f>
        <v>93.379018675862397</v>
      </c>
      <c r="AE8" s="5" cm="1">
        <f t="array" aca="1" ref="AE8" ca="1">INDEX(INDIRECT(CONCATENATE($E8,"$A$1:$AM$120")),K8,U8)</f>
        <v>89.040689560639308</v>
      </c>
      <c r="AF8" s="5" cm="1">
        <f t="array" aca="1" ref="AF8" ca="1">INDEX(INDIRECT(CONCATENATE($E8,"$A$1:$AM$120")),L8,V8)</f>
        <v>82.718074599999994</v>
      </c>
      <c r="AG8" s="5" cm="1">
        <f t="array" aca="1" ref="AG8" ca="1">INDEX(INDIRECT(CONCATENATE($E8,"$A$1:$AM$120")),M8,W8)</f>
        <v>77.476365299999998</v>
      </c>
      <c r="AH8" s="5" cm="1">
        <f t="array" aca="1" ref="AH8" ca="1">INDEX(INDIRECT(CONCATENATE($E8,"$A$1:$AM$120")),N8,X8)</f>
        <v>75.616620429875596</v>
      </c>
      <c r="AI8" s="5" cm="1">
        <f t="array" aca="1" ref="AI8" ca="1">INDEX(INDIRECT(CONCATENATE($E8,"$A$1:$AM$120")),O8,Y8)</f>
        <v>71.201505240000003</v>
      </c>
      <c r="AJ8" s="3"/>
      <c r="AK8" s="194">
        <f t="shared" ca="1" si="5"/>
        <v>5337.2094352227296</v>
      </c>
      <c r="AL8" s="5">
        <f t="shared" ca="1" si="8"/>
        <v>-62.130103624137604</v>
      </c>
      <c r="AM8">
        <f t="shared" ref="AM8:AV8" ca="1" si="12">Z8/Z$56*GWP_Methane</f>
        <v>0.56110986111718597</v>
      </c>
      <c r="AN8">
        <f t="shared" ca="1" si="12"/>
        <v>0.5720815141271145</v>
      </c>
      <c r="AO8">
        <f ca="1">AB8/AB$56*GWP_Methane</f>
        <v>0.40849220157260457</v>
      </c>
      <c r="AP8">
        <f t="shared" ca="1" si="12"/>
        <v>0.31782623558922052</v>
      </c>
      <c r="AQ8">
        <f t="shared" ca="1" si="12"/>
        <v>0.28515445042366672</v>
      </c>
      <c r="AR8">
        <f t="shared" ca="1" si="12"/>
        <v>0.26565998995150619</v>
      </c>
      <c r="AS8">
        <f t="shared" ca="1" si="12"/>
        <v>0.24491228489734457</v>
      </c>
      <c r="AT8">
        <f t="shared" ca="1" si="12"/>
        <v>0.23078385428734649</v>
      </c>
      <c r="AU8">
        <f t="shared" ca="1" si="12"/>
        <v>0.22915295487860005</v>
      </c>
      <c r="AV8">
        <f t="shared" ca="1" si="12"/>
        <v>0.22121562905089232</v>
      </c>
    </row>
    <row r="9" spans="1:48" ht="15.75">
      <c r="A9" s="5" t="s">
        <v>73</v>
      </c>
      <c r="B9" s="5"/>
      <c r="C9" s="6" t="s">
        <v>45</v>
      </c>
      <c r="D9" s="29" t="s">
        <v>71</v>
      </c>
      <c r="E9" t="str">
        <f t="shared" si="2"/>
        <v>'CH4 AFOLU'!</v>
      </c>
      <c r="F9">
        <f t="shared" ca="1" si="3"/>
        <v>102</v>
      </c>
      <c r="G9">
        <f t="shared" ca="1" si="3"/>
        <v>102</v>
      </c>
      <c r="H9">
        <f t="shared" ca="1" si="3"/>
        <v>102</v>
      </c>
      <c r="I9">
        <f t="shared" ca="1" si="3"/>
        <v>102</v>
      </c>
      <c r="J9">
        <f t="shared" ca="1" si="3"/>
        <v>102</v>
      </c>
      <c r="K9">
        <f t="shared" ca="1" si="3"/>
        <v>102</v>
      </c>
      <c r="L9">
        <f t="shared" ca="1" si="3"/>
        <v>102</v>
      </c>
      <c r="M9">
        <f t="shared" ca="1" si="3"/>
        <v>102</v>
      </c>
      <c r="N9">
        <f t="shared" ca="1" si="3"/>
        <v>102</v>
      </c>
      <c r="O9">
        <f t="shared" ca="1" si="3"/>
        <v>102</v>
      </c>
      <c r="P9">
        <f t="shared" ca="1" si="7"/>
        <v>8</v>
      </c>
      <c r="Q9">
        <f t="shared" ca="1" si="4"/>
        <v>10</v>
      </c>
      <c r="R9">
        <f t="shared" ca="1" si="4"/>
        <v>12</v>
      </c>
      <c r="S9">
        <f t="shared" ca="1" si="4"/>
        <v>14</v>
      </c>
      <c r="T9">
        <f t="shared" ca="1" si="4"/>
        <v>16</v>
      </c>
      <c r="U9">
        <f t="shared" ca="1" si="4"/>
        <v>18</v>
      </c>
      <c r="V9">
        <f t="shared" ca="1" si="4"/>
        <v>20</v>
      </c>
      <c r="W9">
        <f t="shared" ca="1" si="4"/>
        <v>22</v>
      </c>
      <c r="X9">
        <f t="shared" ca="1" si="4"/>
        <v>24</v>
      </c>
      <c r="Y9">
        <f t="shared" ca="1" si="4"/>
        <v>26</v>
      </c>
      <c r="Z9" s="5" cm="1">
        <f t="array" aca="1" ref="Z9" ca="1">INDEX(INDIRECT(CONCATENATE($E9,"$A$1:$AM$120")),F9,P9)</f>
        <v>167.27748048305509</v>
      </c>
      <c r="AA9" s="5" cm="1">
        <f t="array" aca="1" ref="AA9" ca="1">INDEX(INDIRECT(CONCATENATE($E9,"$A$1:$AM$120")),G9,Q9)</f>
        <v>163.66640000000001</v>
      </c>
      <c r="AB9" s="5" cm="1">
        <f t="array" aca="1" ref="AB9" ca="1">INDEX(INDIRECT(CONCATENATE($E9,"$A$1:$AM$120")),H9,R9)</f>
        <v>151.804536828903</v>
      </c>
      <c r="AC9" s="5" cm="1">
        <f t="array" aca="1" ref="AC9" ca="1">INDEX(INDIRECT(CONCATENATE($E9,"$A$1:$AM$120")),I9,S9)</f>
        <v>149.4479</v>
      </c>
      <c r="AD9" s="5" cm="1">
        <f t="array" aca="1" ref="AD9" ca="1">INDEX(INDIRECT(CONCATENATE($E9,"$A$1:$AM$120")),J9,T9)</f>
        <v>145.14349999999999</v>
      </c>
      <c r="AE9" s="5" cm="1">
        <f t="array" aca="1" ref="AE9" ca="1">INDEX(INDIRECT(CONCATENATE($E9,"$A$1:$AM$120")),K9,U9)</f>
        <v>146.1919</v>
      </c>
      <c r="AF9" s="5" cm="1">
        <f t="array" aca="1" ref="AF9" ca="1">INDEX(INDIRECT(CONCATENATE($E9,"$A$1:$AM$120")),L9,V9)</f>
        <v>143.65770000000001</v>
      </c>
      <c r="AG9" s="5" cm="1">
        <f t="array" aca="1" ref="AG9" ca="1">INDEX(INDIRECT(CONCATENATE($E9,"$A$1:$AM$120")),M9,W9)</f>
        <v>136.7295</v>
      </c>
      <c r="AH9" s="5" cm="1">
        <f t="array" aca="1" ref="AH9" ca="1">INDEX(INDIRECT(CONCATENATE($E9,"$A$1:$AM$120")),N9,X9)</f>
        <v>130.45727527141571</v>
      </c>
      <c r="AI9" s="5" cm="1">
        <f t="array" aca="1" ref="AI9" ca="1">INDEX(INDIRECT(CONCATENATE($E9,"$A$1:$AM$120")),O9,Y9)</f>
        <v>122.3856</v>
      </c>
      <c r="AJ9" s="3"/>
      <c r="AK9" s="194">
        <f t="shared" ca="1" si="5"/>
        <v>7616.1609182890306</v>
      </c>
      <c r="AL9" s="5">
        <f t="shared" ca="1" si="8"/>
        <v>-18.522900000000021</v>
      </c>
      <c r="AM9">
        <f t="shared" ref="AM9:AV9" ca="1" si="13">Z9/Z$57*GWP_Methane</f>
        <v>0.67530634969962633</v>
      </c>
      <c r="AN9">
        <f t="shared" ca="1" si="13"/>
        <v>0.59403067419873556</v>
      </c>
      <c r="AO9">
        <f t="shared" ca="1" si="13"/>
        <v>0.50957313222995015</v>
      </c>
      <c r="AP9">
        <f t="shared" ca="1" si="13"/>
        <v>0.47333294783857799</v>
      </c>
      <c r="AQ9">
        <f t="shared" ca="1" si="13"/>
        <v>0.44202807368336061</v>
      </c>
      <c r="AR9">
        <f t="shared" ca="1" si="13"/>
        <v>0.43534531030356383</v>
      </c>
      <c r="AS9">
        <f t="shared" ca="1" si="13"/>
        <v>0.42495942780466089</v>
      </c>
      <c r="AT9">
        <f t="shared" ca="1" si="13"/>
        <v>0.40696176268139844</v>
      </c>
      <c r="AU9">
        <f t="shared" ca="1" si="13"/>
        <v>0.39472912977745794</v>
      </c>
      <c r="AV9">
        <f t="shared" ca="1" si="13"/>
        <v>0.37938855810513672</v>
      </c>
    </row>
    <row r="10" spans="1:48" ht="15.75">
      <c r="A10" s="7" t="s">
        <v>69</v>
      </c>
      <c r="B10" s="7" t="s">
        <v>70</v>
      </c>
      <c r="C10" s="8" t="s">
        <v>74</v>
      </c>
      <c r="D10" s="30" t="s">
        <v>75</v>
      </c>
      <c r="E10" t="str">
        <f t="shared" si="2"/>
        <v>'NET CO2'!</v>
      </c>
      <c r="F10">
        <f t="shared" ca="1" si="3"/>
        <v>100</v>
      </c>
      <c r="G10">
        <f t="shared" ca="1" si="3"/>
        <v>100</v>
      </c>
      <c r="H10">
        <f t="shared" ca="1" si="3"/>
        <v>100</v>
      </c>
      <c r="I10">
        <f t="shared" ca="1" si="3"/>
        <v>100</v>
      </c>
      <c r="J10">
        <f t="shared" ca="1" si="3"/>
        <v>100</v>
      </c>
      <c r="K10">
        <f t="shared" ca="1" si="3"/>
        <v>100</v>
      </c>
      <c r="L10">
        <f t="shared" ca="1" si="3"/>
        <v>100</v>
      </c>
      <c r="M10">
        <f t="shared" ca="1" si="3"/>
        <v>100</v>
      </c>
      <c r="N10">
        <f t="shared" ca="1" si="3"/>
        <v>100</v>
      </c>
      <c r="O10">
        <f t="shared" ca="1" si="3"/>
        <v>100</v>
      </c>
      <c r="P10">
        <f t="shared" ca="1" si="7"/>
        <v>8</v>
      </c>
      <c r="Q10">
        <f t="shared" ca="1" si="4"/>
        <v>10</v>
      </c>
      <c r="R10">
        <f t="shared" ca="1" si="4"/>
        <v>16</v>
      </c>
      <c r="S10">
        <f t="shared" ca="1" si="4"/>
        <v>18</v>
      </c>
      <c r="T10">
        <f t="shared" ca="1" si="4"/>
        <v>20</v>
      </c>
      <c r="U10">
        <f t="shared" ca="1" si="4"/>
        <v>22</v>
      </c>
      <c r="V10">
        <f t="shared" ca="1" si="4"/>
        <v>24</v>
      </c>
      <c r="W10">
        <f t="shared" ca="1" si="4"/>
        <v>26</v>
      </c>
      <c r="X10">
        <f t="shared" ca="1" si="4"/>
        <v>28</v>
      </c>
      <c r="Y10">
        <f t="shared" ca="1" si="4"/>
        <v>30</v>
      </c>
      <c r="Z10" s="7" cm="1">
        <f t="array" aca="1" ref="Z10" ca="1">INDEX(INDIRECT(CONCATENATE($E10,"$A$1:$AM$120")),F10,P10)</f>
        <v>37208.8436</v>
      </c>
      <c r="AA10" s="7" cm="1">
        <f t="array" aca="1" ref="AA10" ca="1">INDEX(INDIRECT(CONCATENATE($E10,"$A$1:$AM$120")),G10,Q10)</f>
        <v>39878.556700000001</v>
      </c>
      <c r="AB10" s="7" cm="1">
        <f t="array" aca="1" ref="AB10" ca="1">INDEX(INDIRECT(CONCATENATE($E10,"$A$1:$AM$120")),H10,R10)</f>
        <v>21459.435223305019</v>
      </c>
      <c r="AC10" s="7" cm="1">
        <f t="array" aca="1" ref="AC10" ca="1">INDEX(INDIRECT(CONCATENATE($E10,"$A$1:$AM$120")),I10,S10)</f>
        <v>9285.9841879037504</v>
      </c>
      <c r="AD10" s="7" cm="1">
        <f t="array" aca="1" ref="AD10" ca="1">INDEX(INDIRECT(CONCATENATE($E10,"$A$1:$AM$120")),J10,T10)</f>
        <v>1372.9554000000001</v>
      </c>
      <c r="AE10" s="7" cm="1">
        <f t="array" aca="1" ref="AE10" ca="1">INDEX(INDIRECT(CONCATENATE($E10,"$A$1:$AM$120")),K10,U10)</f>
        <v>-1204.7492999999999</v>
      </c>
      <c r="AF10" s="7" cm="1">
        <f t="array" aca="1" ref="AF10" ca="1">INDEX(INDIRECT(CONCATENATE($E10,"$A$1:$AM$120")),L10,V10)</f>
        <v>-2595.8764650797389</v>
      </c>
      <c r="AG10" s="7" cm="1">
        <f t="array" aca="1" ref="AG10" ca="1">INDEX(INDIRECT(CONCATENATE($E10,"$A$1:$AM$120")),M10,W10)</f>
        <v>-4620.6162109375</v>
      </c>
      <c r="AH10" s="7" cm="1">
        <f t="array" aca="1" ref="AH10" ca="1">INDEX(INDIRECT(CONCATENATE($E10,"$A$1:$AM$120")),N10,X10)</f>
        <v>-5802.1188736448203</v>
      </c>
      <c r="AI10" s="7" cm="1">
        <f t="array" aca="1" ref="AI10" ca="1">INDEX(INDIRECT(CONCATENATE($E10,"$A$1:$AM$120")),O10,Y10)</f>
        <v>-6818.7646000000004</v>
      </c>
      <c r="AJ10" s="3"/>
      <c r="AK10" s="194">
        <f t="shared" ca="1" si="5"/>
        <v>514190.99640414922</v>
      </c>
      <c r="AL10" s="7">
        <f t="shared" ca="1" si="8"/>
        <v>-38505.601300000002</v>
      </c>
      <c r="AM10">
        <f t="shared" ref="AM10:AV10" ca="1" si="14">Z10/Z$55</f>
        <v>5.3799679725914578</v>
      </c>
      <c r="AN10">
        <f t="shared" ca="1" si="14"/>
        <v>5.2105824188473058</v>
      </c>
      <c r="AO10">
        <f t="shared" ca="1" si="14"/>
        <v>2.5893506620037443</v>
      </c>
      <c r="AP10">
        <f t="shared" ca="1" si="14"/>
        <v>1.0540316652609201</v>
      </c>
      <c r="AQ10">
        <f t="shared" ca="1" si="14"/>
        <v>0.1494525971144153</v>
      </c>
      <c r="AR10">
        <f t="shared" ca="1" si="14"/>
        <v>-0.12823134939265829</v>
      </c>
      <c r="AS10">
        <f t="shared" ca="1" si="14"/>
        <v>-0.27446516818185546</v>
      </c>
      <c r="AT10">
        <f t="shared" ca="1" si="14"/>
        <v>-0.49117556131514384</v>
      </c>
      <c r="AU10">
        <f t="shared" ca="1" si="14"/>
        <v>-0.62745990699258058</v>
      </c>
      <c r="AV10">
        <f t="shared" ca="1" si="14"/>
        <v>-0.75598761139768889</v>
      </c>
    </row>
    <row r="11" spans="1:48" ht="15.75">
      <c r="A11" s="7" t="s">
        <v>72</v>
      </c>
      <c r="B11" s="7"/>
      <c r="C11" s="8" t="s">
        <v>74</v>
      </c>
      <c r="D11" s="30" t="s">
        <v>75</v>
      </c>
      <c r="E11" t="str">
        <f t="shared" si="2"/>
        <v>'NET CO2'!</v>
      </c>
      <c r="F11">
        <f t="shared" ca="1" si="3"/>
        <v>101</v>
      </c>
      <c r="G11">
        <f t="shared" ca="1" si="3"/>
        <v>101</v>
      </c>
      <c r="H11">
        <f t="shared" ca="1" si="3"/>
        <v>101</v>
      </c>
      <c r="I11">
        <f t="shared" ca="1" si="3"/>
        <v>101</v>
      </c>
      <c r="J11">
        <f t="shared" ca="1" si="3"/>
        <v>101</v>
      </c>
      <c r="K11">
        <f t="shared" ca="1" si="3"/>
        <v>101</v>
      </c>
      <c r="L11">
        <f t="shared" ca="1" si="3"/>
        <v>101</v>
      </c>
      <c r="M11">
        <f t="shared" ca="1" si="3"/>
        <v>101</v>
      </c>
      <c r="N11">
        <f t="shared" ca="1" si="3"/>
        <v>101</v>
      </c>
      <c r="O11">
        <f t="shared" ca="1" si="3"/>
        <v>101</v>
      </c>
      <c r="P11">
        <f t="shared" ca="1" si="7"/>
        <v>8</v>
      </c>
      <c r="Q11">
        <f t="shared" ca="1" si="4"/>
        <v>10</v>
      </c>
      <c r="R11">
        <f t="shared" ca="1" si="4"/>
        <v>16</v>
      </c>
      <c r="S11">
        <f t="shared" ca="1" si="4"/>
        <v>18</v>
      </c>
      <c r="T11">
        <f t="shared" ca="1" si="4"/>
        <v>20</v>
      </c>
      <c r="U11">
        <f t="shared" ca="1" si="4"/>
        <v>22</v>
      </c>
      <c r="V11">
        <f t="shared" ca="1" si="4"/>
        <v>24</v>
      </c>
      <c r="W11">
        <f t="shared" ca="1" si="4"/>
        <v>26</v>
      </c>
      <c r="X11">
        <f t="shared" ca="1" si="4"/>
        <v>28</v>
      </c>
      <c r="Y11">
        <f t="shared" ca="1" si="4"/>
        <v>30</v>
      </c>
      <c r="Z11" s="7" cm="1">
        <f t="array" aca="1" ref="Z11" ca="1">INDEX(INDIRECT(CONCATENATE($E11,"$A$1:$AM$120")),F11,P11)</f>
        <v>36092.875699999997</v>
      </c>
      <c r="AA11" s="7" cm="1">
        <f t="array" aca="1" ref="AA11" ca="1">INDEX(INDIRECT(CONCATENATE($E11,"$A$1:$AM$120")),G11,Q11)</f>
        <v>39240.891499999998</v>
      </c>
      <c r="AB11" s="7" cm="1">
        <f t="array" aca="1" ref="AB11" ca="1">INDEX(INDIRECT(CONCATENATE($E11,"$A$1:$AM$120")),H11,R11)</f>
        <v>17806.9643</v>
      </c>
      <c r="AC11" s="7" cm="1">
        <f t="array" aca="1" ref="AC11" ca="1">INDEX(INDIRECT(CONCATENATE($E11,"$A$1:$AM$120")),I11,S11)</f>
        <v>7044.4929000000011</v>
      </c>
      <c r="AD11" s="7" cm="1">
        <f t="array" aca="1" ref="AD11" ca="1">INDEX(INDIRECT(CONCATENATE($E11,"$A$1:$AM$120")),J11,T11)</f>
        <v>-491.82386059454598</v>
      </c>
      <c r="AE11" s="7" cm="1">
        <f t="array" aca="1" ref="AE11" ca="1">INDEX(INDIRECT(CONCATENATE($E11,"$A$1:$AM$120")),K11,U11)</f>
        <v>-5721.4331874999998</v>
      </c>
      <c r="AF11" s="7" cm="1">
        <f t="array" aca="1" ref="AF11" ca="1">INDEX(INDIRECT(CONCATENATE($E11,"$A$1:$AM$120")),L11,V11)</f>
        <v>-7004.2178000000004</v>
      </c>
      <c r="AG11" s="7" cm="1">
        <f t="array" aca="1" ref="AG11" ca="1">INDEX(INDIRECT(CONCATENATE($E11,"$A$1:$AM$120")),M11,W11)</f>
        <v>-8000.0064412450001</v>
      </c>
      <c r="AH11" s="7" cm="1">
        <f t="array" aca="1" ref="AH11" ca="1">INDEX(INDIRECT(CONCATENATE($E11,"$A$1:$AM$120")),N11,X11)</f>
        <v>-10423.411072400229</v>
      </c>
      <c r="AI11" s="7" cm="1">
        <f t="array" aca="1" ref="AI11" ca="1">INDEX(INDIRECT(CONCATENATE($E11,"$A$1:$AM$120")),O11,Y11)</f>
        <v>-11338.93</v>
      </c>
      <c r="AJ11" s="3"/>
      <c r="AK11" s="194">
        <f t="shared" ca="1" si="5"/>
        <v>363683.70686905459</v>
      </c>
      <c r="AL11" s="7">
        <f t="shared" ca="1" si="8"/>
        <v>-39732.715360594542</v>
      </c>
      <c r="AM11">
        <f t="shared" ref="AM11:AV11" ca="1" si="15">Z11/Z$56</f>
        <v>5.2556903718471117</v>
      </c>
      <c r="AN11">
        <f t="shared" ca="1" si="15"/>
        <v>5.1556434882575131</v>
      </c>
      <c r="AO11">
        <f t="shared" ca="1" si="15"/>
        <v>2.1552875638919922</v>
      </c>
      <c r="AP11">
        <f t="shared" ca="1" si="15"/>
        <v>0.80168393057110865</v>
      </c>
      <c r="AQ11">
        <f t="shared" ca="1" si="15"/>
        <v>-5.3639214775975635E-2</v>
      </c>
      <c r="AR11">
        <f t="shared" ca="1" si="15"/>
        <v>-0.60965541652903121</v>
      </c>
      <c r="AS11">
        <f t="shared" ca="1" si="15"/>
        <v>-0.74064784580115228</v>
      </c>
      <c r="AT11">
        <f t="shared" ca="1" si="15"/>
        <v>-0.85107628523000844</v>
      </c>
      <c r="AU11">
        <f t="shared" ca="1" si="15"/>
        <v>-1.1281322968303069</v>
      </c>
      <c r="AV11">
        <f t="shared" ca="1" si="15"/>
        <v>-1.2581739089138162</v>
      </c>
    </row>
    <row r="12" spans="1:48" ht="15.75">
      <c r="A12" s="7" t="s">
        <v>73</v>
      </c>
      <c r="B12" s="7"/>
      <c r="C12" s="8" t="s">
        <v>74</v>
      </c>
      <c r="D12" s="30" t="s">
        <v>75</v>
      </c>
      <c r="E12" t="str">
        <f t="shared" si="2"/>
        <v>'NET CO2'!</v>
      </c>
      <c r="F12">
        <f t="shared" ca="1" si="3"/>
        <v>102</v>
      </c>
      <c r="G12">
        <f t="shared" ca="1" si="3"/>
        <v>102</v>
      </c>
      <c r="H12">
        <f t="shared" ca="1" si="3"/>
        <v>102</v>
      </c>
      <c r="I12">
        <f t="shared" ca="1" si="3"/>
        <v>102</v>
      </c>
      <c r="J12">
        <f t="shared" ca="1" si="3"/>
        <v>102</v>
      </c>
      <c r="K12">
        <f t="shared" ca="1" si="3"/>
        <v>102</v>
      </c>
      <c r="L12">
        <f t="shared" ca="1" si="3"/>
        <v>102</v>
      </c>
      <c r="M12">
        <f t="shared" ca="1" si="3"/>
        <v>102</v>
      </c>
      <c r="N12">
        <f t="shared" ca="1" si="3"/>
        <v>102</v>
      </c>
      <c r="O12">
        <f t="shared" ca="1" si="3"/>
        <v>102</v>
      </c>
      <c r="P12">
        <f t="shared" ca="1" si="7"/>
        <v>8</v>
      </c>
      <c r="Q12">
        <f t="shared" ca="1" si="4"/>
        <v>10</v>
      </c>
      <c r="R12">
        <f t="shared" ca="1" si="4"/>
        <v>16</v>
      </c>
      <c r="S12">
        <f t="shared" ca="1" si="4"/>
        <v>18</v>
      </c>
      <c r="T12">
        <f t="shared" ca="1" si="4"/>
        <v>20</v>
      </c>
      <c r="U12">
        <f t="shared" ca="1" si="4"/>
        <v>22</v>
      </c>
      <c r="V12">
        <f t="shared" ca="1" si="4"/>
        <v>24</v>
      </c>
      <c r="W12">
        <f t="shared" ca="1" si="4"/>
        <v>26</v>
      </c>
      <c r="X12">
        <f t="shared" ca="1" si="4"/>
        <v>28</v>
      </c>
      <c r="Y12">
        <f t="shared" ca="1" si="4"/>
        <v>30</v>
      </c>
      <c r="Z12" s="7" cm="1">
        <f t="array" aca="1" ref="Z12" ca="1">INDEX(INDIRECT(CONCATENATE($E12,"$A$1:$AM$120")),F12,P12)</f>
        <v>38824.405650000001</v>
      </c>
      <c r="AA12" s="7" cm="1">
        <f t="array" aca="1" ref="AA12" ca="1">INDEX(INDIRECT(CONCATENATE($E12,"$A$1:$AM$120")),G12,Q12)</f>
        <v>42049.680099999998</v>
      </c>
      <c r="AB12" s="7" cm="1">
        <f t="array" aca="1" ref="AB12" ca="1">INDEX(INDIRECT(CONCATENATE($E12,"$A$1:$AM$120")),H12,R12)</f>
        <v>23736.8547</v>
      </c>
      <c r="AC12" s="7" cm="1">
        <f t="array" aca="1" ref="AC12" ca="1">INDEX(INDIRECT(CONCATENATE($E12,"$A$1:$AM$120")),I12,S12)</f>
        <v>11035.706137070951</v>
      </c>
      <c r="AD12" s="7" cm="1">
        <f t="array" aca="1" ref="AD12" ca="1">INDEX(INDIRECT(CONCATENATE($E12,"$A$1:$AM$120")),J12,T12)</f>
        <v>3524.9076942892698</v>
      </c>
      <c r="AE12" s="7" cm="1">
        <f t="array" aca="1" ref="AE12" ca="1">INDEX(INDIRECT(CONCATENATE($E12,"$A$1:$AM$120")),K12,U12)</f>
        <v>24.760114000000002</v>
      </c>
      <c r="AF12" s="7" cm="1">
        <f t="array" aca="1" ref="AF12" ca="1">INDEX(INDIRECT(CONCATENATE($E12,"$A$1:$AM$120")),L12,V12)</f>
        <v>-53.365699999999997</v>
      </c>
      <c r="AG12" s="7" cm="1">
        <f t="array" aca="1" ref="AG12" ca="1">INDEX(INDIRECT(CONCATENATE($E12,"$A$1:$AM$120")),M12,W12)</f>
        <v>-44.347099999999998</v>
      </c>
      <c r="AH12" s="7" cm="1">
        <f t="array" aca="1" ref="AH12" ca="1">INDEX(INDIRECT(CONCATENATE($E12,"$A$1:$AM$120")),N12,X12)</f>
        <v>-51.723399999999998</v>
      </c>
      <c r="AI12" s="7" cm="1">
        <f t="array" aca="1" ref="AI12" ca="1">INDEX(INDIRECT(CONCATENATE($E12,"$A$1:$AM$120")),O12,Y12)</f>
        <v>-12.40947550952114</v>
      </c>
      <c r="AJ12" s="3"/>
      <c r="AK12" s="194">
        <f t="shared" ca="1" si="5"/>
        <v>614202.01565360231</v>
      </c>
      <c r="AL12" s="7">
        <f t="shared" ca="1" si="8"/>
        <v>-38524.772405710726</v>
      </c>
      <c r="AM12">
        <f t="shared" ref="AM12:AV12" ca="1" si="16">Z12/Z$57</f>
        <v>5.5977067016020818</v>
      </c>
      <c r="AN12">
        <f t="shared" ca="1" si="16"/>
        <v>5.4507216726140477</v>
      </c>
      <c r="AO12">
        <f t="shared" ca="1" si="16"/>
        <v>2.8456855608620781</v>
      </c>
      <c r="AP12">
        <f t="shared" ca="1" si="16"/>
        <v>1.2483001284203101</v>
      </c>
      <c r="AQ12">
        <f t="shared" ca="1" si="16"/>
        <v>0.38339105732758616</v>
      </c>
      <c r="AR12">
        <f t="shared" ca="1" si="16"/>
        <v>2.6333292826761106E-3</v>
      </c>
      <c r="AS12">
        <f t="shared" ca="1" si="16"/>
        <v>-5.6379697156094923E-3</v>
      </c>
      <c r="AT12">
        <f t="shared" ca="1" si="16"/>
        <v>-4.7140976437335461E-3</v>
      </c>
      <c r="AU12">
        <f t="shared" ca="1" si="16"/>
        <v>-5.5893320050717362E-3</v>
      </c>
      <c r="AV12">
        <f t="shared" ca="1" si="16"/>
        <v>-1.3738815853914165E-3</v>
      </c>
    </row>
    <row r="13" spans="1:48" ht="15.75">
      <c r="A13" s="23" t="s">
        <v>69</v>
      </c>
      <c r="B13" s="23" t="s">
        <v>70</v>
      </c>
      <c r="C13" s="24" t="s">
        <v>57</v>
      </c>
      <c r="D13" s="23" t="s">
        <v>76</v>
      </c>
      <c r="E13" t="str">
        <f t="shared" si="2"/>
        <v>'HFCs TOTAL'!</v>
      </c>
      <c r="F13">
        <f t="shared" ca="1" si="3"/>
        <v>100</v>
      </c>
      <c r="G13">
        <f t="shared" ca="1" si="3"/>
        <v>100</v>
      </c>
      <c r="H13">
        <f t="shared" ca="1" si="3"/>
        <v>100</v>
      </c>
      <c r="I13">
        <f t="shared" ca="1" si="3"/>
        <v>100</v>
      </c>
      <c r="J13">
        <f t="shared" ca="1" si="3"/>
        <v>100</v>
      </c>
      <c r="K13">
        <f t="shared" ca="1" si="3"/>
        <v>100</v>
      </c>
      <c r="L13">
        <f t="shared" ca="1" si="3"/>
        <v>100</v>
      </c>
      <c r="M13">
        <f t="shared" ca="1" si="3"/>
        <v>100</v>
      </c>
      <c r="N13">
        <f t="shared" ca="1" si="3"/>
        <v>100</v>
      </c>
      <c r="O13">
        <f t="shared" ca="1" si="3"/>
        <v>100</v>
      </c>
      <c r="P13">
        <f t="shared" ca="1" si="7"/>
        <v>8</v>
      </c>
      <c r="Q13">
        <f t="shared" ca="1" si="4"/>
        <v>10</v>
      </c>
      <c r="R13">
        <f t="shared" ca="1" si="4"/>
        <v>16</v>
      </c>
      <c r="S13">
        <f t="shared" ca="1" si="4"/>
        <v>18</v>
      </c>
      <c r="T13">
        <f t="shared" ca="1" si="4"/>
        <v>20</v>
      </c>
      <c r="U13">
        <f t="shared" ca="1" si="4"/>
        <v>22</v>
      </c>
      <c r="V13">
        <f t="shared" ca="1" si="4"/>
        <v>24</v>
      </c>
      <c r="W13">
        <f t="shared" ca="1" si="4"/>
        <v>26</v>
      </c>
      <c r="X13">
        <f t="shared" ca="1" si="4"/>
        <v>28</v>
      </c>
      <c r="Y13">
        <f t="shared" ca="1" si="4"/>
        <v>30</v>
      </c>
      <c r="Z13" s="23" cm="1">
        <f t="array" aca="1" ref="Z13" ca="1">INDEX(INDIRECT(CONCATENATE($E13,"$A$1:$AM$120")),F13,P13)</f>
        <v>422.50700000000001</v>
      </c>
      <c r="AA13" s="23" cm="1">
        <f t="array" aca="1" ref="AA13" ca="1">INDEX(INDIRECT(CONCATENATE($E13,"$A$1:$AM$120")),G13,Q13)</f>
        <v>830.38199999999995</v>
      </c>
      <c r="AB13" s="23" cm="1">
        <f t="array" aca="1" ref="AB13" ca="1">INDEX(INDIRECT(CONCATENATE($E13,"$A$1:$AM$120")),H13,R13)</f>
        <v>168.04949999999999</v>
      </c>
      <c r="AC13" s="23" cm="1">
        <f t="array" aca="1" ref="AC13" ca="1">INDEX(INDIRECT(CONCATENATE($E13,"$A$1:$AM$120")),I13,S13)</f>
        <v>65.994699999999995</v>
      </c>
      <c r="AD13" s="23" cm="1">
        <f t="array" aca="1" ref="AD13" ca="1">INDEX(INDIRECT(CONCATENATE($E13,"$A$1:$AM$120")),J13,T13)</f>
        <v>78.393199999999993</v>
      </c>
      <c r="AE13" s="23" cm="1">
        <f t="array" aca="1" ref="AE13" ca="1">INDEX(INDIRECT(CONCATENATE($E13,"$A$1:$AM$120")),K13,U13)</f>
        <v>90.263900000000007</v>
      </c>
      <c r="AF13" s="23" cm="1">
        <f t="array" aca="1" ref="AF13" ca="1">INDEX(INDIRECT(CONCATENATE($E13,"$A$1:$AM$120")),L13,V13)</f>
        <v>103.1664</v>
      </c>
      <c r="AG13" s="23" cm="1">
        <f t="array" aca="1" ref="AG13" ca="1">INDEX(INDIRECT(CONCATENATE($E13,"$A$1:$AM$120")),M13,W13)</f>
        <v>112.1283</v>
      </c>
      <c r="AH13" s="23" cm="1">
        <f t="array" aca="1" ref="AH13" ca="1">INDEX(INDIRECT(CONCATENATE($E13,"$A$1:$AM$120")),N13,X13)</f>
        <v>121.5713372955322</v>
      </c>
      <c r="AI13" s="23" cm="1">
        <f t="array" aca="1" ref="AI13" ca="1">INDEX(INDIRECT(CONCATENATE($E13,"$A$1:$AM$120")),O13,Y13)</f>
        <v>131.5187</v>
      </c>
      <c r="AJ13" s="3"/>
      <c r="AK13" s="194">
        <f t="shared" ca="1" si="5"/>
        <v>9161.529199999999</v>
      </c>
      <c r="AL13" s="23">
        <f t="shared" ca="1" si="8"/>
        <v>-751.98879999999997</v>
      </c>
      <c r="AM13">
        <f t="shared" ref="AM13:AV13" ca="1" si="17">Z13/Z$55*GWP_HFC134a/1000</f>
        <v>7.9416506420382504E-2</v>
      </c>
      <c r="AN13">
        <f t="shared" ca="1" si="17"/>
        <v>0.14104838466145997</v>
      </c>
      <c r="AO13">
        <f t="shared" ca="1" si="17"/>
        <v>2.6360470506809348E-2</v>
      </c>
      <c r="AP13">
        <f t="shared" ca="1" si="17"/>
        <v>9.7381874415647645E-3</v>
      </c>
      <c r="AQ13">
        <f t="shared" ca="1" si="17"/>
        <v>1.1093504957948898E-2</v>
      </c>
      <c r="AR13">
        <f t="shared" ca="1" si="17"/>
        <v>1.248978539184639E-2</v>
      </c>
      <c r="AS13">
        <f t="shared" ca="1" si="17"/>
        <v>1.4180281234454205E-2</v>
      </c>
      <c r="AT13">
        <f t="shared" ca="1" si="17"/>
        <v>1.5495137797828485E-2</v>
      </c>
      <c r="AU13">
        <f t="shared" ca="1" si="17"/>
        <v>1.7091253066287011E-2</v>
      </c>
      <c r="AV13">
        <f t="shared" ca="1" si="17"/>
        <v>1.8955700601142322E-2</v>
      </c>
    </row>
    <row r="14" spans="1:48" ht="15.75">
      <c r="A14" s="23" t="s">
        <v>72</v>
      </c>
      <c r="B14" s="23"/>
      <c r="C14" s="24" t="s">
        <v>57</v>
      </c>
      <c r="D14" s="23" t="s">
        <v>76</v>
      </c>
      <c r="E14" t="str">
        <f t="shared" si="2"/>
        <v>'HFCs TOTAL'!</v>
      </c>
      <c r="F14">
        <f t="shared" ref="F14:O21" ca="1" si="18">_xlfn.XMATCH($A14,INDIRECT(CONCATENATE($E14,"$C$1:$C$120")),0,-1)</f>
        <v>101</v>
      </c>
      <c r="G14">
        <f t="shared" ca="1" si="18"/>
        <v>101</v>
      </c>
      <c r="H14">
        <f t="shared" ca="1" si="18"/>
        <v>101</v>
      </c>
      <c r="I14">
        <f t="shared" ca="1" si="18"/>
        <v>101</v>
      </c>
      <c r="J14">
        <f t="shared" ca="1" si="18"/>
        <v>101</v>
      </c>
      <c r="K14">
        <f t="shared" ca="1" si="18"/>
        <v>101</v>
      </c>
      <c r="L14">
        <f t="shared" ca="1" si="18"/>
        <v>101</v>
      </c>
      <c r="M14">
        <f t="shared" ca="1" si="18"/>
        <v>101</v>
      </c>
      <c r="N14">
        <f t="shared" ca="1" si="18"/>
        <v>101</v>
      </c>
      <c r="O14">
        <f t="shared" ca="1" si="18"/>
        <v>101</v>
      </c>
      <c r="P14">
        <f t="shared" ca="1" si="7"/>
        <v>8</v>
      </c>
      <c r="Q14">
        <f t="shared" ca="1" si="4"/>
        <v>10</v>
      </c>
      <c r="R14">
        <f t="shared" ca="1" si="4"/>
        <v>16</v>
      </c>
      <c r="S14">
        <f t="shared" ca="1" si="4"/>
        <v>18</v>
      </c>
      <c r="T14">
        <f t="shared" ca="1" si="4"/>
        <v>20</v>
      </c>
      <c r="U14">
        <f t="shared" ca="1" si="4"/>
        <v>22</v>
      </c>
      <c r="V14">
        <f t="shared" ca="1" si="4"/>
        <v>24</v>
      </c>
      <c r="W14">
        <f t="shared" ca="1" si="4"/>
        <v>26</v>
      </c>
      <c r="X14">
        <f t="shared" ca="1" si="4"/>
        <v>28</v>
      </c>
      <c r="Y14">
        <f t="shared" ca="1" si="4"/>
        <v>30</v>
      </c>
      <c r="Z14" s="23" cm="1">
        <f t="array" aca="1" ref="Z14" ca="1">INDEX(INDIRECT(CONCATENATE($E14,"$A$1:$AM$120")),F14,P14)</f>
        <v>305.90798520174548</v>
      </c>
      <c r="AA14" s="23" cm="1">
        <f t="array" aca="1" ref="AA14" ca="1">INDEX(INDIRECT(CONCATENATE($E14,"$A$1:$AM$120")),G14,Q14)</f>
        <v>715.24328904026788</v>
      </c>
      <c r="AB14" s="23" cm="1">
        <f t="array" aca="1" ref="AB14" ca="1">INDEX(INDIRECT(CONCATENATE($E14,"$A$1:$AM$120")),H14,R14)</f>
        <v>166.60599999999999</v>
      </c>
      <c r="AC14" s="23" cm="1">
        <f t="array" aca="1" ref="AC14" ca="1">INDEX(INDIRECT(CONCATENATE($E14,"$A$1:$AM$120")),I14,S14)</f>
        <v>65.278999999999996</v>
      </c>
      <c r="AD14" s="23" cm="1">
        <f t="array" aca="1" ref="AD14" ca="1">INDEX(INDIRECT(CONCATENATE($E14,"$A$1:$AM$120")),J14,T14)</f>
        <v>77.219300000000004</v>
      </c>
      <c r="AE14" s="23" cm="1">
        <f t="array" aca="1" ref="AE14" ca="1">INDEX(INDIRECT(CONCATENATE($E14,"$A$1:$AM$120")),K14,U14)</f>
        <v>88.397800000000004</v>
      </c>
      <c r="AF14" s="23" cm="1">
        <f t="array" aca="1" ref="AF14" ca="1">INDEX(INDIRECT(CONCATENATE($E14,"$A$1:$AM$120")),L14,V14)</f>
        <v>100.36020000000001</v>
      </c>
      <c r="AG14" s="23" cm="1">
        <f t="array" aca="1" ref="AG14" ca="1">INDEX(INDIRECT(CONCATENATE($E14,"$A$1:$AM$120")),M14,W14)</f>
        <v>108.7243</v>
      </c>
      <c r="AH14" s="23" cm="1">
        <f t="array" aca="1" ref="AH14" ca="1">INDEX(INDIRECT(CONCATENATE($E14,"$A$1:$AM$120")),N14,X14)</f>
        <v>119.3064</v>
      </c>
      <c r="AI14" s="23" cm="1">
        <f t="array" aca="1" ref="AI14" ca="1">INDEX(INDIRECT(CONCATENATE($E14,"$A$1:$AM$120")),O14,Y14)</f>
        <v>130.18214893341064</v>
      </c>
      <c r="AJ14" s="3"/>
      <c r="AK14" s="194">
        <f t="shared" ca="1" si="5"/>
        <v>8460.8401897214735</v>
      </c>
      <c r="AL14" s="23">
        <f t="shared" ca="1" si="8"/>
        <v>-638.02398904026791</v>
      </c>
      <c r="AM14">
        <f t="shared" ref="AM14:AV14" ca="1" si="19">Z14/Z$56*GWP_HFC134a/1000</f>
        <v>5.7908518168995643E-2</v>
      </c>
      <c r="AN14">
        <f t="shared" ca="1" si="19"/>
        <v>0.12216341281029375</v>
      </c>
      <c r="AO14">
        <f t="shared" ca="1" si="19"/>
        <v>2.621496758044975E-2</v>
      </c>
      <c r="AP14">
        <f t="shared" ca="1" si="19"/>
        <v>9.657623885869316E-3</v>
      </c>
      <c r="AQ14">
        <f t="shared" ca="1" si="19"/>
        <v>1.094818253898143E-2</v>
      </c>
      <c r="AR14">
        <f t="shared" ca="1" si="19"/>
        <v>1.2245158609225655E-2</v>
      </c>
      <c r="AS14">
        <f t="shared" ca="1" si="19"/>
        <v>1.3796120919372988E-2</v>
      </c>
      <c r="AT14">
        <f t="shared" ca="1" si="19"/>
        <v>1.5036547313952214E-2</v>
      </c>
      <c r="AU14">
        <f t="shared" ca="1" si="19"/>
        <v>1.6786388137317389E-2</v>
      </c>
      <c r="AV14">
        <f t="shared" ca="1" si="19"/>
        <v>1.8778607695140087E-2</v>
      </c>
    </row>
    <row r="15" spans="1:48" ht="15.75">
      <c r="A15" s="23" t="s">
        <v>73</v>
      </c>
      <c r="B15" s="23"/>
      <c r="C15" s="24" t="s">
        <v>57</v>
      </c>
      <c r="D15" s="23" t="s">
        <v>76</v>
      </c>
      <c r="E15" t="str">
        <f t="shared" si="2"/>
        <v>'HFCs TOTAL'!</v>
      </c>
      <c r="F15">
        <f t="shared" ca="1" si="18"/>
        <v>102</v>
      </c>
      <c r="G15">
        <f t="shared" ca="1" si="18"/>
        <v>102</v>
      </c>
      <c r="H15">
        <f t="shared" ca="1" si="18"/>
        <v>102</v>
      </c>
      <c r="I15">
        <f t="shared" ca="1" si="18"/>
        <v>102</v>
      </c>
      <c r="J15">
        <f t="shared" ca="1" si="18"/>
        <v>102</v>
      </c>
      <c r="K15">
        <f t="shared" ca="1" si="18"/>
        <v>102</v>
      </c>
      <c r="L15">
        <f t="shared" ca="1" si="18"/>
        <v>102</v>
      </c>
      <c r="M15">
        <f t="shared" ca="1" si="18"/>
        <v>102</v>
      </c>
      <c r="N15">
        <f t="shared" ca="1" si="18"/>
        <v>102</v>
      </c>
      <c r="O15">
        <f t="shared" ca="1" si="18"/>
        <v>102</v>
      </c>
      <c r="P15">
        <f t="shared" ca="1" si="7"/>
        <v>8</v>
      </c>
      <c r="Q15">
        <f t="shared" ca="1" si="4"/>
        <v>10</v>
      </c>
      <c r="R15">
        <f t="shared" ca="1" si="4"/>
        <v>16</v>
      </c>
      <c r="S15">
        <f t="shared" ca="1" si="4"/>
        <v>18</v>
      </c>
      <c r="T15">
        <f t="shared" ca="1" si="4"/>
        <v>20</v>
      </c>
      <c r="U15">
        <f t="shared" ca="1" si="4"/>
        <v>22</v>
      </c>
      <c r="V15">
        <f t="shared" ca="1" si="4"/>
        <v>24</v>
      </c>
      <c r="W15">
        <f t="shared" ca="1" si="4"/>
        <v>26</v>
      </c>
      <c r="X15">
        <f t="shared" ca="1" si="4"/>
        <v>28</v>
      </c>
      <c r="Y15">
        <f t="shared" ca="1" si="4"/>
        <v>30</v>
      </c>
      <c r="Z15" s="23" cm="1">
        <f t="array" aca="1" ref="Z15" ca="1">INDEX(INDIRECT(CONCATENATE($E15,"$A$1:$AM$120")),F15,P15)</f>
        <v>422.50700000000001</v>
      </c>
      <c r="AA15" s="23" cm="1">
        <f t="array" aca="1" ref="AA15" ca="1">INDEX(INDIRECT(CONCATENATE($E15,"$A$1:$AM$120")),G15,Q15)</f>
        <v>830.38199999999995</v>
      </c>
      <c r="AB15" s="23" cm="1">
        <f t="array" aca="1" ref="AB15" ca="1">INDEX(INDIRECT(CONCATENATE($E15,"$A$1:$AM$120")),H15,R15)</f>
        <v>462.39314492051648</v>
      </c>
      <c r="AC15" s="23" cm="1">
        <f t="array" aca="1" ref="AC15" ca="1">INDEX(INDIRECT(CONCATENATE($E15,"$A$1:$AM$120")),I15,S15)</f>
        <v>440.15519999999998</v>
      </c>
      <c r="AD15" s="23" cm="1">
        <f t="array" aca="1" ref="AD15" ca="1">INDEX(INDIRECT(CONCATENATE($E15,"$A$1:$AM$120")),J15,T15)</f>
        <v>325.55290000000002</v>
      </c>
      <c r="AE15" s="23" cm="1">
        <f t="array" aca="1" ref="AE15" ca="1">INDEX(INDIRECT(CONCATENATE($E15,"$A$1:$AM$120")),K15,U15)</f>
        <v>154.91380836526</v>
      </c>
      <c r="AF15" s="23" cm="1">
        <f t="array" aca="1" ref="AF15" ca="1">INDEX(INDIRECT(CONCATENATE($E15,"$A$1:$AM$120")),L15,V15)</f>
        <v>143.75259410595498</v>
      </c>
      <c r="AG15" s="23" cm="1">
        <f t="array" aca="1" ref="AG15" ca="1">INDEX(INDIRECT(CONCATENATE($E15,"$A$1:$AM$120")),M15,W15)</f>
        <v>129.77424945387</v>
      </c>
      <c r="AH15" s="23" cm="1">
        <f t="array" aca="1" ref="AH15" ca="1">INDEX(INDIRECT(CONCATENATE($E15,"$A$1:$AM$120")),N15,X15)</f>
        <v>328.62169999999998</v>
      </c>
      <c r="AI15" s="23" cm="1">
        <f t="array" aca="1" ref="AI15" ca="1">INDEX(INDIRECT(CONCATENATE($E15,"$A$1:$AM$120")),O15,Y15)</f>
        <v>483.99220000000003</v>
      </c>
      <c r="AJ15" s="3"/>
      <c r="AK15" s="194">
        <f t="shared" ca="1" si="5"/>
        <v>19187.89080044052</v>
      </c>
      <c r="AL15" s="23">
        <f t="shared" ca="1" si="8"/>
        <v>-504.82909999999993</v>
      </c>
      <c r="AM15">
        <f t="shared" ref="AM15:AV15" ca="1" si="20">Z15/Z$57*GWP_HFC134a/1000</f>
        <v>7.9192232141380589E-2</v>
      </c>
      <c r="AN15">
        <f t="shared" ca="1" si="20"/>
        <v>0.13993056544402052</v>
      </c>
      <c r="AO15">
        <f t="shared" ca="1" si="20"/>
        <v>7.2064018857751017E-2</v>
      </c>
      <c r="AP15">
        <f t="shared" ca="1" si="20"/>
        <v>6.4724406541683113E-2</v>
      </c>
      <c r="AQ15">
        <f t="shared" ca="1" si="20"/>
        <v>4.6031926445636133E-2</v>
      </c>
      <c r="AR15">
        <f t="shared" ca="1" si="20"/>
        <v>2.1418350021201391E-2</v>
      </c>
      <c r="AS15">
        <f t="shared" ca="1" si="20"/>
        <v>1.9743292109774279E-2</v>
      </c>
      <c r="AT15">
        <f t="shared" ca="1" si="20"/>
        <v>1.7933507008081957E-2</v>
      </c>
      <c r="AU15">
        <f t="shared" ca="1" si="20"/>
        <v>4.6164956692375352E-2</v>
      </c>
      <c r="AV15">
        <f t="shared" ca="1" si="20"/>
        <v>6.9659057041191602E-2</v>
      </c>
    </row>
    <row r="16" spans="1:48" ht="15.75">
      <c r="A16" s="40" t="s">
        <v>69</v>
      </c>
      <c r="B16" s="40" t="s">
        <v>70</v>
      </c>
      <c r="C16" s="41" t="s">
        <v>59</v>
      </c>
      <c r="D16" s="44" t="s">
        <v>77</v>
      </c>
      <c r="E16" t="str">
        <f t="shared" si="2"/>
        <v>'PFCs TOTAL'!</v>
      </c>
      <c r="F16">
        <f t="shared" ca="1" si="18"/>
        <v>100</v>
      </c>
      <c r="G16">
        <f t="shared" ca="1" si="18"/>
        <v>100</v>
      </c>
      <c r="H16">
        <f t="shared" ca="1" si="18"/>
        <v>100</v>
      </c>
      <c r="I16">
        <f t="shared" ca="1" si="18"/>
        <v>100</v>
      </c>
      <c r="J16">
        <f t="shared" ca="1" si="18"/>
        <v>100</v>
      </c>
      <c r="K16">
        <f t="shared" ca="1" si="18"/>
        <v>100</v>
      </c>
      <c r="L16">
        <f t="shared" ca="1" si="18"/>
        <v>100</v>
      </c>
      <c r="M16">
        <f t="shared" ca="1" si="18"/>
        <v>100</v>
      </c>
      <c r="N16">
        <f t="shared" ca="1" si="18"/>
        <v>100</v>
      </c>
      <c r="O16">
        <f t="shared" ca="1" si="18"/>
        <v>100</v>
      </c>
      <c r="P16">
        <f t="shared" ca="1" si="7"/>
        <v>7</v>
      </c>
      <c r="Q16">
        <f t="shared" ca="1" si="4"/>
        <v>9</v>
      </c>
      <c r="R16">
        <f t="shared" ca="1" si="4"/>
        <v>11</v>
      </c>
      <c r="S16">
        <f t="shared" ca="1" si="4"/>
        <v>13</v>
      </c>
      <c r="T16">
        <f t="shared" ca="1" si="4"/>
        <v>15</v>
      </c>
      <c r="U16">
        <f t="shared" ca="1" si="4"/>
        <v>17</v>
      </c>
      <c r="V16">
        <f t="shared" ca="1" si="4"/>
        <v>19</v>
      </c>
      <c r="W16">
        <f t="shared" ca="1" si="4"/>
        <v>21</v>
      </c>
      <c r="X16">
        <f t="shared" ca="1" si="4"/>
        <v>23</v>
      </c>
      <c r="Y16">
        <f t="shared" ca="1" si="4"/>
        <v>25</v>
      </c>
      <c r="Z16" s="40" cm="1">
        <f t="array" aca="1" ref="Z16" ca="1">INDEX(INDIRECT(CONCATENATE($E16,"$A$1:$AM$120")),F16,P16)</f>
        <v>21.5792</v>
      </c>
      <c r="AA16" s="40" cm="1">
        <f t="array" aca="1" ref="AA16" ca="1">INDEX(INDIRECT(CONCATENATE($E16,"$A$1:$AM$120")),G16,Q16)</f>
        <v>29.943000000000001</v>
      </c>
      <c r="AB16" s="40" cm="1">
        <f t="array" aca="1" ref="AB16" ca="1">INDEX(INDIRECT(CONCATENATE($E16,"$A$1:$AM$120")),H16,R16)</f>
        <v>7.9485999999999999</v>
      </c>
      <c r="AC16" s="40" cm="1">
        <f t="array" aca="1" ref="AC16" ca="1">INDEX(INDIRECT(CONCATENATE($E16,"$A$1:$AM$120")),I16,S16)</f>
        <v>5.6124000000000001</v>
      </c>
      <c r="AD16" s="40" cm="1">
        <f t="array" aca="1" ref="AD16" ca="1">INDEX(INDIRECT(CONCATENATE($E16,"$A$1:$AM$120")),J16,T16)</f>
        <v>3.7886000000000002</v>
      </c>
      <c r="AE16" s="40" cm="1">
        <f t="array" aca="1" ref="AE16" ca="1">INDEX(INDIRECT(CONCATENATE($E16,"$A$1:$AM$120")),K16,U16)</f>
        <v>2.8100999999999998</v>
      </c>
      <c r="AF16" s="40" cm="1">
        <f t="array" aca="1" ref="AF16" ca="1">INDEX(INDIRECT(CONCATENATE($E16,"$A$1:$AM$120")),L16,V16)</f>
        <v>2.2559</v>
      </c>
      <c r="AG16" s="40" cm="1">
        <f t="array" aca="1" ref="AG16" ca="1">INDEX(INDIRECT(CONCATENATE($E16,"$A$1:$AM$120")),M16,W16)</f>
        <v>1.8396999999999999</v>
      </c>
      <c r="AH16" s="40" cm="1">
        <f t="array" aca="1" ref="AH16" ca="1">INDEX(INDIRECT(CONCATENATE($E16,"$A$1:$AM$120")),N16,X16)</f>
        <v>1.4544999999999999</v>
      </c>
      <c r="AI16" s="40" cm="1">
        <f t="array" aca="1" ref="AI16" ca="1">INDEX(INDIRECT(CONCATENATE($E16,"$A$1:$AM$120")),O16,Y16)</f>
        <v>1.1971000000000001</v>
      </c>
      <c r="AJ16" s="3"/>
      <c r="AK16" s="194">
        <f t="shared" ca="1" si="5"/>
        <v>378.6909500000001</v>
      </c>
      <c r="AL16" s="40">
        <f t="shared" ca="1" si="8"/>
        <v>-26.154400000000003</v>
      </c>
      <c r="AM16">
        <f t="shared" ref="AM16:AV16" ca="1" si="21">Z16/Z$55*GWP_CF4/1000</f>
        <v>2.0686279385355184E-2</v>
      </c>
      <c r="AN16">
        <f t="shared" ca="1" si="21"/>
        <v>2.5939146185469213E-2</v>
      </c>
      <c r="AO16">
        <f t="shared" ca="1" si="21"/>
        <v>6.3588232213673138E-3</v>
      </c>
      <c r="AP16">
        <f t="shared" ca="1" si="21"/>
        <v>4.223649418891127E-3</v>
      </c>
      <c r="AQ16">
        <f t="shared" ca="1" si="21"/>
        <v>2.7342569216053754E-3</v>
      </c>
      <c r="AR16">
        <f t="shared" ca="1" si="21"/>
        <v>1.9830462038655586E-3</v>
      </c>
      <c r="AS16">
        <f t="shared" ca="1" si="21"/>
        <v>1.5813812619971887E-3</v>
      </c>
      <c r="AT16">
        <f t="shared" ca="1" si="21"/>
        <v>1.2965742415963839E-3</v>
      </c>
      <c r="AU16">
        <f t="shared" ca="1" si="21"/>
        <v>1.0428614466489298E-3</v>
      </c>
      <c r="AV16">
        <f t="shared" ca="1" si="21"/>
        <v>8.7993975660571563E-4</v>
      </c>
    </row>
    <row r="17" spans="1:48" ht="15.75">
      <c r="A17" s="40" t="s">
        <v>72</v>
      </c>
      <c r="B17" s="40"/>
      <c r="C17" s="41" t="s">
        <v>59</v>
      </c>
      <c r="D17" s="44" t="s">
        <v>77</v>
      </c>
      <c r="E17" t="str">
        <f t="shared" si="2"/>
        <v>'PFCs TOTAL'!</v>
      </c>
      <c r="F17">
        <f t="shared" ca="1" si="18"/>
        <v>101</v>
      </c>
      <c r="G17">
        <f t="shared" ca="1" si="18"/>
        <v>101</v>
      </c>
      <c r="H17">
        <f t="shared" ca="1" si="18"/>
        <v>101</v>
      </c>
      <c r="I17">
        <f t="shared" ca="1" si="18"/>
        <v>101</v>
      </c>
      <c r="J17">
        <f t="shared" ca="1" si="18"/>
        <v>101</v>
      </c>
      <c r="K17">
        <f t="shared" ca="1" si="18"/>
        <v>101</v>
      </c>
      <c r="L17">
        <f t="shared" ca="1" si="18"/>
        <v>101</v>
      </c>
      <c r="M17">
        <f t="shared" ca="1" si="18"/>
        <v>101</v>
      </c>
      <c r="N17">
        <f t="shared" ca="1" si="18"/>
        <v>101</v>
      </c>
      <c r="O17">
        <f t="shared" ca="1" si="18"/>
        <v>101</v>
      </c>
      <c r="P17">
        <f t="shared" ca="1" si="7"/>
        <v>7</v>
      </c>
      <c r="Q17">
        <f t="shared" ca="1" si="4"/>
        <v>9</v>
      </c>
      <c r="R17">
        <f t="shared" ca="1" si="4"/>
        <v>11</v>
      </c>
      <c r="S17">
        <f t="shared" ca="1" si="4"/>
        <v>13</v>
      </c>
      <c r="T17">
        <f t="shared" ca="1" si="4"/>
        <v>15</v>
      </c>
      <c r="U17">
        <f t="shared" ca="1" si="4"/>
        <v>17</v>
      </c>
      <c r="V17">
        <f t="shared" ca="1" si="4"/>
        <v>19</v>
      </c>
      <c r="W17">
        <f t="shared" ca="1" si="4"/>
        <v>21</v>
      </c>
      <c r="X17">
        <f t="shared" ca="1" si="4"/>
        <v>23</v>
      </c>
      <c r="Y17">
        <f t="shared" ca="1" si="4"/>
        <v>25</v>
      </c>
      <c r="Z17" s="40" cm="1">
        <f t="array" aca="1" ref="Z17" ca="1">INDEX(INDIRECT(CONCATENATE($E17,"$A$1:$AM$120")),F17,P17)</f>
        <v>19.668274999999998</v>
      </c>
      <c r="AA17" s="40" cm="1">
        <f t="array" aca="1" ref="AA17" ca="1">INDEX(INDIRECT(CONCATENATE($E17,"$A$1:$AM$120")),G17,Q17)</f>
        <v>21.601179406427502</v>
      </c>
      <c r="AB17" s="40" cm="1">
        <f t="array" aca="1" ref="AB17" ca="1">INDEX(INDIRECT(CONCATENATE($E17,"$A$1:$AM$120")),H17,R17)</f>
        <v>7.5722833589012506</v>
      </c>
      <c r="AC17" s="40" cm="1">
        <f t="array" aca="1" ref="AC17" ca="1">INDEX(INDIRECT(CONCATENATE($E17,"$A$1:$AM$120")),I17,S17)</f>
        <v>5.5999055099487309</v>
      </c>
      <c r="AD17" s="40" cm="1">
        <f t="array" aca="1" ref="AD17" ca="1">INDEX(INDIRECT(CONCATENATE($E17,"$A$1:$AM$120")),J17,T17)</f>
        <v>3.4465423491479128</v>
      </c>
      <c r="AE17" s="40" cm="1">
        <f t="array" aca="1" ref="AE17" ca="1">INDEX(INDIRECT(CONCATENATE($E17,"$A$1:$AM$120")),K17,U17)</f>
        <v>2.7348214686857455</v>
      </c>
      <c r="AF17" s="40" cm="1">
        <f t="array" aca="1" ref="AF17" ca="1">INDEX(INDIRECT(CONCATENATE($E17,"$A$1:$AM$120")),L17,V17)</f>
        <v>2.2508874893188482</v>
      </c>
      <c r="AG17" s="40" cm="1">
        <f t="array" aca="1" ref="AG17" ca="1">INDEX(INDIRECT(CONCATENATE($E17,"$A$1:$AM$120")),M17,W17)</f>
        <v>1.835669302940369</v>
      </c>
      <c r="AH17" s="40" cm="1">
        <f t="array" aca="1" ref="AH17" ca="1">INDEX(INDIRECT(CONCATENATE($E17,"$A$1:$AM$120")),N17,X17)</f>
        <v>1.4512851476669311</v>
      </c>
      <c r="AI17" s="40" cm="1">
        <f t="array" aca="1" ref="AI17" ca="1">INDEX(INDIRECT(CONCATENATE($E17,"$A$1:$AM$120")),O17,Y17)</f>
        <v>1.194398188591004</v>
      </c>
      <c r="AJ17" s="3"/>
      <c r="AK17" s="194">
        <f t="shared" ca="1" si="5"/>
        <v>324.72189479344127</v>
      </c>
      <c r="AL17" s="40">
        <f t="shared" ca="1" si="8"/>
        <v>-18.15463705727959</v>
      </c>
      <c r="AM17">
        <f t="shared" ref="AM17:AV17" ca="1" si="22">Z17/Z$56*GWP_CF4/1000</f>
        <v>1.8988387515087985E-2</v>
      </c>
      <c r="AN17">
        <f t="shared" ca="1" si="22"/>
        <v>1.881633364619666E-2</v>
      </c>
      <c r="AO17">
        <f t="shared" ca="1" si="22"/>
        <v>6.0765310378631896E-3</v>
      </c>
      <c r="AP17">
        <f t="shared" ca="1" si="22"/>
        <v>4.2252038814719825E-3</v>
      </c>
      <c r="AQ17">
        <f t="shared" ca="1" si="22"/>
        <v>2.4921258197197617E-3</v>
      </c>
      <c r="AR17">
        <f t="shared" ca="1" si="22"/>
        <v>1.9320666976447294E-3</v>
      </c>
      <c r="AS17">
        <f t="shared" ca="1" si="22"/>
        <v>1.5780451961094953E-3</v>
      </c>
      <c r="AT17">
        <f t="shared" ca="1" si="22"/>
        <v>1.2947506166037025E-3</v>
      </c>
      <c r="AU17">
        <f t="shared" ca="1" si="22"/>
        <v>1.041397297311557E-3</v>
      </c>
      <c r="AV17">
        <f t="shared" ca="1" si="22"/>
        <v>8.7868105969526216E-4</v>
      </c>
    </row>
    <row r="18" spans="1:48" ht="15.75">
      <c r="A18" s="40" t="s">
        <v>73</v>
      </c>
      <c r="B18" s="40"/>
      <c r="C18" s="41" t="s">
        <v>59</v>
      </c>
      <c r="D18" s="44" t="s">
        <v>77</v>
      </c>
      <c r="E18" t="str">
        <f t="shared" si="2"/>
        <v>'PFCs TOTAL'!</v>
      </c>
      <c r="F18">
        <f t="shared" ca="1" si="18"/>
        <v>102</v>
      </c>
      <c r="G18">
        <f t="shared" ca="1" si="18"/>
        <v>102</v>
      </c>
      <c r="H18">
        <f t="shared" ca="1" si="18"/>
        <v>102</v>
      </c>
      <c r="I18">
        <f t="shared" ca="1" si="18"/>
        <v>102</v>
      </c>
      <c r="J18">
        <f t="shared" ca="1" si="18"/>
        <v>102</v>
      </c>
      <c r="K18">
        <f t="shared" ca="1" si="18"/>
        <v>102</v>
      </c>
      <c r="L18">
        <f t="shared" ca="1" si="18"/>
        <v>102</v>
      </c>
      <c r="M18">
        <f t="shared" ca="1" si="18"/>
        <v>102</v>
      </c>
      <c r="N18">
        <f t="shared" ca="1" si="18"/>
        <v>102</v>
      </c>
      <c r="O18">
        <f t="shared" ca="1" si="18"/>
        <v>102</v>
      </c>
      <c r="P18">
        <f t="shared" ca="1" si="7"/>
        <v>7</v>
      </c>
      <c r="Q18">
        <f t="shared" ca="1" si="4"/>
        <v>9</v>
      </c>
      <c r="R18">
        <f t="shared" ca="1" si="4"/>
        <v>11</v>
      </c>
      <c r="S18">
        <f t="shared" ca="1" si="4"/>
        <v>13</v>
      </c>
      <c r="T18">
        <f t="shared" ca="1" si="4"/>
        <v>15</v>
      </c>
      <c r="U18">
        <f t="shared" ca="1" si="4"/>
        <v>17</v>
      </c>
      <c r="V18">
        <f t="shared" ca="1" si="4"/>
        <v>19</v>
      </c>
      <c r="W18">
        <f t="shared" ca="1" si="4"/>
        <v>21</v>
      </c>
      <c r="X18">
        <f t="shared" ca="1" si="4"/>
        <v>23</v>
      </c>
      <c r="Y18">
        <f t="shared" ca="1" si="4"/>
        <v>25</v>
      </c>
      <c r="Z18" s="40" cm="1">
        <f t="array" aca="1" ref="Z18" ca="1">INDEX(INDIRECT(CONCATENATE($E18,"$A$1:$AM$120")),F18,P18)</f>
        <v>21.5792</v>
      </c>
      <c r="AA18" s="40" cm="1">
        <f t="array" aca="1" ref="AA18" ca="1">INDEX(INDIRECT(CONCATENATE($E18,"$A$1:$AM$120")),G18,Q18)</f>
        <v>29.943000000000001</v>
      </c>
      <c r="AB18" s="40" cm="1">
        <f t="array" aca="1" ref="AB18" ca="1">INDEX(INDIRECT(CONCATENATE($E18,"$A$1:$AM$120")),H18,R18)</f>
        <v>8.9911540580749509</v>
      </c>
      <c r="AC18" s="40" cm="1">
        <f t="array" aca="1" ref="AC18" ca="1">INDEX(INDIRECT(CONCATENATE($E18,"$A$1:$AM$120")),I18,S18)</f>
        <v>5.6124000000000001</v>
      </c>
      <c r="AD18" s="40" cm="1">
        <f t="array" aca="1" ref="AD18" ca="1">INDEX(INDIRECT(CONCATENATE($E18,"$A$1:$AM$120")),J18,T18)</f>
        <v>3.7886000000000002</v>
      </c>
      <c r="AE18" s="40" cm="1">
        <f t="array" aca="1" ref="AE18" ca="1">INDEX(INDIRECT(CONCATENATE($E18,"$A$1:$AM$120")),K18,U18)</f>
        <v>2.8100999999999998</v>
      </c>
      <c r="AF18" s="40" cm="1">
        <f t="array" aca="1" ref="AF18" ca="1">INDEX(INDIRECT(CONCATENATE($E18,"$A$1:$AM$120")),L18,V18)</f>
        <v>2.2559</v>
      </c>
      <c r="AG18" s="40" cm="1">
        <f t="array" aca="1" ref="AG18" ca="1">INDEX(INDIRECT(CONCATENATE($E18,"$A$1:$AM$120")),M18,W18)</f>
        <v>1.9513568975525</v>
      </c>
      <c r="AH18" s="40" cm="1">
        <f t="array" aca="1" ref="AH18" ca="1">INDEX(INDIRECT(CONCATENATE($E18,"$A$1:$AM$120")),N18,X18)</f>
        <v>1.4544999999999999</v>
      </c>
      <c r="AI18" s="40" cm="1">
        <f t="array" aca="1" ref="AI18" ca="1">INDEX(INDIRECT(CONCATENATE($E18,"$A$1:$AM$120")),O18,Y18)</f>
        <v>1.1971000000000001</v>
      </c>
      <c r="AJ18" s="3"/>
      <c r="AK18" s="194">
        <f t="shared" ca="1" si="5"/>
        <v>389.11649058074954</v>
      </c>
      <c r="AL18" s="40">
        <f t="shared" ca="1" si="8"/>
        <v>-26.154400000000003</v>
      </c>
      <c r="AM18">
        <f t="shared" ref="AM18:AV18" ca="1" si="23">Z18/Z$57*GWP_CF4/1000</f>
        <v>2.0627860794516843E-2</v>
      </c>
      <c r="AN18">
        <f t="shared" ca="1" si="23"/>
        <v>2.5733576471504156E-2</v>
      </c>
      <c r="AO18">
        <f t="shared" ca="1" si="23"/>
        <v>7.1464886186790753E-3</v>
      </c>
      <c r="AP18">
        <f t="shared" ca="1" si="23"/>
        <v>4.209020414390573E-3</v>
      </c>
      <c r="AQ18">
        <f t="shared" ca="1" si="23"/>
        <v>2.7320366008500587E-3</v>
      </c>
      <c r="AR18">
        <f t="shared" ca="1" si="23"/>
        <v>1.9814715082634576E-3</v>
      </c>
      <c r="AS18">
        <f t="shared" ca="1" si="23"/>
        <v>1.580133937978329E-3</v>
      </c>
      <c r="AT18">
        <f t="shared" ca="1" si="23"/>
        <v>1.3752561158970706E-3</v>
      </c>
      <c r="AU18">
        <f t="shared" ca="1" si="23"/>
        <v>1.0420776853634613E-3</v>
      </c>
      <c r="AV18">
        <f t="shared" ca="1" si="23"/>
        <v>8.78698399764404E-4</v>
      </c>
    </row>
    <row r="19" spans="1:48" ht="15.75">
      <c r="A19" s="42" t="s">
        <v>69</v>
      </c>
      <c r="B19" s="42" t="s">
        <v>70</v>
      </c>
      <c r="C19" s="43" t="s">
        <v>61</v>
      </c>
      <c r="D19" s="45" t="s">
        <v>78</v>
      </c>
      <c r="E19" t="str">
        <f t="shared" si="2"/>
        <v>'SF6 TOTAL'!</v>
      </c>
      <c r="F19">
        <f t="shared" ca="1" si="18"/>
        <v>100</v>
      </c>
      <c r="G19">
        <f t="shared" ca="1" si="18"/>
        <v>100</v>
      </c>
      <c r="H19">
        <f t="shared" ca="1" si="18"/>
        <v>100</v>
      </c>
      <c r="I19">
        <f t="shared" ca="1" si="18"/>
        <v>100</v>
      </c>
      <c r="J19">
        <f t="shared" ca="1" si="18"/>
        <v>100</v>
      </c>
      <c r="K19">
        <f t="shared" ca="1" si="18"/>
        <v>100</v>
      </c>
      <c r="L19">
        <f t="shared" ca="1" si="18"/>
        <v>100</v>
      </c>
      <c r="M19">
        <f t="shared" ca="1" si="18"/>
        <v>100</v>
      </c>
      <c r="N19">
        <f t="shared" ca="1" si="18"/>
        <v>100</v>
      </c>
      <c r="O19">
        <f t="shared" ca="1" si="18"/>
        <v>100</v>
      </c>
      <c r="P19">
        <f t="shared" ca="1" si="7"/>
        <v>8</v>
      </c>
      <c r="Q19">
        <f t="shared" ca="1" si="4"/>
        <v>10</v>
      </c>
      <c r="R19">
        <f t="shared" ca="1" si="4"/>
        <v>12</v>
      </c>
      <c r="S19">
        <f t="shared" ca="1" si="4"/>
        <v>14</v>
      </c>
      <c r="T19">
        <f t="shared" ca="1" si="4"/>
        <v>16</v>
      </c>
      <c r="U19">
        <f t="shared" ca="1" si="4"/>
        <v>18</v>
      </c>
      <c r="V19">
        <f t="shared" ca="1" si="4"/>
        <v>20</v>
      </c>
      <c r="W19">
        <f t="shared" ca="1" si="4"/>
        <v>22</v>
      </c>
      <c r="X19">
        <f t="shared" ca="1" si="4"/>
        <v>24</v>
      </c>
      <c r="Y19">
        <f t="shared" ca="1" si="4"/>
        <v>26</v>
      </c>
      <c r="Z19" s="42" cm="1">
        <f t="array" aca="1" ref="Z19" ca="1">INDEX(INDIRECT(CONCATENATE($E19,"$A$1:$AM$120")),F19,P19)</f>
        <v>6.5861000000000001</v>
      </c>
      <c r="AA19" s="42" cm="1">
        <f t="array" aca="1" ref="AA19" ca="1">INDEX(INDIRECT(CONCATENATE($E19,"$A$1:$AM$120")),G19,Q19)</f>
        <v>5.5083000000000002</v>
      </c>
      <c r="AB19" s="42" cm="1">
        <f t="array" aca="1" ref="AB19" ca="1">INDEX(INDIRECT(CONCATENATE($E19,"$A$1:$AM$120")),H19,R19)</f>
        <v>2.2103999999999999</v>
      </c>
      <c r="AC19" s="42" cm="1">
        <f t="array" aca="1" ref="AC19" ca="1">INDEX(INDIRECT(CONCATENATE($E19,"$A$1:$AM$120")),I19,S19)</f>
        <v>1.9973000000000001</v>
      </c>
      <c r="AD19" s="42" cm="1">
        <f t="array" aca="1" ref="AD19" ca="1">INDEX(INDIRECT(CONCATENATE($E19,"$A$1:$AM$120")),J19,T19)</f>
        <v>1.6919</v>
      </c>
      <c r="AE19" s="42" cm="1">
        <f t="array" aca="1" ref="AE19" ca="1">INDEX(INDIRECT(CONCATENATE($E19,"$A$1:$AM$120")),K19,U19)</f>
        <v>1.5802</v>
      </c>
      <c r="AF19" s="42" cm="1">
        <f t="array" aca="1" ref="AF19" ca="1">INDEX(INDIRECT(CONCATENATE($E19,"$A$1:$AM$120")),L19,V19)</f>
        <v>1.51221005491632</v>
      </c>
      <c r="AG19" s="42" cm="1">
        <f t="array" aca="1" ref="AG19" ca="1">INDEX(INDIRECT(CONCATENATE($E19,"$A$1:$AM$120")),M19,W19)</f>
        <v>1.3797650337219241</v>
      </c>
      <c r="AH19" s="42" cm="1">
        <f t="array" aca="1" ref="AH19" ca="1">INDEX(INDIRECT(CONCATENATE($E19,"$A$1:$AM$120")),N19,X19)</f>
        <v>1.2579</v>
      </c>
      <c r="AI19" s="42" cm="1">
        <f t="array" aca="1" ref="AI19" ca="1">INDEX(INDIRECT(CONCATENATE($E19,"$A$1:$AM$120")),O19,Y19)</f>
        <v>0.99319999999999997</v>
      </c>
      <c r="AJ19" s="3"/>
      <c r="AK19" s="194">
        <f t="shared" ca="1" si="5"/>
        <v>113.41080530203976</v>
      </c>
      <c r="AL19" s="42">
        <f t="shared" ca="1" si="8"/>
        <v>-3.8164000000000002</v>
      </c>
      <c r="AM19">
        <f t="shared" ref="AM19:AV19" ca="1" si="24">Z19/Z$55*GWP_SF6/1000</f>
        <v>2.2378434410971267E-2</v>
      </c>
      <c r="AN19">
        <f t="shared" ca="1" si="24"/>
        <v>1.6913453182642653E-2</v>
      </c>
      <c r="AO19">
        <f t="shared" ca="1" si="24"/>
        <v>6.2677449395926958E-3</v>
      </c>
      <c r="AP19">
        <f t="shared" ca="1" si="24"/>
        <v>5.3276646779721205E-3</v>
      </c>
      <c r="AQ19">
        <f t="shared" ca="1" si="24"/>
        <v>4.3280232940270036E-3</v>
      </c>
      <c r="AR19">
        <f t="shared" ca="1" si="24"/>
        <v>3.9525507010392518E-3</v>
      </c>
      <c r="AS19">
        <f t="shared" ca="1" si="24"/>
        <v>3.7573633903066174E-3</v>
      </c>
      <c r="AT19">
        <f t="shared" ca="1" si="24"/>
        <v>3.446750519541845E-3</v>
      </c>
      <c r="AU19">
        <f t="shared" ca="1" si="24"/>
        <v>3.1967843306161914E-3</v>
      </c>
      <c r="AV19">
        <f t="shared" ca="1" si="24"/>
        <v>2.5876977843676163E-3</v>
      </c>
    </row>
    <row r="20" spans="1:48" ht="15.75">
      <c r="A20" s="42" t="s">
        <v>72</v>
      </c>
      <c r="B20" s="42"/>
      <c r="C20" s="43" t="s">
        <v>61</v>
      </c>
      <c r="D20" s="45" t="s">
        <v>78</v>
      </c>
      <c r="E20" t="str">
        <f t="shared" si="2"/>
        <v>'SF6 TOTAL'!</v>
      </c>
      <c r="F20">
        <f t="shared" ca="1" si="18"/>
        <v>101</v>
      </c>
      <c r="G20">
        <f t="shared" ca="1" si="18"/>
        <v>101</v>
      </c>
      <c r="H20">
        <f t="shared" ca="1" si="18"/>
        <v>101</v>
      </c>
      <c r="I20">
        <f t="shared" ca="1" si="18"/>
        <v>101</v>
      </c>
      <c r="J20">
        <f t="shared" ca="1" si="18"/>
        <v>101</v>
      </c>
      <c r="K20">
        <f t="shared" ca="1" si="18"/>
        <v>101</v>
      </c>
      <c r="L20">
        <f t="shared" ca="1" si="18"/>
        <v>101</v>
      </c>
      <c r="M20">
        <f t="shared" ca="1" si="18"/>
        <v>101</v>
      </c>
      <c r="N20">
        <f t="shared" ca="1" si="18"/>
        <v>101</v>
      </c>
      <c r="O20">
        <f t="shared" ca="1" si="18"/>
        <v>101</v>
      </c>
      <c r="P20">
        <f t="shared" ca="1" si="7"/>
        <v>8</v>
      </c>
      <c r="Q20">
        <f t="shared" ca="1" si="7"/>
        <v>10</v>
      </c>
      <c r="R20">
        <f t="shared" ca="1" si="7"/>
        <v>12</v>
      </c>
      <c r="S20">
        <f t="shared" ca="1" si="7"/>
        <v>14</v>
      </c>
      <c r="T20">
        <f t="shared" ca="1" si="7"/>
        <v>16</v>
      </c>
      <c r="U20">
        <f t="shared" ca="1" si="7"/>
        <v>18</v>
      </c>
      <c r="V20">
        <f t="shared" ca="1" si="7"/>
        <v>20</v>
      </c>
      <c r="W20">
        <f t="shared" ca="1" si="7"/>
        <v>22</v>
      </c>
      <c r="X20">
        <f t="shared" ca="1" si="7"/>
        <v>24</v>
      </c>
      <c r="Y20">
        <f t="shared" ca="1" si="7"/>
        <v>26</v>
      </c>
      <c r="Z20" s="42" cm="1">
        <f t="array" aca="1" ref="Z20" ca="1">INDEX(INDIRECT(CONCATENATE($E20,"$A$1:$AM$120")),F20,P20)</f>
        <v>6.5861000000000001</v>
      </c>
      <c r="AA20" s="42" cm="1">
        <f t="array" aca="1" ref="AA20" ca="1">INDEX(INDIRECT(CONCATENATE($E20,"$A$1:$AM$120")),G20,Q20)</f>
        <v>5.5083000000000002</v>
      </c>
      <c r="AB20" s="42" cm="1">
        <f t="array" aca="1" ref="AB20" ca="1">INDEX(INDIRECT(CONCATENATE($E20,"$A$1:$AM$120")),H20,R20)</f>
        <v>2.1962999999999999</v>
      </c>
      <c r="AC20" s="42" cm="1">
        <f t="array" aca="1" ref="AC20" ca="1">INDEX(INDIRECT(CONCATENATE($E20,"$A$1:$AM$120")),I20,S20)</f>
        <v>1.9769000000000001</v>
      </c>
      <c r="AD20" s="42" cm="1">
        <f t="array" aca="1" ref="AD20" ca="1">INDEX(INDIRECT(CONCATENATE($E20,"$A$1:$AM$120")),J20,T20)</f>
        <v>1.6646000000000001</v>
      </c>
      <c r="AE20" s="42" cm="1">
        <f t="array" aca="1" ref="AE20" ca="1">INDEX(INDIRECT(CONCATENATE($E20,"$A$1:$AM$120")),K20,U20)</f>
        <v>1.5424</v>
      </c>
      <c r="AF20" s="42" cm="1">
        <f t="array" aca="1" ref="AF20" ca="1">INDEX(INDIRECT(CONCATENATE($E20,"$A$1:$AM$120")),L20,V20)</f>
        <v>1.4859</v>
      </c>
      <c r="AG20" s="42" cm="1">
        <f t="array" aca="1" ref="AG20" ca="1">INDEX(INDIRECT(CONCATENATE($E20,"$A$1:$AM$120")),M20,W20)</f>
        <v>1.3451</v>
      </c>
      <c r="AH20" s="42" cm="1">
        <f t="array" aca="1" ref="AH20" ca="1">INDEX(INDIRECT(CONCATENATE($E20,"$A$1:$AM$120")),N20,X20)</f>
        <v>1.1746000000000001</v>
      </c>
      <c r="AI20" s="42" cm="1">
        <f t="array" aca="1" ref="AI20" ca="1">INDEX(INDIRECT(CONCATENATE($E20,"$A$1:$AM$120")),O20,Y20)</f>
        <v>0.98990676497135865</v>
      </c>
      <c r="AJ20" s="3"/>
      <c r="AK20" s="194">
        <f t="shared" ca="1" si="5"/>
        <v>112.27010000000001</v>
      </c>
      <c r="AL20" s="42">
        <f t="shared" ca="1" si="8"/>
        <v>-3.8437000000000001</v>
      </c>
      <c r="AM20">
        <f t="shared" ref="AM20:AV20" ca="1" si="25">Z20/Z$56*GWP_SF6/1000</f>
        <v>2.2537434040300737E-2</v>
      </c>
      <c r="AN20">
        <f t="shared" ca="1" si="25"/>
        <v>1.7007068484151754E-2</v>
      </c>
      <c r="AO20">
        <f t="shared" ca="1" si="25"/>
        <v>6.2470482293006894E-3</v>
      </c>
      <c r="AP20">
        <f t="shared" ca="1" si="25"/>
        <v>5.2869597774925113E-3</v>
      </c>
      <c r="AQ20">
        <f t="shared" ca="1" si="25"/>
        <v>4.2662919301873353E-3</v>
      </c>
      <c r="AR20">
        <f t="shared" ca="1" si="25"/>
        <v>3.8622864875808498E-3</v>
      </c>
      <c r="AS20">
        <f t="shared" ca="1" si="25"/>
        <v>3.6924070094999624E-3</v>
      </c>
      <c r="AT20">
        <f t="shared" ca="1" si="25"/>
        <v>3.3627965067601993E-3</v>
      </c>
      <c r="AU20">
        <f t="shared" ca="1" si="25"/>
        <v>2.9875007697903215E-3</v>
      </c>
      <c r="AV20">
        <f t="shared" ca="1" si="25"/>
        <v>2.5812540780029286E-3</v>
      </c>
    </row>
    <row r="21" spans="1:48" ht="15.75">
      <c r="A21" s="42" t="s">
        <v>73</v>
      </c>
      <c r="B21" s="42"/>
      <c r="C21" s="43" t="s">
        <v>61</v>
      </c>
      <c r="D21" s="45" t="s">
        <v>78</v>
      </c>
      <c r="E21" t="str">
        <f t="shared" si="2"/>
        <v>'SF6 TOTAL'!</v>
      </c>
      <c r="F21">
        <f t="shared" ca="1" si="18"/>
        <v>102</v>
      </c>
      <c r="G21">
        <f t="shared" ca="1" si="18"/>
        <v>102</v>
      </c>
      <c r="H21">
        <f t="shared" ca="1" si="18"/>
        <v>102</v>
      </c>
      <c r="I21">
        <f t="shared" ca="1" si="18"/>
        <v>102</v>
      </c>
      <c r="J21">
        <f t="shared" ca="1" si="18"/>
        <v>102</v>
      </c>
      <c r="K21">
        <f t="shared" ca="1" si="18"/>
        <v>102</v>
      </c>
      <c r="L21">
        <f t="shared" ca="1" si="18"/>
        <v>102</v>
      </c>
      <c r="M21">
        <f t="shared" ca="1" si="18"/>
        <v>102</v>
      </c>
      <c r="N21">
        <f t="shared" ca="1" si="18"/>
        <v>102</v>
      </c>
      <c r="O21">
        <f t="shared" ca="1" si="18"/>
        <v>102</v>
      </c>
      <c r="P21">
        <f t="shared" ref="P21:Y21" ca="1" si="26">MATCH(P$1,INDIRECT(CONCATENATE($E21,"A1:AM1")),0)</f>
        <v>8</v>
      </c>
      <c r="Q21">
        <f t="shared" ca="1" si="26"/>
        <v>10</v>
      </c>
      <c r="R21">
        <f t="shared" ca="1" si="26"/>
        <v>12</v>
      </c>
      <c r="S21">
        <f t="shared" ca="1" si="26"/>
        <v>14</v>
      </c>
      <c r="T21">
        <f t="shared" ca="1" si="26"/>
        <v>16</v>
      </c>
      <c r="U21">
        <f t="shared" ca="1" si="26"/>
        <v>18</v>
      </c>
      <c r="V21">
        <f t="shared" ca="1" si="26"/>
        <v>20</v>
      </c>
      <c r="W21">
        <f t="shared" ca="1" si="26"/>
        <v>22</v>
      </c>
      <c r="X21">
        <f t="shared" ca="1" si="26"/>
        <v>24</v>
      </c>
      <c r="Y21">
        <f t="shared" ca="1" si="26"/>
        <v>26</v>
      </c>
      <c r="Z21" s="42" cm="1">
        <f t="array" aca="1" ref="Z21" ca="1">INDEX(INDIRECT(CONCATENATE($E21,"$A$1:$AM$120")),F21,P21)</f>
        <v>6.6060999999999996</v>
      </c>
      <c r="AA21" s="42" cm="1">
        <f t="array" aca="1" ref="AA21" ca="1">INDEX(INDIRECT(CONCATENATE($E21,"$A$1:$AM$120")),G21,Q21)</f>
        <v>7.4021948074999999</v>
      </c>
      <c r="AB21" s="42" cm="1">
        <f t="array" aca="1" ref="AB21" ca="1">INDEX(INDIRECT(CONCATENATE($E21,"$A$1:$AM$120")),H21,R21)</f>
        <v>3.0001000000000002</v>
      </c>
      <c r="AC21" s="42" cm="1">
        <f t="array" aca="1" ref="AC21" ca="1">INDEX(INDIRECT(CONCATENATE($E21,"$A$1:$AM$120")),I21,S21)</f>
        <v>3.2763497251249998</v>
      </c>
      <c r="AD21" s="42" cm="1">
        <f t="array" aca="1" ref="AD21" ca="1">INDEX(INDIRECT(CONCATENATE($E21,"$A$1:$AM$120")),J21,T21)</f>
        <v>3.423766536</v>
      </c>
      <c r="AE21" s="42" cm="1">
        <f t="array" aca="1" ref="AE21" ca="1">INDEX(INDIRECT(CONCATENATE($E21,"$A$1:$AM$120")),K21,U21)</f>
        <v>2.8205858964999999</v>
      </c>
      <c r="AF21" s="42" cm="1">
        <f t="array" aca="1" ref="AF21" ca="1">INDEX(INDIRECT(CONCATENATE($E21,"$A$1:$AM$120")),L21,V21)</f>
        <v>2.09482715</v>
      </c>
      <c r="AG21" s="42" cm="1">
        <f t="array" aca="1" ref="AG21" ca="1">INDEX(INDIRECT(CONCATENATE($E21,"$A$1:$AM$120")),M21,W21)</f>
        <v>1.611182229581432</v>
      </c>
      <c r="AH21" s="42" cm="1">
        <f t="array" aca="1" ref="AH21" ca="1">INDEX(INDIRECT(CONCATENATE($E21,"$A$1:$AM$120")),N21,X21)</f>
        <v>1.3653231139536295</v>
      </c>
      <c r="AI21" s="42" cm="1">
        <f t="array" aca="1" ref="AI21" ca="1">INDEX(INDIRECT(CONCATENATE($E21,"$A$1:$AM$120")),O21,Y21)</f>
        <v>1.079303979873657</v>
      </c>
      <c r="AJ21" s="3"/>
      <c r="AK21" s="194">
        <f t="shared" ca="1" si="5"/>
        <v>177.44164234249999</v>
      </c>
      <c r="AL21" s="42">
        <f t="shared" ca="1" si="8"/>
        <v>-3.9784282714999999</v>
      </c>
      <c r="AM21">
        <f t="shared" ref="AM21:AV21" ca="1" si="27">Z21/Z$57*GWP_SF6/1000</f>
        <v>2.2383001777495529E-2</v>
      </c>
      <c r="AN21">
        <f t="shared" ca="1" si="27"/>
        <v>2.2548605216631799E-2</v>
      </c>
      <c r="AO21">
        <f t="shared" ca="1" si="27"/>
        <v>8.4521526519621207E-3</v>
      </c>
      <c r="AP21">
        <f t="shared" ca="1" si="27"/>
        <v>8.7091747186699882E-3</v>
      </c>
      <c r="AQ21">
        <f t="shared" ca="1" si="27"/>
        <v>8.7511723068811106E-3</v>
      </c>
      <c r="AR21">
        <f t="shared" ca="1" si="27"/>
        <v>7.0495228226971169E-3</v>
      </c>
      <c r="AS21">
        <f t="shared" ca="1" si="27"/>
        <v>5.2008770189786472E-3</v>
      </c>
      <c r="AT21">
        <f t="shared" ca="1" si="27"/>
        <v>4.0248145487356999E-3</v>
      </c>
      <c r="AU21">
        <f t="shared" ca="1" si="27"/>
        <v>3.4671780699838529E-3</v>
      </c>
      <c r="AV21">
        <f t="shared" ca="1" si="27"/>
        <v>2.8080673315712657E-3</v>
      </c>
    </row>
    <row r="22" spans="1:48" ht="15.75">
      <c r="A22" s="9" t="s">
        <v>69</v>
      </c>
      <c r="B22" s="9" t="s">
        <v>79</v>
      </c>
      <c r="C22" s="10" t="s">
        <v>80</v>
      </c>
      <c r="D22" s="31" t="s">
        <v>81</v>
      </c>
      <c r="E22" t="str">
        <f t="shared" si="2"/>
        <v>'F-Gases'!</v>
      </c>
      <c r="Z22" s="9">
        <f t="shared" ref="Z22:AI22" ca="1" si="28">(Z13*GWP_HFC134a+Z16*GWP_CF4+Z19*GWP_SF6)/1000</f>
        <v>847.10254599999996</v>
      </c>
      <c r="AA22" s="9">
        <f t="shared" ca="1" si="28"/>
        <v>1407.4637399999999</v>
      </c>
      <c r="AB22" s="9">
        <f t="shared" ca="1" si="28"/>
        <v>323.10796800000003</v>
      </c>
      <c r="AC22" s="9">
        <f t="shared" ca="1" si="28"/>
        <v>169.93987199999998</v>
      </c>
      <c r="AD22" s="9">
        <f t="shared" ca="1" si="28"/>
        <v>166.78922800000001</v>
      </c>
      <c r="AE22" s="9">
        <f t="shared" ca="1" si="28"/>
        <v>173.108733</v>
      </c>
      <c r="AF22" s="9">
        <f t="shared" ca="1" si="28"/>
        <v>184.60987329053353</v>
      </c>
      <c r="AG22" s="9">
        <f t="shared" ca="1" si="28"/>
        <v>190.38847929246523</v>
      </c>
      <c r="AH22" s="9">
        <f t="shared" ca="1" si="28"/>
        <v>197.24672348419185</v>
      </c>
      <c r="AI22" s="9">
        <f t="shared" ca="1" si="28"/>
        <v>202.251283</v>
      </c>
      <c r="AJ22" s="3"/>
      <c r="AK22" s="194">
        <f t="shared" ca="1" si="5"/>
        <v>17085.862883097936</v>
      </c>
      <c r="AL22" s="9">
        <f t="shared" ca="1" si="8"/>
        <v>-1240.6745119999998</v>
      </c>
      <c r="AM22">
        <f t="shared" ref="AM22:AV22" ca="1" si="29">Z22/Z$55</f>
        <v>0.12248122021670896</v>
      </c>
      <c r="AN22">
        <f t="shared" ca="1" si="29"/>
        <v>0.18390098402957183</v>
      </c>
      <c r="AO22">
        <f t="shared" ca="1" si="29"/>
        <v>3.8987038667769362E-2</v>
      </c>
      <c r="AP22">
        <f t="shared" ca="1" si="29"/>
        <v>1.9289501538428011E-2</v>
      </c>
      <c r="AQ22">
        <f t="shared" ca="1" si="29"/>
        <v>1.8155785173581278E-2</v>
      </c>
      <c r="AR22">
        <f t="shared" ca="1" si="29"/>
        <v>1.8425382296751197E-2</v>
      </c>
      <c r="AS22">
        <f t="shared" ca="1" si="29"/>
        <v>1.9519025886758017E-2</v>
      </c>
      <c r="AT22">
        <f t="shared" ca="1" si="29"/>
        <v>2.0238462558966715E-2</v>
      </c>
      <c r="AU22">
        <f t="shared" ca="1" si="29"/>
        <v>2.1330898843552128E-2</v>
      </c>
      <c r="AV22">
        <f t="shared" ca="1" si="29"/>
        <v>2.2423338142115654E-2</v>
      </c>
    </row>
    <row r="23" spans="1:48" ht="15.75">
      <c r="A23" s="9" t="s">
        <v>72</v>
      </c>
      <c r="B23" s="9"/>
      <c r="C23" s="10" t="s">
        <v>80</v>
      </c>
      <c r="D23" s="31" t="s">
        <v>81</v>
      </c>
      <c r="E23" t="str">
        <f t="shared" si="2"/>
        <v>'F-Gases'!</v>
      </c>
      <c r="Z23" s="9">
        <f t="shared" ref="Z23:AI23" ca="1" si="30">(Z14*GWP_HFC134a+Z17*GWP_CF4+Z20*GWP_SF6)/1000</f>
        <v>682.85439401226915</v>
      </c>
      <c r="AA23" s="9">
        <f t="shared" ca="1" si="30"/>
        <v>1202.4771452169625</v>
      </c>
      <c r="AB23" s="9">
        <f t="shared" ca="1" si="30"/>
        <v>318.40508866951529</v>
      </c>
      <c r="AC23" s="9">
        <f t="shared" ca="1" si="30"/>
        <v>168.44722353096009</v>
      </c>
      <c r="AD23" s="9">
        <f t="shared" ca="1" si="30"/>
        <v>162.35376577485067</v>
      </c>
      <c r="AE23" s="9">
        <f t="shared" ca="1" si="30"/>
        <v>169.29540633738648</v>
      </c>
      <c r="AF23" s="9">
        <f t="shared" ca="1" si="30"/>
        <v>180.31029405418397</v>
      </c>
      <c r="AG23" s="9">
        <f t="shared" ca="1" si="30"/>
        <v>185.12192747849465</v>
      </c>
      <c r="AH23" s="9">
        <f t="shared" ca="1" si="30"/>
        <v>192.32344052903176</v>
      </c>
      <c r="AI23" s="9">
        <f t="shared" ca="1" si="30"/>
        <v>200.41846258061912</v>
      </c>
      <c r="AJ23" s="3"/>
      <c r="AK23" s="194">
        <f t="shared" ca="1" si="5"/>
        <v>15790.345759118434</v>
      </c>
      <c r="AL23" s="9">
        <f t="shared" ca="1" si="8"/>
        <v>-1040.1233794421119</v>
      </c>
      <c r="AM23">
        <f t="shared" ref="AM23:AV23" ca="1" si="31">Z23/Z$56</f>
        <v>9.9434339724384382E-2</v>
      </c>
      <c r="AN23">
        <f t="shared" ca="1" si="31"/>
        <v>0.15798681494064215</v>
      </c>
      <c r="AO23">
        <f t="shared" ca="1" si="31"/>
        <v>3.8538546847613625E-2</v>
      </c>
      <c r="AP23">
        <f t="shared" ca="1" si="31"/>
        <v>1.9169787544833811E-2</v>
      </c>
      <c r="AQ23">
        <f t="shared" ca="1" si="31"/>
        <v>1.7706600288888524E-2</v>
      </c>
      <c r="AR23">
        <f t="shared" ca="1" si="31"/>
        <v>1.8039511794451232E-2</v>
      </c>
      <c r="AS23">
        <f t="shared" ca="1" si="31"/>
        <v>1.9066573124982444E-2</v>
      </c>
      <c r="AT23">
        <f t="shared" ca="1" si="31"/>
        <v>1.9694094437316116E-2</v>
      </c>
      <c r="AU23">
        <f t="shared" ca="1" si="31"/>
        <v>2.0815286204419269E-2</v>
      </c>
      <c r="AV23">
        <f t="shared" ca="1" si="31"/>
        <v>2.2238542832838278E-2</v>
      </c>
    </row>
    <row r="24" spans="1:48" ht="15.75">
      <c r="A24" s="9" t="s">
        <v>73</v>
      </c>
      <c r="B24" s="9"/>
      <c r="C24" s="10" t="s">
        <v>80</v>
      </c>
      <c r="D24" s="31" t="s">
        <v>81</v>
      </c>
      <c r="E24" t="str">
        <f t="shared" si="2"/>
        <v>'F-Gases'!</v>
      </c>
      <c r="Z24" s="9">
        <f t="shared" ref="Z24:AI24" ca="1" si="32">(Z15*GWP_HFC134a+Z18*GWP_CF4+Z21*GWP_SF6)/1000</f>
        <v>847.57254599999999</v>
      </c>
      <c r="AA24" s="9">
        <f t="shared" ca="1" si="32"/>
        <v>1451.9702679762499</v>
      </c>
      <c r="AB24" s="9">
        <f t="shared" ca="1" si="32"/>
        <v>731.22478980170831</v>
      </c>
      <c r="AC24" s="9">
        <f t="shared" ca="1" si="32"/>
        <v>686.40619054043759</v>
      </c>
      <c r="AD24" s="9">
        <f t="shared" ca="1" si="32"/>
        <v>528.79570159599996</v>
      </c>
      <c r="AE24" s="9">
        <f t="shared" ca="1" si="32"/>
        <v>286.30268244258798</v>
      </c>
      <c r="AF24" s="9">
        <f t="shared" ca="1" si="32"/>
        <v>251.06342736274149</v>
      </c>
      <c r="AG24" s="9">
        <f t="shared" ca="1" si="32"/>
        <v>219.50680291596771</v>
      </c>
      <c r="AH24" s="9">
        <f t="shared" ca="1" si="32"/>
        <v>468.93663817791031</v>
      </c>
      <c r="AI24" s="9">
        <f t="shared" ca="1" si="32"/>
        <v>662.49027652703103</v>
      </c>
      <c r="AJ24" s="3"/>
      <c r="AK24" s="194">
        <f t="shared" ca="1" si="5"/>
        <v>31693.978968171796</v>
      </c>
      <c r="AL24" s="9">
        <f t="shared" ca="1" si="8"/>
        <v>-923.17456638024998</v>
      </c>
      <c r="AM24">
        <f t="shared" ref="AM24:AV24" ca="1" si="33">Z24/Z$57</f>
        <v>0.12220309471339295</v>
      </c>
      <c r="AN24">
        <f t="shared" ca="1" si="33"/>
        <v>0.18821274713215647</v>
      </c>
      <c r="AO24">
        <f t="shared" ca="1" si="33"/>
        <v>8.7662660128392217E-2</v>
      </c>
      <c r="AP24">
        <f t="shared" ca="1" si="33"/>
        <v>7.7642601674743683E-2</v>
      </c>
      <c r="AQ24">
        <f t="shared" ca="1" si="33"/>
        <v>5.7515135353367296E-2</v>
      </c>
      <c r="AR24">
        <f t="shared" ca="1" si="33"/>
        <v>3.0449344352161966E-2</v>
      </c>
      <c r="AS24">
        <f t="shared" ca="1" si="33"/>
        <v>2.6524303066731258E-2</v>
      </c>
      <c r="AT24">
        <f t="shared" ca="1" si="33"/>
        <v>2.3333577672714729E-2</v>
      </c>
      <c r="AU24">
        <f t="shared" ca="1" si="33"/>
        <v>5.0674212447722668E-2</v>
      </c>
      <c r="AV24">
        <f t="shared" ca="1" si="33"/>
        <v>7.3345822772527283E-2</v>
      </c>
    </row>
    <row r="25" spans="1:48" ht="15.75">
      <c r="A25" s="11" t="s">
        <v>69</v>
      </c>
      <c r="B25" s="11" t="s">
        <v>79</v>
      </c>
      <c r="C25" s="12" t="s">
        <v>82</v>
      </c>
      <c r="D25" s="32" t="s">
        <v>81</v>
      </c>
      <c r="E25" t="str">
        <f t="shared" si="2"/>
        <v>'Kyoto Gases'!</v>
      </c>
      <c r="Z25" s="11">
        <f ca="1">Z10+Z4*GWP_Methane+Z28*GWP_N2O/1000+Z22</f>
        <v>50720.677702500005</v>
      </c>
      <c r="AA25" s="11">
        <f ca="1">AA10+AA4*GWP_Methane+AA28*GWP_N2O/1000+AA22</f>
        <v>54359.580345910406</v>
      </c>
      <c r="AB25" s="11">
        <f t="shared" ref="AB25:AI25" ca="1" si="34">AB10+AB4*GWP_Methane+AB28*GWP_N2O/1000+AB22</f>
        <v>31127.762939706245</v>
      </c>
      <c r="AC25" s="11">
        <f t="shared" ca="1" si="34"/>
        <v>17482.570150784446</v>
      </c>
      <c r="AD25" s="11">
        <f t="shared" ca="1" si="34"/>
        <v>8688.5849077395196</v>
      </c>
      <c r="AE25" s="11">
        <f t="shared" ca="1" si="34"/>
        <v>5618.9707245449781</v>
      </c>
      <c r="AF25" s="11">
        <f t="shared" ca="1" si="34"/>
        <v>4013.1183582107947</v>
      </c>
      <c r="AG25" s="11">
        <f t="shared" ca="1" si="34"/>
        <v>1364.6377371912042</v>
      </c>
      <c r="AH25" s="11">
        <f t="shared" ca="1" si="34"/>
        <v>5.0593472765486638</v>
      </c>
      <c r="AI25" s="11">
        <f t="shared" ca="1" si="34"/>
        <v>-1191.7308856011045</v>
      </c>
      <c r="AJ25" s="3"/>
      <c r="AK25" s="194">
        <f t="shared" ca="1" si="5"/>
        <v>950228.73010041856</v>
      </c>
      <c r="AL25" s="11">
        <f t="shared" ca="1" si="8"/>
        <v>-45670.995438170889</v>
      </c>
      <c r="AM25">
        <f ca="1">Z25/Z$55</f>
        <v>7.333622740900867</v>
      </c>
      <c r="AN25">
        <f t="shared" ref="AN25:AV25" ca="1" si="35">AA25/AA$55</f>
        <v>7.1026911976059131</v>
      </c>
      <c r="AO25">
        <f t="shared" ca="1" si="35"/>
        <v>3.7559559576428811</v>
      </c>
      <c r="AP25">
        <f t="shared" ca="1" si="35"/>
        <v>1.9844081312432214</v>
      </c>
      <c r="AQ25">
        <f t="shared" ca="1" si="35"/>
        <v>0.94579298039163073</v>
      </c>
      <c r="AR25">
        <f t="shared" ca="1" si="35"/>
        <v>0.5980731411972976</v>
      </c>
      <c r="AS25">
        <f t="shared" ca="1" si="35"/>
        <v>0.42431187305601742</v>
      </c>
      <c r="AT25">
        <f t="shared" ca="1" si="35"/>
        <v>0.14506218996723852</v>
      </c>
      <c r="AU25">
        <f t="shared" ca="1" si="35"/>
        <v>5.4713418334226315E-4</v>
      </c>
      <c r="AV25">
        <f t="shared" ca="1" si="35"/>
        <v>-0.1321256618294803</v>
      </c>
    </row>
    <row r="26" spans="1:48" ht="15.75">
      <c r="A26" s="11" t="s">
        <v>72</v>
      </c>
      <c r="B26" s="11"/>
      <c r="C26" s="12" t="s">
        <v>82</v>
      </c>
      <c r="D26" s="32" t="s">
        <v>81</v>
      </c>
      <c r="E26" t="str">
        <f t="shared" si="2"/>
        <v>'Kyoto Gases'!</v>
      </c>
      <c r="Z26" s="11">
        <f t="shared" ref="Z26:AI26" ca="1" si="36">Z11+Z5*GWP_Methane+Z29*GWP_N2O/1000+Z23</f>
        <v>48507.673572743974</v>
      </c>
      <c r="AA26" s="11">
        <f t="shared" ca="1" si="36"/>
        <v>52892.458659400829</v>
      </c>
      <c r="AB26" s="11">
        <f t="shared" ca="1" si="36"/>
        <v>26651.806023918049</v>
      </c>
      <c r="AC26" s="11">
        <f t="shared" ca="1" si="36"/>
        <v>14319.568237794223</v>
      </c>
      <c r="AD26" s="11">
        <f t="shared" ca="1" si="36"/>
        <v>5672.4950539426027</v>
      </c>
      <c r="AE26" s="11">
        <f t="shared" ca="1" si="36"/>
        <v>146.42657283880104</v>
      </c>
      <c r="AF26" s="11">
        <f t="shared" ca="1" si="36"/>
        <v>-1273.6688835417458</v>
      </c>
      <c r="AG26" s="11">
        <f t="shared" ca="1" si="36"/>
        <v>-2464.6077366138384</v>
      </c>
      <c r="AH26" s="11">
        <f t="shared" ca="1" si="36"/>
        <v>-5157.2628540711976</v>
      </c>
      <c r="AI26" s="11">
        <f t="shared" ca="1" si="36"/>
        <v>-6384.7272635783866</v>
      </c>
      <c r="AJ26" s="3"/>
      <c r="AK26" s="194">
        <f t="shared" ca="1" si="5"/>
        <v>751806.30265216168</v>
      </c>
      <c r="AL26" s="11">
        <f t="shared" ca="1" si="8"/>
        <v>-47219.963605458222</v>
      </c>
      <c r="AM26">
        <f t="shared" ref="AM26:AV26" ca="1" si="37">Z26/Z$56</f>
        <v>7.0634802024648078</v>
      </c>
      <c r="AN26">
        <f t="shared" ca="1" si="37"/>
        <v>6.9492473193497561</v>
      </c>
      <c r="AO26">
        <f t="shared" ca="1" si="37"/>
        <v>3.2258337306046183</v>
      </c>
      <c r="AP26">
        <f t="shared" ca="1" si="37"/>
        <v>1.6296088181103958</v>
      </c>
      <c r="AQ26">
        <f t="shared" ca="1" si="37"/>
        <v>0.61865274317164942</v>
      </c>
      <c r="AR26">
        <f t="shared" ca="1" si="37"/>
        <v>1.5602690852003902E-2</v>
      </c>
      <c r="AS26">
        <f t="shared" ca="1" si="37"/>
        <v>-0.13468172204170359</v>
      </c>
      <c r="AT26">
        <f t="shared" ca="1" si="37"/>
        <v>-0.2621959385197708</v>
      </c>
      <c r="AU26">
        <f t="shared" ca="1" si="37"/>
        <v>-0.55817378289209307</v>
      </c>
      <c r="AV26">
        <f t="shared" ca="1" si="37"/>
        <v>-0.70845284859903279</v>
      </c>
    </row>
    <row r="27" spans="1:48" ht="15.75">
      <c r="A27" s="11" t="s">
        <v>73</v>
      </c>
      <c r="B27" s="11"/>
      <c r="C27" s="12" t="s">
        <v>82</v>
      </c>
      <c r="D27" s="32" t="s">
        <v>81</v>
      </c>
      <c r="E27" t="str">
        <f t="shared" si="2"/>
        <v>'Kyoto Gases'!</v>
      </c>
      <c r="Z27" s="11">
        <f t="shared" ref="Z27:AI27" ca="1" si="38">Z12+Z6*GWP_Methane+Z30*GWP_N2O/1000+Z24</f>
        <v>52591.726218750002</v>
      </c>
      <c r="AA27" s="11">
        <f t="shared" ca="1" si="38"/>
        <v>57578.975153476247</v>
      </c>
      <c r="AB27" s="11">
        <f t="shared" ca="1" si="38"/>
        <v>34775.175692301709</v>
      </c>
      <c r="AC27" s="11">
        <f t="shared" ca="1" si="38"/>
        <v>20883.369094611386</v>
      </c>
      <c r="AD27" s="11">
        <f t="shared" ca="1" si="38"/>
        <v>12710.034345885269</v>
      </c>
      <c r="AE27" s="11">
        <f t="shared" ca="1" si="38"/>
        <v>8902.887696442589</v>
      </c>
      <c r="AF27" s="11">
        <f t="shared" ca="1" si="38"/>
        <v>8695.6489773627418</v>
      </c>
      <c r="AG27" s="11">
        <f t="shared" ca="1" si="38"/>
        <v>8299.0885939159689</v>
      </c>
      <c r="AH27" s="11">
        <f t="shared" ca="1" si="38"/>
        <v>8112.8814821779097</v>
      </c>
      <c r="AI27" s="11">
        <f t="shared" ca="1" si="38"/>
        <v>8005.3450630175084</v>
      </c>
      <c r="AJ27" s="3"/>
      <c r="AK27" s="194">
        <f t="shared" ca="1" si="5"/>
        <v>1137225.1010120243</v>
      </c>
      <c r="AL27" s="11">
        <f t="shared" ca="1" si="8"/>
        <v>-44868.940807590974</v>
      </c>
      <c r="AM27">
        <f t="shared" ref="AM27:AV27" ca="1" si="39">Z27/Z$57</f>
        <v>7.5826803623848598</v>
      </c>
      <c r="AN27">
        <f t="shared" ca="1" si="39"/>
        <v>7.4637183210332854</v>
      </c>
      <c r="AO27">
        <f t="shared" ca="1" si="39"/>
        <v>4.1690112946609093</v>
      </c>
      <c r="AP27">
        <f t="shared" ca="1" si="39"/>
        <v>2.3622151585826092</v>
      </c>
      <c r="AQ27">
        <f t="shared" ca="1" si="39"/>
        <v>1.3824230105184125</v>
      </c>
      <c r="AR27">
        <f t="shared" ca="1" si="39"/>
        <v>0.94685488408571672</v>
      </c>
      <c r="AS27">
        <f t="shared" ca="1" si="39"/>
        <v>0.9186763331492287</v>
      </c>
      <c r="AT27">
        <f t="shared" ca="1" si="39"/>
        <v>0.88219328852879264</v>
      </c>
      <c r="AU27">
        <f t="shared" ca="1" si="39"/>
        <v>0.87669387785201314</v>
      </c>
      <c r="AV27">
        <f t="shared" ca="1" si="39"/>
        <v>0.88629017063173621</v>
      </c>
    </row>
    <row r="28" spans="1:48" ht="15.75">
      <c r="A28" s="13" t="s">
        <v>69</v>
      </c>
      <c r="B28" s="13" t="s">
        <v>70</v>
      </c>
      <c r="C28" s="14" t="s">
        <v>55</v>
      </c>
      <c r="D28" s="33" t="s">
        <v>83</v>
      </c>
      <c r="E28" t="str">
        <f t="shared" si="2"/>
        <v>'N2O TOTAL'!</v>
      </c>
      <c r="F28">
        <f t="shared" ref="F28:O39" ca="1" si="40">_xlfn.XMATCH($A28,INDIRECT(CONCATENATE($E28,"$C$1:$C$120")),0,-1)</f>
        <v>100</v>
      </c>
      <c r="G28">
        <f t="shared" ca="1" si="40"/>
        <v>100</v>
      </c>
      <c r="H28">
        <f t="shared" ca="1" si="40"/>
        <v>100</v>
      </c>
      <c r="I28">
        <f t="shared" ca="1" si="40"/>
        <v>100</v>
      </c>
      <c r="J28">
        <f t="shared" ca="1" si="40"/>
        <v>100</v>
      </c>
      <c r="K28">
        <f t="shared" ca="1" si="40"/>
        <v>100</v>
      </c>
      <c r="L28">
        <f t="shared" ca="1" si="40"/>
        <v>100</v>
      </c>
      <c r="M28">
        <f t="shared" ca="1" si="40"/>
        <v>100</v>
      </c>
      <c r="N28">
        <f t="shared" ca="1" si="40"/>
        <v>100</v>
      </c>
      <c r="O28">
        <f t="shared" ca="1" si="40"/>
        <v>100</v>
      </c>
      <c r="P28">
        <f t="shared" ref="P28:Y36" ca="1" si="41">MATCH(P$1,INDIRECT(CONCATENATE($E28,"A1:AM1")),0)</f>
        <v>8</v>
      </c>
      <c r="Q28">
        <f t="shared" ca="1" si="41"/>
        <v>10</v>
      </c>
      <c r="R28">
        <f t="shared" ca="1" si="41"/>
        <v>16</v>
      </c>
      <c r="S28">
        <f t="shared" ca="1" si="41"/>
        <v>18</v>
      </c>
      <c r="T28">
        <f t="shared" ca="1" si="41"/>
        <v>20</v>
      </c>
      <c r="U28">
        <f t="shared" ca="1" si="41"/>
        <v>22</v>
      </c>
      <c r="V28">
        <f t="shared" ca="1" si="41"/>
        <v>24</v>
      </c>
      <c r="W28">
        <f t="shared" ca="1" si="41"/>
        <v>26</v>
      </c>
      <c r="X28">
        <f t="shared" ca="1" si="41"/>
        <v>28</v>
      </c>
      <c r="Y28">
        <f t="shared" ca="1" si="41"/>
        <v>30</v>
      </c>
      <c r="Z28" s="13" cm="1">
        <f t="array" aca="1" ref="Z28" ca="1">INDEX(INDIRECT(CONCATENATE($E28,"$A$1:$AM$120")),F28,P28)</f>
        <v>10446.2021</v>
      </c>
      <c r="AA28" s="13" cm="1">
        <f t="array" aca="1" ref="AA28" ca="1">INDEX(INDIRECT(CONCATENATE($E28,"$A$1:$AM$120")),G28,Q28)</f>
        <v>11068.78606003928</v>
      </c>
      <c r="AB28" s="13" cm="1">
        <f t="array" aca="1" ref="AB28" ca="1">INDEX(INDIRECT(CONCATENATE($E28,"$A$1:$AM$120")),H28,R28)</f>
        <v>9379.6906581035491</v>
      </c>
      <c r="AC28" s="13" cm="1">
        <f t="array" aca="1" ref="AC28" ca="1">INDEX(INDIRECT(CONCATENATE($E28,"$A$1:$AM$120")),I28,S28)</f>
        <v>8429.9792108705569</v>
      </c>
      <c r="AD28" s="13" cm="1">
        <f t="array" aca="1" ref="AD28" ca="1">INDEX(INDIRECT(CONCATENATE($E28,"$A$1:$AM$120")),J28,T28)</f>
        <v>7827.5663386397046</v>
      </c>
      <c r="AE28" s="13" cm="1">
        <f t="array" aca="1" ref="AE28" ca="1">INDEX(INDIRECT(CONCATENATE($E28,"$A$1:$AM$120")),K28,U28)</f>
        <v>7485.42</v>
      </c>
      <c r="AF28" s="13" cm="1">
        <f t="array" aca="1" ref="AF28" ca="1">INDEX(INDIRECT(CONCATENATE($E28,"$A$1:$AM$120")),L28,V28)</f>
        <v>7449.83</v>
      </c>
      <c r="AG28" s="13" cm="1">
        <f t="array" aca="1" ref="AG28" ca="1">INDEX(INDIRECT(CONCATENATE($E28,"$A$1:$AM$120")),M28,W28)</f>
        <v>7002.2483604374556</v>
      </c>
      <c r="AH28" s="13" cm="1">
        <f t="array" aca="1" ref="AH28" ca="1">INDEX(INDIRECT(CONCATENATE($E28,"$A$1:$AM$120")),N28,X28)</f>
        <v>6981.3749503817726</v>
      </c>
      <c r="AI28" s="13" cm="1">
        <f t="array" aca="1" ref="AI28" ca="1">INDEX(INDIRECT(CONCATENATE($E28,"$A$1:$AM$120")),O28,Y28)</f>
        <v>6990.8481854422944</v>
      </c>
      <c r="AJ28" s="3"/>
      <c r="AK28" s="194">
        <f t="shared" ca="1" si="5"/>
        <v>433078.9504063541</v>
      </c>
      <c r="AL28" s="13">
        <f t="shared" ca="1" si="8"/>
        <v>-3241.2197213995751</v>
      </c>
      <c r="AM28">
        <f t="shared" ref="AM28:AV28" ca="1" si="42">Z28/Z$55*GWP_N2O/1000</f>
        <v>0.40025596695250887</v>
      </c>
      <c r="AN28">
        <f t="shared" ca="1" si="42"/>
        <v>0.38325930289352833</v>
      </c>
      <c r="AO28">
        <f t="shared" ca="1" si="42"/>
        <v>0.29992106548881986</v>
      </c>
      <c r="AP28">
        <f t="shared" ca="1" si="42"/>
        <v>0.25357013152043567</v>
      </c>
      <c r="AQ28">
        <f t="shared" ca="1" si="42"/>
        <v>0.22579778001142342</v>
      </c>
      <c r="AR28">
        <f t="shared" ca="1" si="42"/>
        <v>0.21113468125962803</v>
      </c>
      <c r="AS28">
        <f t="shared" ca="1" si="42"/>
        <v>0.20873508462990639</v>
      </c>
      <c r="AT28">
        <f t="shared" ca="1" si="42"/>
        <v>0.19725146488094575</v>
      </c>
      <c r="AU28">
        <f t="shared" ca="1" si="42"/>
        <v>0.20007194573181789</v>
      </c>
      <c r="AV28">
        <f t="shared" ca="1" si="42"/>
        <v>0.20539256842206324</v>
      </c>
    </row>
    <row r="29" spans="1:48" ht="15.75">
      <c r="A29" s="13" t="s">
        <v>72</v>
      </c>
      <c r="B29" s="13"/>
      <c r="C29" s="14" t="s">
        <v>55</v>
      </c>
      <c r="D29" s="33" t="s">
        <v>83</v>
      </c>
      <c r="E29" t="str">
        <f t="shared" si="2"/>
        <v>'N2O TOTAL'!</v>
      </c>
      <c r="F29">
        <f t="shared" ca="1" si="40"/>
        <v>101</v>
      </c>
      <c r="G29">
        <f t="shared" ca="1" si="40"/>
        <v>101</v>
      </c>
      <c r="H29">
        <f t="shared" ca="1" si="40"/>
        <v>101</v>
      </c>
      <c r="I29">
        <f t="shared" ca="1" si="40"/>
        <v>101</v>
      </c>
      <c r="J29">
        <f t="shared" ca="1" si="40"/>
        <v>101</v>
      </c>
      <c r="K29">
        <f t="shared" ca="1" si="40"/>
        <v>101</v>
      </c>
      <c r="L29">
        <f t="shared" ca="1" si="40"/>
        <v>101</v>
      </c>
      <c r="M29">
        <f t="shared" ca="1" si="40"/>
        <v>101</v>
      </c>
      <c r="N29">
        <f t="shared" ca="1" si="40"/>
        <v>101</v>
      </c>
      <c r="O29">
        <f t="shared" ca="1" si="40"/>
        <v>101</v>
      </c>
      <c r="P29">
        <f t="shared" ca="1" si="41"/>
        <v>8</v>
      </c>
      <c r="Q29">
        <f t="shared" ca="1" si="41"/>
        <v>10</v>
      </c>
      <c r="R29">
        <f t="shared" ca="1" si="41"/>
        <v>16</v>
      </c>
      <c r="S29">
        <f t="shared" ca="1" si="41"/>
        <v>18</v>
      </c>
      <c r="T29">
        <f t="shared" ca="1" si="41"/>
        <v>20</v>
      </c>
      <c r="U29">
        <f t="shared" ca="1" si="41"/>
        <v>22</v>
      </c>
      <c r="V29">
        <f t="shared" ca="1" si="41"/>
        <v>24</v>
      </c>
      <c r="W29">
        <f t="shared" ca="1" si="41"/>
        <v>26</v>
      </c>
      <c r="X29">
        <f t="shared" ca="1" si="41"/>
        <v>28</v>
      </c>
      <c r="Y29">
        <f t="shared" ca="1" si="41"/>
        <v>30</v>
      </c>
      <c r="Z29" s="13" cm="1">
        <f t="array" aca="1" ref="Z29" ca="1">INDEX(INDIRECT(CONCATENATE($E29,"$A$1:$AM$120")),F29,P29)</f>
        <v>9016.6801215350315</v>
      </c>
      <c r="AA29" s="13" cm="1">
        <f t="array" aca="1" ref="AA29" ca="1">INDEX(INDIRECT(CONCATENATE($E29,"$A$1:$AM$120")),G29,Q29)</f>
        <v>9766.0441815084778</v>
      </c>
      <c r="AB29" s="13" cm="1">
        <f t="array" aca="1" ref="AB29" ca="1">INDEX(INDIRECT(CONCATENATE($E29,"$A$1:$AM$120")),H29,R29)</f>
        <v>8446.2357909999992</v>
      </c>
      <c r="AC29" s="13" cm="1">
        <f t="array" aca="1" ref="AC29" ca="1">INDEX(INDIRECT(CONCATENATE($E29,"$A$1:$AM$120")),I29,S29)</f>
        <v>7714.3743606485104</v>
      </c>
      <c r="AD29" s="13" cm="1">
        <f t="array" aca="1" ref="AD29" ca="1">INDEX(INDIRECT(CONCATENATE($E29,"$A$1:$AM$120")),J29,T29)</f>
        <v>7136.2018588819001</v>
      </c>
      <c r="AE29" s="13" cm="1">
        <f t="array" aca="1" ref="AE29" ca="1">INDEX(INDIRECT(CONCATENATE($E29,"$A$1:$AM$120")),K29,U29)</f>
        <v>6893.5339256616317</v>
      </c>
      <c r="AF29" s="13" cm="1">
        <f t="array" aca="1" ref="AF29" ca="1">INDEX(INDIRECT(CONCATENATE($E29,"$A$1:$AM$120")),L29,V29)</f>
        <v>6556.5656957289129</v>
      </c>
      <c r="AG29" s="13" cm="1">
        <f t="array" aca="1" ref="AG29" ca="1">INDEX(INDIRECT(CONCATENATE($E29,"$A$1:$AM$120")),M29,W29)</f>
        <v>6504.5387817081773</v>
      </c>
      <c r="AH29" s="13" cm="1">
        <f t="array" aca="1" ref="AH29" ca="1">INDEX(INDIRECT(CONCATENATE($E29,"$A$1:$AM$120")),N29,X29)</f>
        <v>6157.4134000000004</v>
      </c>
      <c r="AI29" s="13" cm="1">
        <f t="array" aca="1" ref="AI29" ca="1">INDEX(INDIRECT(CONCATENATE($E29,"$A$1:$AM$120")),O29,Y29)</f>
        <v>6045.4655583475114</v>
      </c>
      <c r="AJ29" s="3"/>
      <c r="AK29" s="194">
        <f t="shared" ca="1" si="5"/>
        <v>391677.81368672603</v>
      </c>
      <c r="AL29" s="13">
        <f t="shared" ca="1" si="8"/>
        <v>-2629.8423226265777</v>
      </c>
      <c r="AM29">
        <f t="shared" ref="AM29:AV29" ca="1" si="43">Z29/Z$56*GWP_N2O/1000</f>
        <v>0.34793716668871261</v>
      </c>
      <c r="AN29">
        <f t="shared" ca="1" si="43"/>
        <v>0.34002321669893204</v>
      </c>
      <c r="AO29">
        <f t="shared" ca="1" si="43"/>
        <v>0.27090960950267423</v>
      </c>
      <c r="AP29">
        <f t="shared" ca="1" si="43"/>
        <v>0.23264837689389184</v>
      </c>
      <c r="AQ29">
        <f t="shared" ca="1" si="43"/>
        <v>0.20624613431442129</v>
      </c>
      <c r="AR29">
        <f t="shared" ca="1" si="43"/>
        <v>0.1946558217418066</v>
      </c>
      <c r="AS29">
        <f t="shared" ca="1" si="43"/>
        <v>0.18372760459772799</v>
      </c>
      <c r="AT29">
        <f t="shared" ca="1" si="43"/>
        <v>0.18337517190691649</v>
      </c>
      <c r="AU29">
        <f t="shared" ca="1" si="43"/>
        <v>0.17660148596319142</v>
      </c>
      <c r="AV29">
        <f t="shared" ca="1" si="43"/>
        <v>0.1777641685484197</v>
      </c>
    </row>
    <row r="30" spans="1:48" ht="15.75">
      <c r="A30" s="13" t="s">
        <v>73</v>
      </c>
      <c r="B30" s="13"/>
      <c r="C30" s="14" t="s">
        <v>55</v>
      </c>
      <c r="D30" s="33" t="s">
        <v>83</v>
      </c>
      <c r="E30" t="str">
        <f t="shared" si="2"/>
        <v>'N2O TOTAL'!</v>
      </c>
      <c r="F30">
        <f t="shared" ca="1" si="40"/>
        <v>102</v>
      </c>
      <c r="G30">
        <f t="shared" ca="1" si="40"/>
        <v>102</v>
      </c>
      <c r="H30">
        <f t="shared" ca="1" si="40"/>
        <v>102</v>
      </c>
      <c r="I30">
        <f t="shared" ca="1" si="40"/>
        <v>102</v>
      </c>
      <c r="J30">
        <f t="shared" ca="1" si="40"/>
        <v>102</v>
      </c>
      <c r="K30">
        <f t="shared" ca="1" si="40"/>
        <v>102</v>
      </c>
      <c r="L30">
        <f t="shared" ca="1" si="40"/>
        <v>102</v>
      </c>
      <c r="M30">
        <f t="shared" ca="1" si="40"/>
        <v>102</v>
      </c>
      <c r="N30">
        <f t="shared" ca="1" si="40"/>
        <v>102</v>
      </c>
      <c r="O30">
        <f t="shared" ca="1" si="40"/>
        <v>102</v>
      </c>
      <c r="P30">
        <f t="shared" ca="1" si="41"/>
        <v>8</v>
      </c>
      <c r="Q30">
        <f t="shared" ca="1" si="41"/>
        <v>10</v>
      </c>
      <c r="R30">
        <f t="shared" ca="1" si="41"/>
        <v>16</v>
      </c>
      <c r="S30">
        <f t="shared" ca="1" si="41"/>
        <v>18</v>
      </c>
      <c r="T30">
        <f t="shared" ca="1" si="41"/>
        <v>20</v>
      </c>
      <c r="U30">
        <f t="shared" ca="1" si="41"/>
        <v>22</v>
      </c>
      <c r="V30">
        <f t="shared" ca="1" si="41"/>
        <v>24</v>
      </c>
      <c r="W30">
        <f t="shared" ca="1" si="41"/>
        <v>26</v>
      </c>
      <c r="X30">
        <f t="shared" ca="1" si="41"/>
        <v>28</v>
      </c>
      <c r="Y30">
        <f t="shared" ca="1" si="41"/>
        <v>30</v>
      </c>
      <c r="Z30" s="13" cm="1">
        <f t="array" aca="1" ref="Z30" ca="1">INDEX(INDIRECT(CONCATENATE($E30,"$A$1:$AM$120")),F30,P30)</f>
        <v>10557.682349999999</v>
      </c>
      <c r="AA30" s="13" cm="1">
        <f t="array" aca="1" ref="AA30" ca="1">INDEX(INDIRECT(CONCATENATE($E30,"$A$1:$AM$120")),G30,Q30)</f>
        <v>12607.4807</v>
      </c>
      <c r="AB30" s="13" cm="1">
        <f t="array" aca="1" ref="AB30" ca="1">INDEX(INDIRECT(CONCATENATE($E30,"$A$1:$AM$120")),H30,R30)</f>
        <v>11092.6785</v>
      </c>
      <c r="AC30" s="13" cm="1">
        <f t="array" aca="1" ref="AC30" ca="1">INDEX(INDIRECT(CONCATENATE($E30,"$A$1:$AM$120")),I30,S30)</f>
        <v>11186.6278</v>
      </c>
      <c r="AD30" s="13" cm="1">
        <f t="array" aca="1" ref="AD30" ca="1">INDEX(INDIRECT(CONCATENATE($E30,"$A$1:$AM$120")),J30,T30)</f>
        <v>11614.63</v>
      </c>
      <c r="AE30" s="13" cm="1">
        <f t="array" aca="1" ref="AE30" ca="1">INDEX(INDIRECT(CONCATENATE($E30,"$A$1:$AM$120")),K30,U30)</f>
        <v>11602.66</v>
      </c>
      <c r="AF30" s="13" cm="1">
        <f t="array" aca="1" ref="AF30" ca="1">INDEX(INDIRECT(CONCATENATE($E30,"$A$1:$AM$120")),L30,V30)</f>
        <v>11725.17</v>
      </c>
      <c r="AG30" s="13" cm="1">
        <f t="array" aca="1" ref="AG30" ca="1">INDEX(INDIRECT(CONCATENATE($E30,"$A$1:$AM$120")),M30,W30)</f>
        <v>11276.4894</v>
      </c>
      <c r="AH30" s="13" cm="1">
        <f t="array" aca="1" ref="AH30" ca="1">INDEX(INDIRECT(CONCATENATE($E30,"$A$1:$AM$120")),N30,X30)</f>
        <v>10893.309600000001</v>
      </c>
      <c r="AI30" s="13" cm="1">
        <f t="array" aca="1" ref="AI30" ca="1">INDEX(INDIRECT(CONCATENATE($E30,"$A$1:$AM$120")),O30,Y30)</f>
        <v>10473.4908</v>
      </c>
      <c r="AJ30" s="3"/>
      <c r="AK30" s="194">
        <f t="shared" ca="1" si="5"/>
        <v>588795.54185000004</v>
      </c>
      <c r="AL30" s="13">
        <f t="shared" ca="1" si="8"/>
        <v>-992.85070000000087</v>
      </c>
      <c r="AM30">
        <f t="shared" ref="AM30:AV30" ca="1" si="44">Z30/Z$57*GWP_N2O/1000</f>
        <v>0.40338504060666713</v>
      </c>
      <c r="AN30">
        <f t="shared" ca="1" si="44"/>
        <v>0.433077375455863</v>
      </c>
      <c r="AO30">
        <f t="shared" ca="1" si="44"/>
        <v>0.35240822724776727</v>
      </c>
      <c r="AP30">
        <f t="shared" ca="1" si="44"/>
        <v>0.33532346889808406</v>
      </c>
      <c r="AQ30">
        <f t="shared" ca="1" si="44"/>
        <v>0.33476919128874849</v>
      </c>
      <c r="AR30">
        <f t="shared" ca="1" si="44"/>
        <v>0.32700618618951921</v>
      </c>
      <c r="AS30">
        <f t="shared" ca="1" si="44"/>
        <v>0.32826573329214898</v>
      </c>
      <c r="AT30">
        <f t="shared" ca="1" si="44"/>
        <v>0.31765312972400611</v>
      </c>
      <c r="AU30">
        <f t="shared" ca="1" si="44"/>
        <v>0.31194538365488977</v>
      </c>
      <c r="AV30">
        <f t="shared" ca="1" si="44"/>
        <v>0.30727922992952045</v>
      </c>
    </row>
    <row r="31" spans="1:48" ht="15.75">
      <c r="A31" s="15" t="s">
        <v>69</v>
      </c>
      <c r="B31" s="15" t="s">
        <v>70</v>
      </c>
      <c r="C31" s="16" t="s">
        <v>49</v>
      </c>
      <c r="D31" s="34" t="s">
        <v>83</v>
      </c>
      <c r="E31" t="str">
        <f t="shared" si="2"/>
        <v>'N2O AFOLU'!</v>
      </c>
      <c r="F31">
        <f t="shared" ca="1" si="40"/>
        <v>100</v>
      </c>
      <c r="G31">
        <f t="shared" ca="1" si="40"/>
        <v>100</v>
      </c>
      <c r="H31">
        <f t="shared" ca="1" si="40"/>
        <v>100</v>
      </c>
      <c r="I31">
        <f t="shared" ca="1" si="40"/>
        <v>100</v>
      </c>
      <c r="J31">
        <f t="shared" ca="1" si="40"/>
        <v>100</v>
      </c>
      <c r="K31">
        <f t="shared" ca="1" si="40"/>
        <v>100</v>
      </c>
      <c r="L31">
        <f t="shared" ca="1" si="40"/>
        <v>100</v>
      </c>
      <c r="M31">
        <f t="shared" ca="1" si="40"/>
        <v>100</v>
      </c>
      <c r="N31">
        <f t="shared" ca="1" si="40"/>
        <v>100</v>
      </c>
      <c r="O31">
        <f t="shared" ca="1" si="40"/>
        <v>100</v>
      </c>
      <c r="P31">
        <f t="shared" ca="1" si="41"/>
        <v>8</v>
      </c>
      <c r="Q31">
        <f t="shared" ca="1" si="41"/>
        <v>10</v>
      </c>
      <c r="R31">
        <f t="shared" ca="1" si="41"/>
        <v>12</v>
      </c>
      <c r="S31">
        <f t="shared" ca="1" si="41"/>
        <v>14</v>
      </c>
      <c r="T31">
        <f t="shared" ca="1" si="41"/>
        <v>16</v>
      </c>
      <c r="U31">
        <f t="shared" ca="1" si="41"/>
        <v>18</v>
      </c>
      <c r="V31">
        <f t="shared" ca="1" si="41"/>
        <v>20</v>
      </c>
      <c r="W31">
        <f t="shared" ca="1" si="41"/>
        <v>22</v>
      </c>
      <c r="X31">
        <f t="shared" ca="1" si="41"/>
        <v>24</v>
      </c>
      <c r="Y31">
        <f t="shared" ca="1" si="41"/>
        <v>26</v>
      </c>
      <c r="Z31" s="15" cm="1">
        <f t="array" aca="1" ref="Z31" ca="1">INDEX(INDIRECT(CONCATENATE($E31,"$A$1:$AM$120")),F31,P31)</f>
        <v>7353.5631000000003</v>
      </c>
      <c r="AA31" s="15" cm="1">
        <f t="array" aca="1" ref="AA31" ca="1">INDEX(INDIRECT(CONCATENATE($E31,"$A$1:$AM$120")),G31,Q31)</f>
        <v>8559.3582820751853</v>
      </c>
      <c r="AB31" s="15" cm="1">
        <f t="array" aca="1" ref="AB31" ca="1">INDEX(INDIRECT(CONCATENATE($E31,"$A$1:$AM$120")),H31,R31)</f>
        <v>8151.2070999999996</v>
      </c>
      <c r="AC31" s="15" cm="1">
        <f t="array" aca="1" ref="AC31" ca="1">INDEX(INDIRECT(CONCATENATE($E31,"$A$1:$AM$120")),I31,S31)</f>
        <v>7931.0470999999998</v>
      </c>
      <c r="AD31" s="15" cm="1">
        <f t="array" aca="1" ref="AD31" ca="1">INDEX(INDIRECT(CONCATENATE($E31,"$A$1:$AM$120")),J31,T31)</f>
        <v>7692.2428</v>
      </c>
      <c r="AE31" s="15" cm="1">
        <f t="array" aca="1" ref="AE31" ca="1">INDEX(INDIRECT(CONCATENATE($E31,"$A$1:$AM$120")),K31,U31)</f>
        <v>7302.5883000000003</v>
      </c>
      <c r="AF31" s="15" cm="1">
        <f t="array" aca="1" ref="AF31" ca="1">INDEX(INDIRECT(CONCATENATE($E31,"$A$1:$AM$120")),L31,V31)</f>
        <v>7186.9793</v>
      </c>
      <c r="AG31" s="15" cm="1">
        <f t="array" aca="1" ref="AG31" ca="1">INDEX(INDIRECT(CONCATENATE($E31,"$A$1:$AM$120")),M31,W31)</f>
        <v>6920.5819999999994</v>
      </c>
      <c r="AH31" s="15" cm="1">
        <f t="array" aca="1" ref="AH31" ca="1">INDEX(INDIRECT(CONCATENATE($E31,"$A$1:$AM$120")),N31,X31)</f>
        <v>6746.8139000000001</v>
      </c>
      <c r="AI31" s="15" cm="1">
        <f t="array" aca="1" ref="AI31" ca="1">INDEX(INDIRECT(CONCATENATE($E31,"$A$1:$AM$120")),O31,Y31)</f>
        <v>6875.2273999999998</v>
      </c>
      <c r="AJ31" s="3"/>
      <c r="AK31" s="194">
        <f t="shared" ca="1" si="5"/>
        <v>397375.70970141352</v>
      </c>
      <c r="AL31" s="15">
        <f t="shared" ca="1" si="8"/>
        <v>-867.11548207518535</v>
      </c>
      <c r="AM31">
        <f t="shared" ref="AM31:AV31" ca="1" si="45">Z31/Z$55*GWP_N2O/1000</f>
        <v>0.28175862202941565</v>
      </c>
      <c r="AN31">
        <f t="shared" ca="1" si="45"/>
        <v>0.29636977990271529</v>
      </c>
      <c r="AO31">
        <f t="shared" ca="1" si="45"/>
        <v>0.26063958904017021</v>
      </c>
      <c r="AP31">
        <f t="shared" ca="1" si="45"/>
        <v>0.23856246924647961</v>
      </c>
      <c r="AQ31">
        <f t="shared" ca="1" si="45"/>
        <v>0.2218941714968202</v>
      </c>
      <c r="AR31">
        <f t="shared" ca="1" si="45"/>
        <v>0.20597770774262353</v>
      </c>
      <c r="AS31">
        <f t="shared" ca="1" si="45"/>
        <v>0.20137033092283793</v>
      </c>
      <c r="AT31">
        <f t="shared" ca="1" si="45"/>
        <v>0.19495094533371032</v>
      </c>
      <c r="AU31">
        <f t="shared" ca="1" si="45"/>
        <v>0.19334990514864969</v>
      </c>
      <c r="AV31">
        <f t="shared" ca="1" si="45"/>
        <v>0.20199560578533751</v>
      </c>
    </row>
    <row r="32" spans="1:48" ht="15.75">
      <c r="A32" s="15" t="s">
        <v>72</v>
      </c>
      <c r="B32" s="15"/>
      <c r="C32" s="16" t="s">
        <v>49</v>
      </c>
      <c r="D32" s="34" t="s">
        <v>83</v>
      </c>
      <c r="E32" t="str">
        <f t="shared" si="2"/>
        <v>'N2O AFOLU'!</v>
      </c>
      <c r="F32">
        <f t="shared" ca="1" si="40"/>
        <v>101</v>
      </c>
      <c r="G32">
        <f t="shared" ca="1" si="40"/>
        <v>101</v>
      </c>
      <c r="H32">
        <f t="shared" ca="1" si="40"/>
        <v>101</v>
      </c>
      <c r="I32">
        <f t="shared" ca="1" si="40"/>
        <v>101</v>
      </c>
      <c r="J32">
        <f t="shared" ca="1" si="40"/>
        <v>101</v>
      </c>
      <c r="K32">
        <f t="shared" ca="1" si="40"/>
        <v>101</v>
      </c>
      <c r="L32">
        <f t="shared" ca="1" si="40"/>
        <v>101</v>
      </c>
      <c r="M32">
        <f t="shared" ca="1" si="40"/>
        <v>101</v>
      </c>
      <c r="N32">
        <f t="shared" ca="1" si="40"/>
        <v>101</v>
      </c>
      <c r="O32">
        <f t="shared" ca="1" si="40"/>
        <v>101</v>
      </c>
      <c r="P32">
        <f t="shared" ca="1" si="41"/>
        <v>8</v>
      </c>
      <c r="Q32">
        <f t="shared" ca="1" si="41"/>
        <v>10</v>
      </c>
      <c r="R32">
        <f t="shared" ca="1" si="41"/>
        <v>12</v>
      </c>
      <c r="S32">
        <f t="shared" ca="1" si="41"/>
        <v>14</v>
      </c>
      <c r="T32">
        <f t="shared" ca="1" si="41"/>
        <v>16</v>
      </c>
      <c r="U32">
        <f t="shared" ca="1" si="41"/>
        <v>18</v>
      </c>
      <c r="V32">
        <f t="shared" ca="1" si="41"/>
        <v>20</v>
      </c>
      <c r="W32">
        <f t="shared" ca="1" si="41"/>
        <v>22</v>
      </c>
      <c r="X32">
        <f t="shared" ca="1" si="41"/>
        <v>24</v>
      </c>
      <c r="Y32">
        <f t="shared" ca="1" si="41"/>
        <v>26</v>
      </c>
      <c r="Z32" s="15" cm="1">
        <f t="array" aca="1" ref="Z32" ca="1">INDEX(INDIRECT(CONCATENATE($E32,"$A$1:$AM$120")),F32,P32)</f>
        <v>7329.7896000000001</v>
      </c>
      <c r="AA32" s="15" cm="1">
        <f t="array" aca="1" ref="AA32" ca="1">INDEX(INDIRECT(CONCATENATE($E32,"$A$1:$AM$120")),G32,Q32)</f>
        <v>8179.7610999999997</v>
      </c>
      <c r="AB32" s="15" cm="1">
        <f t="array" aca="1" ref="AB32" ca="1">INDEX(INDIRECT(CONCATENATE($E32,"$A$1:$AM$120")),H32,R32)</f>
        <v>6381.8826612903194</v>
      </c>
      <c r="AC32" s="15" cm="1">
        <f t="array" aca="1" ref="AC32" ca="1">INDEX(INDIRECT(CONCATENATE($E32,"$A$1:$AM$120")),I32,S32)</f>
        <v>5982.8847804210818</v>
      </c>
      <c r="AD32" s="15" cm="1">
        <f t="array" aca="1" ref="AD32" ca="1">INDEX(INDIRECT(CONCATENATE($E32,"$A$1:$AM$120")),J32,T32)</f>
        <v>5681.4845294889037</v>
      </c>
      <c r="AE32" s="15" cm="1">
        <f t="array" aca="1" ref="AE32" ca="1">INDEX(INDIRECT(CONCATENATE($E32,"$A$1:$AM$120")),K32,U32)</f>
        <v>5574.5300829999996</v>
      </c>
      <c r="AF32" s="15" cm="1">
        <f t="array" aca="1" ref="AF32" ca="1">INDEX(INDIRECT(CONCATENATE($E32,"$A$1:$AM$120")),L32,V32)</f>
        <v>5523.8218428137152</v>
      </c>
      <c r="AG32" s="15" cm="1">
        <f t="array" aca="1" ref="AG32" ca="1">INDEX(INDIRECT(CONCATENATE($E32,"$A$1:$AM$120")),M32,W32)</f>
        <v>5418.6973377188751</v>
      </c>
      <c r="AH32" s="15" cm="1">
        <f t="array" aca="1" ref="AH32" ca="1">INDEX(INDIRECT(CONCATENATE($E32,"$A$1:$AM$120")),N32,X32)</f>
        <v>5025.6961680808772</v>
      </c>
      <c r="AI32" s="15" cm="1">
        <f t="array" aca="1" ref="AI32" ca="1">INDEX(INDIRECT(CONCATENATE($E32,"$A$1:$AM$120")),O32,Y32)</f>
        <v>4977.5706193448104</v>
      </c>
      <c r="AJ32" s="3"/>
      <c r="AK32" s="194">
        <f t="shared" ca="1" si="5"/>
        <v>311577.52672747843</v>
      </c>
      <c r="AL32" s="15">
        <f t="shared" ca="1" si="8"/>
        <v>-2498.276570511096</v>
      </c>
      <c r="AM32">
        <f t="shared" ref="AM32:AV32" ca="1" si="46">Z32/Z$56*GWP_N2O/1000</f>
        <v>0.28284315196647108</v>
      </c>
      <c r="AN32">
        <f t="shared" ca="1" si="46"/>
        <v>0.28479378439809488</v>
      </c>
      <c r="AO32">
        <f t="shared" ca="1" si="46"/>
        <v>0.20469631471860106</v>
      </c>
      <c r="AP32">
        <f t="shared" ca="1" si="46"/>
        <v>0.1804305013259847</v>
      </c>
      <c r="AQ32">
        <f t="shared" ca="1" si="46"/>
        <v>0.16420278525555473</v>
      </c>
      <c r="AR32">
        <f t="shared" ca="1" si="46"/>
        <v>0.15741051626530414</v>
      </c>
      <c r="AS32">
        <f t="shared" ca="1" si="46"/>
        <v>0.1547881318516926</v>
      </c>
      <c r="AT32">
        <f t="shared" ca="1" si="46"/>
        <v>0.15276326103398258</v>
      </c>
      <c r="AU32">
        <f t="shared" ca="1" si="46"/>
        <v>0.14414257312698864</v>
      </c>
      <c r="AV32">
        <f t="shared" ca="1" si="46"/>
        <v>0.14636320296575078</v>
      </c>
    </row>
    <row r="33" spans="1:48" ht="15.75">
      <c r="A33" s="15" t="s">
        <v>73</v>
      </c>
      <c r="B33" s="15"/>
      <c r="C33" s="16" t="s">
        <v>49</v>
      </c>
      <c r="D33" s="34" t="s">
        <v>83</v>
      </c>
      <c r="E33" t="str">
        <f t="shared" si="2"/>
        <v>'N2O AFOLU'!</v>
      </c>
      <c r="F33">
        <f t="shared" ca="1" si="40"/>
        <v>102</v>
      </c>
      <c r="G33">
        <f t="shared" ca="1" si="40"/>
        <v>102</v>
      </c>
      <c r="H33">
        <f t="shared" ca="1" si="40"/>
        <v>102</v>
      </c>
      <c r="I33">
        <f t="shared" ca="1" si="40"/>
        <v>102</v>
      </c>
      <c r="J33">
        <f t="shared" ca="1" si="40"/>
        <v>102</v>
      </c>
      <c r="K33">
        <f t="shared" ca="1" si="40"/>
        <v>102</v>
      </c>
      <c r="L33">
        <f t="shared" ca="1" si="40"/>
        <v>102</v>
      </c>
      <c r="M33">
        <f t="shared" ca="1" si="40"/>
        <v>102</v>
      </c>
      <c r="N33">
        <f t="shared" ca="1" si="40"/>
        <v>102</v>
      </c>
      <c r="O33">
        <f t="shared" ca="1" si="40"/>
        <v>102</v>
      </c>
      <c r="P33">
        <f t="shared" ca="1" si="41"/>
        <v>8</v>
      </c>
      <c r="Q33">
        <f t="shared" ca="1" si="41"/>
        <v>10</v>
      </c>
      <c r="R33">
        <f t="shared" ca="1" si="41"/>
        <v>12</v>
      </c>
      <c r="S33">
        <f t="shared" ca="1" si="41"/>
        <v>14</v>
      </c>
      <c r="T33">
        <f t="shared" ca="1" si="41"/>
        <v>16</v>
      </c>
      <c r="U33">
        <f t="shared" ca="1" si="41"/>
        <v>18</v>
      </c>
      <c r="V33">
        <f t="shared" ca="1" si="41"/>
        <v>20</v>
      </c>
      <c r="W33">
        <f t="shared" ca="1" si="41"/>
        <v>22</v>
      </c>
      <c r="X33">
        <f t="shared" ca="1" si="41"/>
        <v>24</v>
      </c>
      <c r="Y33">
        <f t="shared" ca="1" si="41"/>
        <v>26</v>
      </c>
      <c r="Z33" s="15" cm="1">
        <f t="array" aca="1" ref="Z33" ca="1">INDEX(INDIRECT(CONCATENATE($E33,"$A$1:$AM$120")),F33,P33)</f>
        <v>7881.4955</v>
      </c>
      <c r="AA33" s="15" cm="1">
        <f t="array" aca="1" ref="AA33" ca="1">INDEX(INDIRECT(CONCATENATE($E33,"$A$1:$AM$120")),G33,Q33)</f>
        <v>9031.9886999999999</v>
      </c>
      <c r="AB33" s="15" cm="1">
        <f t="array" aca="1" ref="AB33" ca="1">INDEX(INDIRECT(CONCATENATE($E33,"$A$1:$AM$120")),H33,R33)</f>
        <v>8802.9192000000003</v>
      </c>
      <c r="AC33" s="15" cm="1">
        <f t="array" aca="1" ref="AC33" ca="1">INDEX(INDIRECT(CONCATENATE($E33,"$A$1:$AM$120")),I33,S33)</f>
        <v>9582.2374999999993</v>
      </c>
      <c r="AD33" s="15" cm="1">
        <f t="array" aca="1" ref="AD33" ca="1">INDEX(INDIRECT(CONCATENATE($E33,"$A$1:$AM$120")),J33,T33)</f>
        <v>10084.9696</v>
      </c>
      <c r="AE33" s="15" cm="1">
        <f t="array" aca="1" ref="AE33" ca="1">INDEX(INDIRECT(CONCATENATE($E33,"$A$1:$AM$120")),K33,U33)</f>
        <v>10397.9013</v>
      </c>
      <c r="AF33" s="15" cm="1">
        <f t="array" aca="1" ref="AF33" ca="1">INDEX(INDIRECT(CONCATENATE($E33,"$A$1:$AM$120")),L33,V33)</f>
        <v>10297.806200000001</v>
      </c>
      <c r="AG33" s="15" cm="1">
        <f t="array" aca="1" ref="AG33" ca="1">INDEX(INDIRECT(CONCATENATE($E33,"$A$1:$AM$120")),M33,W33)</f>
        <v>9934.4979000000003</v>
      </c>
      <c r="AH33" s="15" cm="1">
        <f t="array" aca="1" ref="AH33" ca="1">INDEX(INDIRECT(CONCATENATE($E33,"$A$1:$AM$120")),N33,X33)</f>
        <v>9421.2715000000007</v>
      </c>
      <c r="AI33" s="15" cm="1">
        <f t="array" aca="1" ref="AI33" ca="1">INDEX(INDIRECT(CONCATENATE($E33,"$A$1:$AM$120")),O33,Y33)</f>
        <v>9061.1556999999993</v>
      </c>
      <c r="AJ33" s="3"/>
      <c r="AK33" s="194">
        <f t="shared" ca="1" si="5"/>
        <v>494994.14795000001</v>
      </c>
      <c r="AL33" s="15">
        <f t="shared" ca="1" si="8"/>
        <v>1052.9809000000005</v>
      </c>
      <c r="AM33">
        <f t="shared" ref="AM33:AV33" ca="1" si="47">Z33/Z$57*GWP_N2O/1000</f>
        <v>0.30113402514982512</v>
      </c>
      <c r="AN33">
        <f t="shared" ca="1" si="47"/>
        <v>0.31025627200389144</v>
      </c>
      <c r="AO33">
        <f t="shared" ca="1" si="47"/>
        <v>0.27966384763403485</v>
      </c>
      <c r="AP33">
        <f t="shared" ca="1" si="47"/>
        <v>0.28723125286293205</v>
      </c>
      <c r="AQ33">
        <f t="shared" ca="1" si="47"/>
        <v>0.29067969596651932</v>
      </c>
      <c r="AR33">
        <f t="shared" ca="1" si="47"/>
        <v>0.2930515975205723</v>
      </c>
      <c r="AS33">
        <f t="shared" ca="1" si="47"/>
        <v>0.28830429780919498</v>
      </c>
      <c r="AT33">
        <f t="shared" ca="1" si="47"/>
        <v>0.27984989283735473</v>
      </c>
      <c r="AU33">
        <f t="shared" ca="1" si="47"/>
        <v>0.2697914830754814</v>
      </c>
      <c r="AV33">
        <f t="shared" ca="1" si="47"/>
        <v>0.26584306979746286</v>
      </c>
    </row>
    <row r="34" spans="1:48" ht="15.75">
      <c r="A34" s="17" t="s">
        <v>69</v>
      </c>
      <c r="B34" s="17" t="s">
        <v>70</v>
      </c>
      <c r="C34" s="18" t="s">
        <v>39</v>
      </c>
      <c r="D34" s="35" t="s">
        <v>75</v>
      </c>
      <c r="E34" t="str">
        <f t="shared" si="2"/>
        <v>'CO2 AFOLU'!</v>
      </c>
      <c r="F34">
        <f t="shared" ca="1" si="40"/>
        <v>100</v>
      </c>
      <c r="G34">
        <f t="shared" ca="1" si="40"/>
        <v>100</v>
      </c>
      <c r="H34">
        <f t="shared" ca="1" si="40"/>
        <v>100</v>
      </c>
      <c r="I34">
        <f t="shared" ca="1" si="40"/>
        <v>100</v>
      </c>
      <c r="J34">
        <f t="shared" ca="1" si="40"/>
        <v>100</v>
      </c>
      <c r="K34">
        <f t="shared" ca="1" si="40"/>
        <v>100</v>
      </c>
      <c r="L34">
        <f t="shared" ca="1" si="40"/>
        <v>100</v>
      </c>
      <c r="M34">
        <f t="shared" ca="1" si="40"/>
        <v>100</v>
      </c>
      <c r="N34">
        <f t="shared" ca="1" si="40"/>
        <v>100</v>
      </c>
      <c r="O34">
        <f t="shared" ca="1" si="40"/>
        <v>100</v>
      </c>
      <c r="P34">
        <f t="shared" ca="1" si="41"/>
        <v>8</v>
      </c>
      <c r="Q34">
        <f t="shared" ca="1" si="41"/>
        <v>10</v>
      </c>
      <c r="R34">
        <f t="shared" ca="1" si="41"/>
        <v>16</v>
      </c>
      <c r="S34">
        <f t="shared" ca="1" si="41"/>
        <v>18</v>
      </c>
      <c r="T34">
        <f t="shared" ca="1" si="41"/>
        <v>20</v>
      </c>
      <c r="U34">
        <f t="shared" ca="1" si="41"/>
        <v>22</v>
      </c>
      <c r="V34">
        <f t="shared" ca="1" si="41"/>
        <v>24</v>
      </c>
      <c r="W34">
        <f t="shared" ca="1" si="41"/>
        <v>26</v>
      </c>
      <c r="X34">
        <f t="shared" ca="1" si="41"/>
        <v>28</v>
      </c>
      <c r="Y34">
        <f t="shared" ca="1" si="41"/>
        <v>30</v>
      </c>
      <c r="Z34" s="17" cm="1">
        <f t="array" aca="1" ref="Z34" ca="1">INDEX(INDIRECT(CONCATENATE($E34,"$A$1:$AM$120")),F34,P34)</f>
        <v>4189.8630000000003</v>
      </c>
      <c r="AA34" s="17" cm="1">
        <f t="array" aca="1" ref="AA34" ca="1">INDEX(INDIRECT(CONCATENATE($E34,"$A$1:$AM$120")),G34,Q34)</f>
        <v>4085.4883</v>
      </c>
      <c r="AB34" s="17" cm="1">
        <f t="array" aca="1" ref="AB34" ca="1">INDEX(INDIRECT(CONCATENATE($E34,"$A$1:$AM$120")),H34,R34)</f>
        <v>-17.657299999999999</v>
      </c>
      <c r="AC34" s="17" cm="1">
        <f t="array" aca="1" ref="AC34" ca="1">INDEX(INDIRECT(CONCATENATE($E34,"$A$1:$AM$120")),I34,S34)</f>
        <v>-1477.19883435879</v>
      </c>
      <c r="AD34" s="17" cm="1">
        <f t="array" aca="1" ref="AD34" ca="1">INDEX(INDIRECT(CONCATENATE($E34,"$A$1:$AM$120")),J34,T34)</f>
        <v>-2571.5728079568698</v>
      </c>
      <c r="AE34" s="17" cm="1">
        <f t="array" aca="1" ref="AE34" ca="1">INDEX(INDIRECT(CONCATENATE($E34,"$A$1:$AM$120")),K34,U34)</f>
        <v>-3375.9284989595599</v>
      </c>
      <c r="AF34" s="17" cm="1">
        <f t="array" aca="1" ref="AF34" ca="1">INDEX(INDIRECT(CONCATENATE($E34,"$A$1:$AM$120")),L34,V34)</f>
        <v>-3137.7765886270299</v>
      </c>
      <c r="AG34" s="17" cm="1">
        <f t="array" aca="1" ref="AG34" ca="1">INDEX(INDIRECT(CONCATENATE($E34,"$A$1:$AM$120")),M34,W34)</f>
        <v>-2417.4675000000002</v>
      </c>
      <c r="AH34" s="17" cm="1">
        <f t="array" aca="1" ref="AH34" ca="1">INDEX(INDIRECT(CONCATENATE($E34,"$A$1:$AM$120")),N34,X34)</f>
        <v>-2070.75</v>
      </c>
      <c r="AI34" s="17" cm="1">
        <f t="array" aca="1" ref="AI34" ca="1">INDEX(INDIRECT(CONCATENATE($E34,"$A$1:$AM$120")),O34,Y34)</f>
        <v>-2287.7067000000002</v>
      </c>
      <c r="AJ34" s="3"/>
      <c r="AK34" s="194">
        <f t="shared" ca="1" si="5"/>
        <v>-69211.160000200864</v>
      </c>
      <c r="AL34" s="17">
        <f t="shared" ca="1" si="8"/>
        <v>-6657.0611079568698</v>
      </c>
      <c r="AM34">
        <f t="shared" ref="AM34:AV34" ca="1" si="48">Z34/Z$55</f>
        <v>0.6058056786679058</v>
      </c>
      <c r="AN34">
        <f t="shared" ca="1" si="48"/>
        <v>0.53381504422366344</v>
      </c>
      <c r="AO34">
        <f t="shared" ca="1" si="48"/>
        <v>-2.1305752443356763E-3</v>
      </c>
      <c r="AP34">
        <f t="shared" ca="1" si="48"/>
        <v>-0.16767359450481373</v>
      </c>
      <c r="AQ34">
        <f t="shared" ca="1" si="48"/>
        <v>-0.27992769089073377</v>
      </c>
      <c r="AR34">
        <f t="shared" ca="1" si="48"/>
        <v>-0.35932775962162072</v>
      </c>
      <c r="AS34">
        <f t="shared" ca="1" si="48"/>
        <v>-0.33176092572192267</v>
      </c>
      <c r="AT34">
        <f t="shared" ca="1" si="48"/>
        <v>-0.2569789184098239</v>
      </c>
      <c r="AU34">
        <f t="shared" ca="1" si="48"/>
        <v>-0.22393760464074633</v>
      </c>
      <c r="AV34">
        <f t="shared" ca="1" si="48"/>
        <v>-0.25363508277019703</v>
      </c>
    </row>
    <row r="35" spans="1:48" ht="15.75">
      <c r="A35" s="17" t="s">
        <v>72</v>
      </c>
      <c r="B35" s="17"/>
      <c r="C35" s="18" t="s">
        <v>39</v>
      </c>
      <c r="D35" s="35" t="s">
        <v>75</v>
      </c>
      <c r="E35" t="str">
        <f t="shared" si="2"/>
        <v>'CO2 AFOLU'!</v>
      </c>
      <c r="F35">
        <f t="shared" ca="1" si="40"/>
        <v>101</v>
      </c>
      <c r="G35">
        <f t="shared" ca="1" si="40"/>
        <v>101</v>
      </c>
      <c r="H35">
        <f t="shared" ca="1" si="40"/>
        <v>101</v>
      </c>
      <c r="I35">
        <f t="shared" ca="1" si="40"/>
        <v>101</v>
      </c>
      <c r="J35">
        <f t="shared" ca="1" si="40"/>
        <v>101</v>
      </c>
      <c r="K35">
        <f t="shared" ca="1" si="40"/>
        <v>101</v>
      </c>
      <c r="L35">
        <f t="shared" ca="1" si="40"/>
        <v>101</v>
      </c>
      <c r="M35">
        <f t="shared" ca="1" si="40"/>
        <v>101</v>
      </c>
      <c r="N35">
        <f t="shared" ca="1" si="40"/>
        <v>101</v>
      </c>
      <c r="O35">
        <f t="shared" ca="1" si="40"/>
        <v>101</v>
      </c>
      <c r="P35">
        <f t="shared" ca="1" si="41"/>
        <v>8</v>
      </c>
      <c r="Q35">
        <f t="shared" ca="1" si="41"/>
        <v>10</v>
      </c>
      <c r="R35">
        <f t="shared" ca="1" si="41"/>
        <v>16</v>
      </c>
      <c r="S35">
        <f t="shared" ca="1" si="41"/>
        <v>18</v>
      </c>
      <c r="T35">
        <f t="shared" ca="1" si="41"/>
        <v>20</v>
      </c>
      <c r="U35">
        <f t="shared" ca="1" si="41"/>
        <v>22</v>
      </c>
      <c r="V35">
        <f t="shared" ca="1" si="41"/>
        <v>24</v>
      </c>
      <c r="W35">
        <f t="shared" ca="1" si="41"/>
        <v>26</v>
      </c>
      <c r="X35">
        <f t="shared" ca="1" si="41"/>
        <v>28</v>
      </c>
      <c r="Y35">
        <f t="shared" ca="1" si="41"/>
        <v>30</v>
      </c>
      <c r="Z35" s="17" cm="1">
        <f t="array" aca="1" ref="Z35" ca="1">INDEX(INDIRECT(CONCATENATE($E35,"$A$1:$AM$120")),F35,P35)</f>
        <v>3539.7220499999999</v>
      </c>
      <c r="AA35" s="17" cm="1">
        <f t="array" aca="1" ref="AA35" ca="1">INDEX(INDIRECT(CONCATENATE($E35,"$A$1:$AM$120")),G35,Q35)</f>
        <v>3010.49</v>
      </c>
      <c r="AB35" s="17" cm="1">
        <f t="array" aca="1" ref="AB35" ca="1">INDEX(INDIRECT(CONCATENATE($E35,"$A$1:$AM$120")),H35,R35)</f>
        <v>-366.09091007335928</v>
      </c>
      <c r="AC35" s="17" cm="1">
        <f t="array" aca="1" ref="AC35" ca="1">INDEX(INDIRECT(CONCATENATE($E35,"$A$1:$AM$120")),I35,S35)</f>
        <v>-2650.1662999999999</v>
      </c>
      <c r="AD35" s="17" cm="1">
        <f t="array" aca="1" ref="AD35" ca="1">INDEX(INDIRECT(CONCATENATE($E35,"$A$1:$AM$120")),J35,T35)</f>
        <v>-2919.9906006907299</v>
      </c>
      <c r="AE35" s="17" cm="1">
        <f t="array" aca="1" ref="AE35" ca="1">INDEX(INDIRECT(CONCATENATE($E35,"$A$1:$AM$120")),K35,U35)</f>
        <v>-3559.404405065935</v>
      </c>
      <c r="AF35" s="17" cm="1">
        <f t="array" aca="1" ref="AF35" ca="1">INDEX(INDIRECT(CONCATENATE($E35,"$A$1:$AM$120")),L35,V35)</f>
        <v>-4062.555388722606</v>
      </c>
      <c r="AG35" s="17" cm="1">
        <f t="array" aca="1" ref="AG35" ca="1">INDEX(INDIRECT(CONCATENATE($E35,"$A$1:$AM$120")),M35,W35)</f>
        <v>-4615.4577803819193</v>
      </c>
      <c r="AH35" s="17" cm="1">
        <f t="array" aca="1" ref="AH35" ca="1">INDEX(INDIRECT(CONCATENATE($E35,"$A$1:$AM$120")),N35,X35)</f>
        <v>-5047.1234678642577</v>
      </c>
      <c r="AI35" s="17" cm="1">
        <f t="array" aca="1" ref="AI35" ca="1">INDEX(INDIRECT(CONCATENATE($E35,"$A$1:$AM$120")),O35,Y35)</f>
        <v>-4676.3777867445897</v>
      </c>
      <c r="AJ35" s="3"/>
      <c r="AK35" s="194">
        <f t="shared" ca="1" si="5"/>
        <v>-100742.88179627457</v>
      </c>
      <c r="AL35" s="17">
        <f t="shared" ca="1" si="8"/>
        <v>-5930.4806006907293</v>
      </c>
      <c r="AM35">
        <f t="shared" ref="AM35:AV35" ca="1" si="49">Z35/Z$56</f>
        <v>0.515439203343942</v>
      </c>
      <c r="AN35">
        <f t="shared" ca="1" si="49"/>
        <v>0.39553161438659873</v>
      </c>
      <c r="AO35">
        <f t="shared" ca="1" si="49"/>
        <v>-4.431025819122987E-2</v>
      </c>
      <c r="AP35">
        <f t="shared" ca="1" si="49"/>
        <v>-0.30159668924516786</v>
      </c>
      <c r="AQ35">
        <f t="shared" ca="1" si="49"/>
        <v>-0.31845954522202591</v>
      </c>
      <c r="AR35">
        <f t="shared" ca="1" si="49"/>
        <v>-0.37927737754706431</v>
      </c>
      <c r="AS35">
        <f t="shared" ca="1" si="49"/>
        <v>-0.42958728340875707</v>
      </c>
      <c r="AT35">
        <f t="shared" ca="1" si="49"/>
        <v>-0.49101293745359448</v>
      </c>
      <c r="AU35">
        <f t="shared" ca="1" si="49"/>
        <v>-0.54625332826643624</v>
      </c>
      <c r="AV35">
        <f t="shared" ca="1" si="49"/>
        <v>-0.5188934511021922</v>
      </c>
    </row>
    <row r="36" spans="1:48" ht="15.75">
      <c r="A36" s="17" t="s">
        <v>73</v>
      </c>
      <c r="B36" s="17"/>
      <c r="C36" s="18" t="s">
        <v>39</v>
      </c>
      <c r="D36" s="35" t="s">
        <v>75</v>
      </c>
      <c r="E36" t="str">
        <f t="shared" si="2"/>
        <v>'CO2 AFOLU'!</v>
      </c>
      <c r="F36">
        <f t="shared" ca="1" si="40"/>
        <v>102</v>
      </c>
      <c r="G36">
        <f t="shared" ca="1" si="40"/>
        <v>102</v>
      </c>
      <c r="H36">
        <f t="shared" ca="1" si="40"/>
        <v>102</v>
      </c>
      <c r="I36">
        <f t="shared" ca="1" si="40"/>
        <v>102</v>
      </c>
      <c r="J36">
        <f t="shared" ca="1" si="40"/>
        <v>102</v>
      </c>
      <c r="K36">
        <f t="shared" ca="1" si="40"/>
        <v>102</v>
      </c>
      <c r="L36">
        <f t="shared" ca="1" si="40"/>
        <v>102</v>
      </c>
      <c r="M36">
        <f t="shared" ca="1" si="40"/>
        <v>102</v>
      </c>
      <c r="N36">
        <f t="shared" ca="1" si="40"/>
        <v>102</v>
      </c>
      <c r="O36">
        <f t="shared" ca="1" si="40"/>
        <v>102</v>
      </c>
      <c r="P36">
        <f t="shared" ca="1" si="41"/>
        <v>8</v>
      </c>
      <c r="Q36">
        <f t="shared" ca="1" si="41"/>
        <v>10</v>
      </c>
      <c r="R36">
        <f t="shared" ca="1" si="41"/>
        <v>16</v>
      </c>
      <c r="S36">
        <f t="shared" ca="1" si="41"/>
        <v>18</v>
      </c>
      <c r="T36">
        <f t="shared" ca="1" si="41"/>
        <v>20</v>
      </c>
      <c r="U36">
        <f t="shared" ca="1" si="41"/>
        <v>22</v>
      </c>
      <c r="V36">
        <f t="shared" ca="1" si="41"/>
        <v>24</v>
      </c>
      <c r="W36">
        <f t="shared" ca="1" si="41"/>
        <v>26</v>
      </c>
      <c r="X36">
        <f t="shared" ca="1" si="41"/>
        <v>28</v>
      </c>
      <c r="Y36">
        <f t="shared" ca="1" si="41"/>
        <v>30</v>
      </c>
      <c r="Z36" s="17" cm="1">
        <f t="array" aca="1" ref="Z36" ca="1">INDEX(INDIRECT(CONCATENATE($E36,"$A$1:$AM$120")),F36,P36)</f>
        <v>5914.7318862501279</v>
      </c>
      <c r="AA36" s="17" cm="1">
        <f t="array" aca="1" ref="AA36" ca="1">INDEX(INDIRECT(CONCATENATE($E36,"$A$1:$AM$120")),G36,Q36)</f>
        <v>5470.4657333333344</v>
      </c>
      <c r="AB36" s="17" cm="1">
        <f t="array" aca="1" ref="AB36" ca="1">INDEX(INDIRECT(CONCATENATE($E36,"$A$1:$AM$120")),H36,R36)</f>
        <v>315.17380000000003</v>
      </c>
      <c r="AC36" s="17" cm="1">
        <f t="array" aca="1" ref="AC36" ca="1">INDEX(INDIRECT(CONCATENATE($E36,"$A$1:$AM$120")),I36,S36)</f>
        <v>-165.9521</v>
      </c>
      <c r="AD36" s="17" cm="1">
        <f t="array" aca="1" ref="AD36" ca="1">INDEX(INDIRECT(CONCATENATE($E36,"$A$1:$AM$120")),J36,T36)</f>
        <v>-72.856700000000004</v>
      </c>
      <c r="AE36" s="17" cm="1">
        <f t="array" aca="1" ref="AE36" ca="1">INDEX(INDIRECT(CONCATENATE($E36,"$A$1:$AM$120")),K36,U36)</f>
        <v>-313.35250000000002</v>
      </c>
      <c r="AF36" s="17" cm="1">
        <f t="array" aca="1" ref="AF36" ca="1">INDEX(INDIRECT(CONCATENATE($E36,"$A$1:$AM$120")),L36,V36)</f>
        <v>-603.06830000000002</v>
      </c>
      <c r="AG36" s="17" cm="1">
        <f t="array" aca="1" ref="AG36" ca="1">INDEX(INDIRECT(CONCATENATE($E36,"$A$1:$AM$120")),M36,W36)</f>
        <v>-792.03520000000003</v>
      </c>
      <c r="AH36" s="17" cm="1">
        <f t="array" aca="1" ref="AH36" ca="1">INDEX(INDIRECT(CONCATENATE($E36,"$A$1:$AM$120")),N36,X36)</f>
        <v>-865.59179670099195</v>
      </c>
      <c r="AI36" s="17" cm="1">
        <f t="array" aca="1" ref="AI36" ca="1">INDEX(INDIRECT(CONCATENATE($E36,"$A$1:$AM$120")),O36,Y36)</f>
        <v>-775.77034697700003</v>
      </c>
      <c r="AJ36" s="3"/>
      <c r="AK36" s="194">
        <f t="shared" ca="1" si="5"/>
        <v>24400.810883333339</v>
      </c>
      <c r="AL36" s="17">
        <f t="shared" ca="1" si="8"/>
        <v>-5543.3224333333346</v>
      </c>
      <c r="AM36">
        <f t="shared" ref="AM36:AV36" ca="1" si="50">Z36/Z$57</f>
        <v>0.85278663674383537</v>
      </c>
      <c r="AN36">
        <f t="shared" ca="1" si="50"/>
        <v>0.70911326937710772</v>
      </c>
      <c r="AO36">
        <f t="shared" ca="1" si="50"/>
        <v>3.778451455162813E-2</v>
      </c>
      <c r="AP36">
        <f t="shared" ca="1" si="50"/>
        <v>-1.8771615080048078E-2</v>
      </c>
      <c r="AQ36">
        <f t="shared" ca="1" si="50"/>
        <v>-7.9243514068900543E-3</v>
      </c>
      <c r="AR36">
        <f t="shared" ca="1" si="50"/>
        <v>-3.33261920381209E-2</v>
      </c>
      <c r="AS36">
        <f t="shared" ca="1" si="50"/>
        <v>-6.3712849486544737E-2</v>
      </c>
      <c r="AT36">
        <f t="shared" ca="1" si="50"/>
        <v>-8.4193358079198602E-2</v>
      </c>
      <c r="AU36">
        <f t="shared" ca="1" si="50"/>
        <v>-9.3537546499812496E-2</v>
      </c>
      <c r="AV36">
        <f t="shared" ca="1" si="50"/>
        <v>-8.588732000693057E-2</v>
      </c>
    </row>
    <row r="37" spans="1:48" ht="15.75">
      <c r="A37" s="19" t="s">
        <v>69</v>
      </c>
      <c r="B37" s="19" t="s">
        <v>70</v>
      </c>
      <c r="C37" s="20" t="s">
        <v>37</v>
      </c>
      <c r="D37" s="36" t="s">
        <v>75</v>
      </c>
      <c r="E37" t="str">
        <f t="shared" si="2"/>
        <v>'CO2 E+IP'!</v>
      </c>
      <c r="F37">
        <f t="shared" ca="1" si="40"/>
        <v>100</v>
      </c>
      <c r="G37">
        <f t="shared" ca="1" si="40"/>
        <v>100</v>
      </c>
      <c r="H37">
        <f t="shared" ca="1" si="40"/>
        <v>100</v>
      </c>
      <c r="I37">
        <f t="shared" ca="1" si="40"/>
        <v>100</v>
      </c>
      <c r="J37">
        <f t="shared" ca="1" si="40"/>
        <v>100</v>
      </c>
      <c r="K37">
        <f t="shared" ca="1" si="40"/>
        <v>100</v>
      </c>
      <c r="L37">
        <f t="shared" ca="1" si="40"/>
        <v>100</v>
      </c>
      <c r="M37">
        <f t="shared" ca="1" si="40"/>
        <v>100</v>
      </c>
      <c r="N37">
        <f t="shared" ca="1" si="40"/>
        <v>100</v>
      </c>
      <c r="O37">
        <f t="shared" ca="1" si="40"/>
        <v>100</v>
      </c>
      <c r="P37">
        <f t="shared" ref="P37:Y39" ca="1" si="51">MATCH(P$1,INDIRECT(CONCATENATE($E37,"A1:AM1")),0)</f>
        <v>8</v>
      </c>
      <c r="Q37">
        <f t="shared" ca="1" si="51"/>
        <v>10</v>
      </c>
      <c r="R37">
        <f t="shared" ca="1" si="51"/>
        <v>12</v>
      </c>
      <c r="S37">
        <f t="shared" ca="1" si="51"/>
        <v>14</v>
      </c>
      <c r="T37">
        <f t="shared" ca="1" si="51"/>
        <v>16</v>
      </c>
      <c r="U37">
        <f t="shared" ca="1" si="51"/>
        <v>18</v>
      </c>
      <c r="V37">
        <f t="shared" ca="1" si="51"/>
        <v>20</v>
      </c>
      <c r="W37">
        <f t="shared" ca="1" si="51"/>
        <v>22</v>
      </c>
      <c r="X37">
        <f t="shared" ca="1" si="51"/>
        <v>24</v>
      </c>
      <c r="Y37">
        <f t="shared" ca="1" si="51"/>
        <v>26</v>
      </c>
      <c r="Z37" s="19" cm="1">
        <f t="array" aca="1" ref="Z37" ca="1">INDEX(INDIRECT(CONCATENATE($E37,"$A$1:$AM$120")),F37,P37)</f>
        <v>32773.0075</v>
      </c>
      <c r="AA37" s="19" cm="1">
        <f t="array" aca="1" ref="AA37" ca="1">INDEX(INDIRECT(CONCATENATE($E37,"$A$1:$AM$120")),G37,Q37)</f>
        <v>36284.075472216791</v>
      </c>
      <c r="AB37" s="19" cm="1">
        <f t="array" aca="1" ref="AB37" ca="1">INDEX(INDIRECT(CONCATENATE($E37,"$A$1:$AM$120")),H37,R37)</f>
        <v>21512.7467</v>
      </c>
      <c r="AC37" s="19" cm="1">
        <f t="array" aca="1" ref="AC37" ca="1">INDEX(INDIRECT(CONCATENATE($E37,"$A$1:$AM$120")),I37,S37)</f>
        <v>10208.2994</v>
      </c>
      <c r="AD37" s="19" cm="1">
        <f t="array" aca="1" ref="AD37" ca="1">INDEX(INDIRECT(CONCATENATE($E37,"$A$1:$AM$120")),J37,T37)</f>
        <v>3590.8440000000001</v>
      </c>
      <c r="AE37" s="19" cm="1">
        <f t="array" aca="1" ref="AE37" ca="1">INDEX(INDIRECT(CONCATENATE($E37,"$A$1:$AM$120")),K37,U37)</f>
        <v>784.29796075355853</v>
      </c>
      <c r="AF37" s="19" cm="1">
        <f t="array" aca="1" ref="AF37" ca="1">INDEX(INDIRECT(CONCATENATE($E37,"$A$1:$AM$120")),L37,V37)</f>
        <v>-385.59601750702063</v>
      </c>
      <c r="AG37" s="19" cm="1">
        <f t="array" aca="1" ref="AG37" ca="1">INDEX(INDIRECT(CONCATENATE($E37,"$A$1:$AM$120")),M37,W37)</f>
        <v>-1537.1613500000001</v>
      </c>
      <c r="AH37" s="19" cm="1">
        <f t="array" aca="1" ref="AH37" ca="1">INDEX(INDIRECT(CONCATENATE($E37,"$A$1:$AM$120")),N37,X37)</f>
        <v>-2377.09645</v>
      </c>
      <c r="AI37" s="19" cm="1">
        <f t="array" aca="1" ref="AI37" ca="1">INDEX(INDIRECT(CONCATENATE($E37,"$A$1:$AM$120")),O37,Y37)</f>
        <v>-3623.0903294800246</v>
      </c>
      <c r="AJ37" s="3"/>
      <c r="AK37" s="194">
        <f t="shared" ca="1" si="5"/>
        <v>558403.51760843932</v>
      </c>
      <c r="AL37" s="19">
        <f t="shared" ca="1" si="8"/>
        <v>-32693.23147221679</v>
      </c>
      <c r="AM37">
        <f t="shared" ref="AM37:AV37" ca="1" si="52">Z37/Z$55</f>
        <v>4.7385974315928383</v>
      </c>
      <c r="AN37">
        <f t="shared" ca="1" si="52"/>
        <v>4.7409229767751739</v>
      </c>
      <c r="AO37">
        <f t="shared" ca="1" si="52"/>
        <v>2.5957833619343851</v>
      </c>
      <c r="AP37">
        <f t="shared" ca="1" si="52"/>
        <v>1.1587216387984203</v>
      </c>
      <c r="AQ37">
        <f t="shared" ca="1" si="52"/>
        <v>0.39088011280826418</v>
      </c>
      <c r="AR37">
        <f t="shared" ca="1" si="52"/>
        <v>8.3479264800850245E-2</v>
      </c>
      <c r="AS37">
        <f t="shared" ca="1" si="52"/>
        <v>-4.0769534767544177E-2</v>
      </c>
      <c r="AT37">
        <f t="shared" ca="1" si="52"/>
        <v>-0.16340160152903183</v>
      </c>
      <c r="AU37">
        <f t="shared" ca="1" si="52"/>
        <v>-0.25706690088761158</v>
      </c>
      <c r="AV37">
        <f t="shared" ca="1" si="52"/>
        <v>-0.40168733850434862</v>
      </c>
    </row>
    <row r="38" spans="1:48" ht="15.75">
      <c r="A38" s="19" t="s">
        <v>72</v>
      </c>
      <c r="B38" s="19" t="s">
        <v>84</v>
      </c>
      <c r="C38" s="20" t="s">
        <v>37</v>
      </c>
      <c r="D38" s="36" t="s">
        <v>75</v>
      </c>
      <c r="E38" t="str">
        <f t="shared" si="2"/>
        <v>'CO2 E+IP'!</v>
      </c>
      <c r="F38">
        <f t="shared" ca="1" si="40"/>
        <v>101</v>
      </c>
      <c r="G38">
        <f t="shared" ca="1" si="40"/>
        <v>101</v>
      </c>
      <c r="H38">
        <f t="shared" ca="1" si="40"/>
        <v>101</v>
      </c>
      <c r="I38">
        <f t="shared" ca="1" si="40"/>
        <v>101</v>
      </c>
      <c r="J38">
        <f t="shared" ca="1" si="40"/>
        <v>101</v>
      </c>
      <c r="K38">
        <f t="shared" ca="1" si="40"/>
        <v>101</v>
      </c>
      <c r="L38">
        <f t="shared" ca="1" si="40"/>
        <v>101</v>
      </c>
      <c r="M38">
        <f t="shared" ca="1" si="40"/>
        <v>101</v>
      </c>
      <c r="N38">
        <f t="shared" ca="1" si="40"/>
        <v>101</v>
      </c>
      <c r="O38">
        <f t="shared" ca="1" si="40"/>
        <v>101</v>
      </c>
      <c r="P38">
        <f t="shared" ca="1" si="51"/>
        <v>8</v>
      </c>
      <c r="Q38">
        <f t="shared" ca="1" si="51"/>
        <v>10</v>
      </c>
      <c r="R38">
        <f t="shared" ca="1" si="51"/>
        <v>12</v>
      </c>
      <c r="S38">
        <f t="shared" ca="1" si="51"/>
        <v>14</v>
      </c>
      <c r="T38">
        <f t="shared" ca="1" si="51"/>
        <v>16</v>
      </c>
      <c r="U38">
        <f t="shared" ca="1" si="51"/>
        <v>18</v>
      </c>
      <c r="V38">
        <f t="shared" ca="1" si="51"/>
        <v>20</v>
      </c>
      <c r="W38">
        <f t="shared" ca="1" si="51"/>
        <v>22</v>
      </c>
      <c r="X38">
        <f t="shared" ca="1" si="51"/>
        <v>24</v>
      </c>
      <c r="Y38">
        <f t="shared" ca="1" si="51"/>
        <v>26</v>
      </c>
      <c r="Z38" s="19" cm="1">
        <f t="array" aca="1" ref="Z38" ca="1">INDEX(INDIRECT(CONCATENATE($E38,"$A$1:$AM$120")),F38,P38)</f>
        <v>32570.747718811035</v>
      </c>
      <c r="AA38" s="19" cm="1">
        <f t="array" aca="1" ref="AA38" ca="1">INDEX(INDIRECT(CONCATENATE($E38,"$A$1:$AM$120")),G38,Q38)</f>
        <v>35177.357600000003</v>
      </c>
      <c r="AB38" s="19" cm="1">
        <f t="array" aca="1" ref="AB38" ca="1">INDEX(INDIRECT(CONCATENATE($E38,"$A$1:$AM$120")),H38,R38)</f>
        <v>18651.538563630373</v>
      </c>
      <c r="AC38" s="19" cm="1">
        <f t="array" aca="1" ref="AC38" ca="1">INDEX(INDIRECT(CONCATENATE($E38,"$A$1:$AM$120")),I38,S38)</f>
        <v>7747.9375434063004</v>
      </c>
      <c r="AD38" s="19" cm="1">
        <f t="array" aca="1" ref="AD38" ca="1">INDEX(INDIRECT(CONCATENATE($E38,"$A$1:$AM$120")),J38,T38)</f>
        <v>1240.5591361997604</v>
      </c>
      <c r="AE38" s="19" cm="1">
        <f t="array" aca="1" ref="AE38" ca="1">INDEX(INDIRECT(CONCATENATE($E38,"$A$1:$AM$120")),K38,U38)</f>
        <v>-2087.4474250000003</v>
      </c>
      <c r="AF38" s="19" cm="1">
        <f t="array" aca="1" ref="AF38" ca="1">INDEX(INDIRECT(CONCATENATE($E38,"$A$1:$AM$120")),L38,V38)</f>
        <v>-3718.2135125</v>
      </c>
      <c r="AG38" s="19" cm="1">
        <f t="array" aca="1" ref="AG38" ca="1">INDEX(INDIRECT(CONCATENATE($E38,"$A$1:$AM$120")),M38,W38)</f>
        <v>-5800.2052255308081</v>
      </c>
      <c r="AH38" s="19" cm="1">
        <f t="array" aca="1" ref="AH38" ca="1">INDEX(INDIRECT(CONCATENATE($E38,"$A$1:$AM$120")),N38,X38)</f>
        <v>-7116.7989634122723</v>
      </c>
      <c r="AI38" s="19" cm="1">
        <f t="array" aca="1" ref="AI38" ca="1">INDEX(INDIRECT(CONCATENATE($E38,"$A$1:$AM$120")),O38,Y38)</f>
        <v>-7428.2141775282425</v>
      </c>
      <c r="AJ38" s="3"/>
      <c r="AK38" s="194">
        <f t="shared" ca="1" si="5"/>
        <v>428551.17066361423</v>
      </c>
      <c r="AL38" s="19">
        <f t="shared" ca="1" si="8"/>
        <v>-33936.798463800245</v>
      </c>
      <c r="AM38">
        <f t="shared" ref="AM38:AV38" ca="1" si="53">Z38/Z$56</f>
        <v>4.742813141642146</v>
      </c>
      <c r="AN38">
        <f t="shared" ca="1" si="53"/>
        <v>4.6217582657250782</v>
      </c>
      <c r="AO38">
        <f t="shared" ca="1" si="53"/>
        <v>2.2575116362559591</v>
      </c>
      <c r="AP38">
        <f t="shared" ca="1" si="53"/>
        <v>0.88173799190250046</v>
      </c>
      <c r="AQ38">
        <f t="shared" ca="1" si="53"/>
        <v>0.13529766097252191</v>
      </c>
      <c r="AR38">
        <f t="shared" ca="1" si="53"/>
        <v>-0.22243091681140581</v>
      </c>
      <c r="AS38">
        <f t="shared" ca="1" si="53"/>
        <v>-0.3931754989489134</v>
      </c>
      <c r="AT38">
        <f t="shared" ca="1" si="53"/>
        <v>-0.61705164279195435</v>
      </c>
      <c r="AU38">
        <f t="shared" ca="1" si="53"/>
        <v>-0.77025560106064628</v>
      </c>
      <c r="AV38">
        <f t="shared" ca="1" si="53"/>
        <v>-0.82423873046131657</v>
      </c>
    </row>
    <row r="39" spans="1:48" ht="15.75">
      <c r="A39" s="19" t="s">
        <v>73</v>
      </c>
      <c r="B39" s="19"/>
      <c r="C39" s="20" t="s">
        <v>37</v>
      </c>
      <c r="D39" s="36" t="s">
        <v>75</v>
      </c>
      <c r="E39" t="str">
        <f t="shared" si="2"/>
        <v>'CO2 E+IP'!</v>
      </c>
      <c r="F39">
        <f t="shared" ca="1" si="40"/>
        <v>102</v>
      </c>
      <c r="G39">
        <f t="shared" ca="1" si="40"/>
        <v>102</v>
      </c>
      <c r="H39">
        <f t="shared" ca="1" si="40"/>
        <v>102</v>
      </c>
      <c r="I39">
        <f t="shared" ca="1" si="40"/>
        <v>102</v>
      </c>
      <c r="J39">
        <f t="shared" ca="1" si="40"/>
        <v>102</v>
      </c>
      <c r="K39">
        <f t="shared" ca="1" si="40"/>
        <v>102</v>
      </c>
      <c r="L39">
        <f t="shared" ca="1" si="40"/>
        <v>102</v>
      </c>
      <c r="M39">
        <f t="shared" ca="1" si="40"/>
        <v>102</v>
      </c>
      <c r="N39">
        <f t="shared" ca="1" si="40"/>
        <v>102</v>
      </c>
      <c r="O39">
        <f t="shared" ca="1" si="40"/>
        <v>102</v>
      </c>
      <c r="P39">
        <f t="shared" ca="1" si="51"/>
        <v>8</v>
      </c>
      <c r="Q39">
        <f t="shared" ca="1" si="51"/>
        <v>10</v>
      </c>
      <c r="R39">
        <f t="shared" ca="1" si="51"/>
        <v>12</v>
      </c>
      <c r="S39">
        <f t="shared" ca="1" si="51"/>
        <v>14</v>
      </c>
      <c r="T39">
        <f t="shared" ca="1" si="51"/>
        <v>16</v>
      </c>
      <c r="U39">
        <f t="shared" ca="1" si="51"/>
        <v>18</v>
      </c>
      <c r="V39">
        <f t="shared" ca="1" si="51"/>
        <v>20</v>
      </c>
      <c r="W39">
        <f t="shared" ca="1" si="51"/>
        <v>22</v>
      </c>
      <c r="X39">
        <f t="shared" ca="1" si="51"/>
        <v>24</v>
      </c>
      <c r="Y39">
        <f t="shared" ca="1" si="51"/>
        <v>26</v>
      </c>
      <c r="Z39" s="19" cm="1">
        <f t="array" aca="1" ref="Z39" ca="1">INDEX(INDIRECT(CONCATENATE($E39,"$A$1:$AM$120")),F39,P39)</f>
        <v>33161.588089942903</v>
      </c>
      <c r="AA39" s="19" cm="1">
        <f t="array" aca="1" ref="AA39" ca="1">INDEX(INDIRECT(CONCATENATE($E39,"$A$1:$AM$120")),G39,Q39)</f>
        <v>38034.971023567698</v>
      </c>
      <c r="AB39" s="19" cm="1">
        <f t="array" aca="1" ref="AB39" ca="1">INDEX(INDIRECT(CONCATENATE($E39,"$A$1:$AM$120")),H39,R39)</f>
        <v>23723.980899999999</v>
      </c>
      <c r="AC39" s="19" cm="1">
        <f t="array" aca="1" ref="AC39" ca="1">INDEX(INDIRECT(CONCATENATE($E39,"$A$1:$AM$120")),I39,S39)</f>
        <v>12369.915274999999</v>
      </c>
      <c r="AD39" s="19" cm="1">
        <f t="array" aca="1" ref="AD39" ca="1">INDEX(INDIRECT(CONCATENATE($E39,"$A$1:$AM$120")),J39,T39)</f>
        <v>5792.4838243196928</v>
      </c>
      <c r="AE39" s="19" cm="1">
        <f t="array" aca="1" ref="AE39" ca="1">INDEX(INDIRECT(CONCATENATE($E39,"$A$1:$AM$120")),K39,U39)</f>
        <v>3036.4875277343749</v>
      </c>
      <c r="AF39" s="19" cm="1">
        <f t="array" aca="1" ref="AF39" ca="1">INDEX(INDIRECT(CONCATENATE($E39,"$A$1:$AM$120")),L39,V39)</f>
        <v>1309.2712664406449</v>
      </c>
      <c r="AG39" s="19" cm="1">
        <f t="array" aca="1" ref="AG39" ca="1">INDEX(INDIRECT(CONCATENATE($E39,"$A$1:$AM$120")),M39,W39)</f>
        <v>821.74166751270297</v>
      </c>
      <c r="AH39" s="19" cm="1">
        <f t="array" aca="1" ref="AH39" ca="1">INDEX(INDIRECT(CONCATENATE($E39,"$A$1:$AM$120")),N39,X39)</f>
        <v>577.04930541515341</v>
      </c>
      <c r="AI39" s="19" cm="1">
        <f t="array" aca="1" ref="AI39" ca="1">INDEX(INDIRECT(CONCATENATE($E39,"$A$1:$AM$120")),O39,Y39)</f>
        <v>440.36233178558348</v>
      </c>
      <c r="AJ39" s="3"/>
      <c r="AK39" s="194">
        <f t="shared" ca="1" si="5"/>
        <v>665622.00786558655</v>
      </c>
      <c r="AL39" s="19">
        <f t="shared" ca="1" si="8"/>
        <v>-32242.487199248004</v>
      </c>
      <c r="AM39">
        <f t="shared" ref="AM39:AV39" ca="1" si="54">Z39/Z$57</f>
        <v>4.781241097681586</v>
      </c>
      <c r="AN39">
        <f t="shared" ca="1" si="54"/>
        <v>4.9303119639049946</v>
      </c>
      <c r="AO39">
        <f t="shared" ca="1" si="54"/>
        <v>2.8441421892892036</v>
      </c>
      <c r="AP39">
        <f t="shared" ca="1" si="54"/>
        <v>1.399218739112714</v>
      </c>
      <c r="AQ39">
        <f t="shared" ca="1" si="54"/>
        <v>0.63002685192488317</v>
      </c>
      <c r="AR39">
        <f t="shared" ca="1" si="54"/>
        <v>0.3229416279449972</v>
      </c>
      <c r="AS39">
        <f t="shared" ca="1" si="54"/>
        <v>0.13832165135489732</v>
      </c>
      <c r="AT39">
        <f t="shared" ca="1" si="54"/>
        <v>8.7351156187874923E-2</v>
      </c>
      <c r="AU39">
        <f t="shared" ca="1" si="54"/>
        <v>6.2357079218715944E-2</v>
      </c>
      <c r="AV39">
        <f t="shared" ca="1" si="54"/>
        <v>4.8753526938028056E-2</v>
      </c>
    </row>
    <row r="40" spans="1:48" ht="15.75">
      <c r="A40" s="21" t="s">
        <v>69</v>
      </c>
      <c r="B40" s="21" t="s">
        <v>85</v>
      </c>
      <c r="C40" s="22" t="s">
        <v>86</v>
      </c>
      <c r="D40" s="37" t="s">
        <v>81</v>
      </c>
      <c r="E40" t="str">
        <f t="shared" si="2"/>
        <v>'CO2+N2O'!</v>
      </c>
      <c r="Z40" s="21">
        <f ca="1">Z10+Z28*GWP_N2O/1000</f>
        <v>39977.087156499998</v>
      </c>
      <c r="AA40" s="21">
        <f t="shared" ref="AA40:AI40" ca="1" si="55">AA10+AA28*GWP_N2O/1000</f>
        <v>42811.785005910409</v>
      </c>
      <c r="AB40" s="21">
        <f t="shared" ca="1" si="55"/>
        <v>23945.053247702461</v>
      </c>
      <c r="AC40" s="21">
        <f t="shared" ca="1" si="55"/>
        <v>11519.928678784448</v>
      </c>
      <c r="AD40" s="21">
        <f t="shared" ca="1" si="55"/>
        <v>3447.2604797395215</v>
      </c>
      <c r="AE40" s="21">
        <f t="shared" ca="1" si="55"/>
        <v>778.88700000000017</v>
      </c>
      <c r="AF40" s="21">
        <f t="shared" ca="1" si="55"/>
        <v>-621.67151507973881</v>
      </c>
      <c r="AG40" s="21">
        <f t="shared" ca="1" si="55"/>
        <v>-2765.0203954215744</v>
      </c>
      <c r="AH40" s="21">
        <f t="shared" ca="1" si="55"/>
        <v>-3952.0545117936508</v>
      </c>
      <c r="AI40" s="21">
        <f t="shared" ca="1" si="55"/>
        <v>-4966.1898308577929</v>
      </c>
      <c r="AJ40" s="3"/>
      <c r="AK40" s="194">
        <f t="shared" ca="1" si="5"/>
        <v>628956.91826183302</v>
      </c>
      <c r="AL40" s="21">
        <f t="shared" ca="1" si="8"/>
        <v>-39364.524526170891</v>
      </c>
    </row>
    <row r="41" spans="1:48" ht="15.75">
      <c r="A41" s="21" t="s">
        <v>72</v>
      </c>
      <c r="B41" s="21"/>
      <c r="C41" s="22" t="s">
        <v>86</v>
      </c>
      <c r="D41" s="37" t="s">
        <v>81</v>
      </c>
      <c r="E41" t="str">
        <f t="shared" si="2"/>
        <v>'CO2+N2O'!</v>
      </c>
      <c r="Z41" s="21">
        <f t="shared" ref="Z41:AI41" ca="1" si="56">Z11+Z29*GWP_N2O/1000</f>
        <v>38482.295932206776</v>
      </c>
      <c r="AA41" s="21">
        <f t="shared" ca="1" si="56"/>
        <v>41828.893208099747</v>
      </c>
      <c r="AB41" s="21">
        <f t="shared" ca="1" si="56"/>
        <v>20045.216784615001</v>
      </c>
      <c r="AC41" s="21">
        <f t="shared" ca="1" si="56"/>
        <v>9088.8021055718564</v>
      </c>
      <c r="AD41" s="21">
        <f t="shared" ca="1" si="56"/>
        <v>1399.2696320091577</v>
      </c>
      <c r="AE41" s="21">
        <f t="shared" ca="1" si="56"/>
        <v>-3894.6466971996674</v>
      </c>
      <c r="AF41" s="21">
        <f t="shared" ca="1" si="56"/>
        <v>-5266.7278906318388</v>
      </c>
      <c r="AG41" s="21">
        <f t="shared" ca="1" si="56"/>
        <v>-6276.3036640923328</v>
      </c>
      <c r="AH41" s="21">
        <f t="shared" ca="1" si="56"/>
        <v>-8791.6965214002284</v>
      </c>
      <c r="AI41" s="21">
        <f t="shared" ca="1" si="56"/>
        <v>-9736.8816270379102</v>
      </c>
      <c r="AJ41" s="3"/>
      <c r="AK41" s="194">
        <f t="shared" ca="1" si="5"/>
        <v>467478.32749603695</v>
      </c>
      <c r="AL41" s="21">
        <f t="shared" ca="1" si="8"/>
        <v>-40429.623576090591</v>
      </c>
    </row>
    <row r="42" spans="1:48" ht="15.75">
      <c r="A42" s="21" t="s">
        <v>73</v>
      </c>
      <c r="B42" s="21"/>
      <c r="C42" s="22" t="s">
        <v>86</v>
      </c>
      <c r="D42" s="37" t="s">
        <v>81</v>
      </c>
      <c r="E42" t="str">
        <f t="shared" si="2"/>
        <v>'CO2+N2O'!</v>
      </c>
      <c r="Z42" s="21">
        <f t="shared" ref="Z42:AI42" ca="1" si="57">Z12+Z30*GWP_N2O/1000</f>
        <v>41622.191472749997</v>
      </c>
      <c r="AA42" s="21">
        <f t="shared" ca="1" si="57"/>
        <v>45390.662485499997</v>
      </c>
      <c r="AB42" s="21">
        <f t="shared" ca="1" si="57"/>
        <v>26676.4145025</v>
      </c>
      <c r="AC42" s="21">
        <f t="shared" ca="1" si="57"/>
        <v>14000.162504070951</v>
      </c>
      <c r="AD42" s="21">
        <f t="shared" ca="1" si="57"/>
        <v>6602.7846442892696</v>
      </c>
      <c r="AE42" s="21">
        <f t="shared" ca="1" si="57"/>
        <v>3099.4650139999999</v>
      </c>
      <c r="AF42" s="21">
        <f t="shared" ca="1" si="57"/>
        <v>3053.8043499999999</v>
      </c>
      <c r="AG42" s="21">
        <f t="shared" ca="1" si="57"/>
        <v>2943.922591</v>
      </c>
      <c r="AH42" s="21">
        <f t="shared" ca="1" si="57"/>
        <v>2835.0036440000003</v>
      </c>
      <c r="AI42" s="21">
        <f t="shared" ca="1" si="57"/>
        <v>2763.0655864904788</v>
      </c>
      <c r="AJ42" s="3"/>
      <c r="AK42" s="194">
        <f t="shared" ca="1" si="5"/>
        <v>770232.83424385218</v>
      </c>
      <c r="AL42" s="21">
        <f t="shared" ca="1" si="8"/>
        <v>-38787.877841210728</v>
      </c>
    </row>
    <row r="43" spans="1:48" ht="15.75">
      <c r="A43" s="7" t="s">
        <v>69</v>
      </c>
      <c r="B43" s="7" t="s">
        <v>70</v>
      </c>
      <c r="C43" s="8" t="s">
        <v>47</v>
      </c>
      <c r="D43" s="7" t="s">
        <v>71</v>
      </c>
      <c r="E43" s="7" t="str">
        <f t="shared" si="2"/>
        <v>'CH4 WASTE'!</v>
      </c>
      <c r="F43">
        <f t="shared" ref="F43:O45" ca="1" si="58">_xlfn.XMATCH($A43,INDIRECT(CONCATENATE($E43,"$C$1:$C$120")),0,-1)</f>
        <v>100</v>
      </c>
      <c r="G43">
        <f t="shared" ca="1" si="58"/>
        <v>100</v>
      </c>
      <c r="H43">
        <f t="shared" ca="1" si="58"/>
        <v>100</v>
      </c>
      <c r="I43">
        <f t="shared" ca="1" si="58"/>
        <v>100</v>
      </c>
      <c r="J43">
        <f t="shared" ca="1" si="58"/>
        <v>100</v>
      </c>
      <c r="K43">
        <f t="shared" ca="1" si="58"/>
        <v>100</v>
      </c>
      <c r="L43">
        <f t="shared" ca="1" si="58"/>
        <v>100</v>
      </c>
      <c r="M43">
        <f t="shared" ca="1" si="58"/>
        <v>100</v>
      </c>
      <c r="N43">
        <f t="shared" ca="1" si="58"/>
        <v>100</v>
      </c>
      <c r="O43">
        <f t="shared" ca="1" si="58"/>
        <v>100</v>
      </c>
      <c r="P43">
        <f t="shared" ref="P43:Y45" ca="1" si="59">MATCH(P$1,INDIRECT(CONCATENATE($E43,"A1:AM1")),0)</f>
        <v>7</v>
      </c>
      <c r="Q43">
        <f t="shared" ca="1" si="59"/>
        <v>9</v>
      </c>
      <c r="R43">
        <f t="shared" ca="1" si="59"/>
        <v>11</v>
      </c>
      <c r="S43">
        <f t="shared" ca="1" si="59"/>
        <v>13</v>
      </c>
      <c r="T43">
        <f t="shared" ca="1" si="59"/>
        <v>15</v>
      </c>
      <c r="U43">
        <f t="shared" ca="1" si="59"/>
        <v>17</v>
      </c>
      <c r="V43">
        <f t="shared" ca="1" si="59"/>
        <v>19</v>
      </c>
      <c r="W43">
        <f t="shared" ca="1" si="59"/>
        <v>21</v>
      </c>
      <c r="X43">
        <f t="shared" ca="1" si="59"/>
        <v>23</v>
      </c>
      <c r="Y43">
        <f t="shared" ca="1" si="59"/>
        <v>25</v>
      </c>
      <c r="Z43" s="7" cm="1">
        <f t="array" aca="1" ref="Z43" ca="1">INDEX(INDIRECT(CONCATENATE($E43,"$A$1:$AM$120")),F43,P43)</f>
        <v>59.141199999999998</v>
      </c>
      <c r="AA43" s="7" cm="1">
        <f t="array" aca="1" ref="AA43" ca="1">INDEX(INDIRECT(CONCATENATE($E43,"$A$1:$AM$120")),G43,Q43)</f>
        <v>59.4998</v>
      </c>
      <c r="AB43" s="7" cm="1">
        <f t="array" aca="1" ref="AB43" ca="1">INDEX(INDIRECT(CONCATENATE($E43,"$A$1:$AM$120")),H43,R43)</f>
        <v>36.403850000000006</v>
      </c>
      <c r="AC43" s="7" cm="1">
        <f t="array" aca="1" ref="AC43" ca="1">INDEX(INDIRECT(CONCATENATE($E43,"$A$1:$AM$120")),I43,S43)</f>
        <v>24.0275</v>
      </c>
      <c r="AD43" s="7" cm="1">
        <f t="array" aca="1" ref="AD43" ca="1">INDEX(INDIRECT(CONCATENATE($E43,"$A$1:$AM$120")),J43,T43)</f>
        <v>18.8032</v>
      </c>
      <c r="AE43" s="7" cm="1">
        <f t="array" aca="1" ref="AE43" ca="1">INDEX(INDIRECT(CONCATENATE($E43,"$A$1:$AM$120")),K43,U43)</f>
        <v>18.778500000000001</v>
      </c>
      <c r="AF43" s="7" cm="1">
        <f t="array" aca="1" ref="AF43" ca="1">INDEX(INDIRECT(CONCATENATE($E43,"$A$1:$AM$120")),L43,V43)</f>
        <v>18.577100000000002</v>
      </c>
      <c r="AG43" s="7" cm="1">
        <f t="array" aca="1" ref="AG43" ca="1">INDEX(INDIRECT(CONCATENATE($E43,"$A$1:$AM$120")),M43,W43)</f>
        <v>18.0335</v>
      </c>
      <c r="AH43" s="7" cm="1">
        <f t="array" aca="1" ref="AH43" ca="1">INDEX(INDIRECT(CONCATENATE($E43,"$A$1:$AM$120")),N43,X43)</f>
        <v>17.2072</v>
      </c>
      <c r="AI43" s="7" cm="1">
        <f t="array" aca="1" ref="AI43" ca="1">INDEX(INDIRECT(CONCATENATE($E43,"$A$1:$AM$120")),O43,Y43)</f>
        <v>14.639799999999999</v>
      </c>
      <c r="AJ43" s="3"/>
      <c r="AK43" s="194">
        <f t="shared" ca="1" si="5"/>
        <v>1409.5534500000003</v>
      </c>
      <c r="AL43" s="7">
        <f t="shared" ca="1" si="8"/>
        <v>-40.696600000000004</v>
      </c>
    </row>
    <row r="44" spans="1:48" ht="15.75">
      <c r="A44" s="7" t="s">
        <v>72</v>
      </c>
      <c r="B44" s="7"/>
      <c r="C44" s="8" t="s">
        <v>47</v>
      </c>
      <c r="D44" s="7" t="s">
        <v>71</v>
      </c>
      <c r="E44" s="7" t="str">
        <f t="shared" ref="E44:E45" si="60">CONCATENATE("'",C44,"'!")</f>
        <v>'CH4 WASTE'!</v>
      </c>
      <c r="F44">
        <f t="shared" ca="1" si="58"/>
        <v>101</v>
      </c>
      <c r="G44">
        <f t="shared" ca="1" si="58"/>
        <v>101</v>
      </c>
      <c r="H44">
        <f t="shared" ca="1" si="58"/>
        <v>101</v>
      </c>
      <c r="I44">
        <f t="shared" ca="1" si="58"/>
        <v>101</v>
      </c>
      <c r="J44">
        <f t="shared" ca="1" si="58"/>
        <v>101</v>
      </c>
      <c r="K44">
        <f t="shared" ca="1" si="58"/>
        <v>101</v>
      </c>
      <c r="L44">
        <f t="shared" ca="1" si="58"/>
        <v>101</v>
      </c>
      <c r="M44">
        <f t="shared" ca="1" si="58"/>
        <v>101</v>
      </c>
      <c r="N44">
        <f t="shared" ca="1" si="58"/>
        <v>101</v>
      </c>
      <c r="O44">
        <f t="shared" ca="1" si="58"/>
        <v>101</v>
      </c>
      <c r="P44">
        <f t="shared" ca="1" si="59"/>
        <v>7</v>
      </c>
      <c r="Q44">
        <f t="shared" ca="1" si="59"/>
        <v>9</v>
      </c>
      <c r="R44">
        <f t="shared" ca="1" si="59"/>
        <v>11</v>
      </c>
      <c r="S44">
        <f t="shared" ca="1" si="59"/>
        <v>13</v>
      </c>
      <c r="T44">
        <f t="shared" ca="1" si="59"/>
        <v>15</v>
      </c>
      <c r="U44">
        <f t="shared" ca="1" si="59"/>
        <v>17</v>
      </c>
      <c r="V44">
        <f t="shared" ca="1" si="59"/>
        <v>19</v>
      </c>
      <c r="W44">
        <f t="shared" ca="1" si="59"/>
        <v>21</v>
      </c>
      <c r="X44">
        <f t="shared" ca="1" si="59"/>
        <v>23</v>
      </c>
      <c r="Y44">
        <f t="shared" ca="1" si="59"/>
        <v>25</v>
      </c>
      <c r="Z44" s="7" cm="1">
        <f t="array" aca="1" ref="Z44" ca="1">INDEX(INDIRECT(CONCATENATE($E44,"$A$1:$AM$120")),F44,P44)</f>
        <v>56.751667244720466</v>
      </c>
      <c r="AA44" s="7" cm="1">
        <f t="array" aca="1" ref="AA44" ca="1">INDEX(INDIRECT(CONCATENATE($E44,"$A$1:$AM$120")),G44,Q44)</f>
        <v>59.4024</v>
      </c>
      <c r="AB44" s="7" cm="1">
        <f t="array" aca="1" ref="AB44" ca="1">INDEX(INDIRECT(CONCATENATE($E44,"$A$1:$AM$120")),H44,R44)</f>
        <v>32.333550000000002</v>
      </c>
      <c r="AC44" s="7" cm="1">
        <f t="array" aca="1" ref="AC44" ca="1">INDEX(INDIRECT(CONCATENATE($E44,"$A$1:$AM$120")),I44,S44)</f>
        <v>23.843900000000001</v>
      </c>
      <c r="AD44" s="7" cm="1">
        <f t="array" aca="1" ref="AD44" ca="1">INDEX(INDIRECT(CONCATENATE($E44,"$A$1:$AM$120")),J44,T44)</f>
        <v>18.642099999999999</v>
      </c>
      <c r="AE44" s="7" cm="1">
        <f t="array" aca="1" ref="AE44" ca="1">INDEX(INDIRECT(CONCATENATE($E44,"$A$1:$AM$120")),K44,U44)</f>
        <v>18.750150000000001</v>
      </c>
      <c r="AF44" s="7" cm="1">
        <f t="array" aca="1" ref="AF44" ca="1">INDEX(INDIRECT(CONCATENATE($E44,"$A$1:$AM$120")),L44,V44)</f>
        <v>18.315575000000003</v>
      </c>
      <c r="AG44" s="7" cm="1">
        <f t="array" aca="1" ref="AG44" ca="1">INDEX(INDIRECT(CONCATENATE($E44,"$A$1:$AM$120")),M44,W44)</f>
        <v>17.485025</v>
      </c>
      <c r="AH44" s="7" cm="1">
        <f t="array" aca="1" ref="AH44" ca="1">INDEX(INDIRECT(CONCATENATE($E44,"$A$1:$AM$120")),N44,X44)</f>
        <v>16.069700000000001</v>
      </c>
      <c r="AI44" s="7" cm="1">
        <f t="array" aca="1" ref="AI44" ca="1">INDEX(INDIRECT(CONCATENATE($E44,"$A$1:$AM$120")),O44,Y44)</f>
        <v>13.692962347690912</v>
      </c>
      <c r="AJ44" s="3"/>
      <c r="AK44" s="194">
        <f t="shared" ca="1" si="5"/>
        <v>1363.1458624999998</v>
      </c>
      <c r="AL44" s="7">
        <f t="shared" ca="1" si="8"/>
        <v>-40.760300000000001</v>
      </c>
    </row>
    <row r="45" spans="1:48" ht="15.75">
      <c r="A45" s="7" t="s">
        <v>73</v>
      </c>
      <c r="B45" s="7"/>
      <c r="C45" s="8" t="s">
        <v>47</v>
      </c>
      <c r="D45" s="7" t="s">
        <v>71</v>
      </c>
      <c r="E45" s="7" t="str">
        <f t="shared" si="60"/>
        <v>'CH4 WASTE'!</v>
      </c>
      <c r="F45">
        <f t="shared" ca="1" si="58"/>
        <v>102</v>
      </c>
      <c r="G45">
        <f t="shared" ca="1" si="58"/>
        <v>102</v>
      </c>
      <c r="H45">
        <f t="shared" ca="1" si="58"/>
        <v>102</v>
      </c>
      <c r="I45">
        <f t="shared" ca="1" si="58"/>
        <v>102</v>
      </c>
      <c r="J45">
        <f t="shared" ca="1" si="58"/>
        <v>102</v>
      </c>
      <c r="K45">
        <f t="shared" ca="1" si="58"/>
        <v>102</v>
      </c>
      <c r="L45">
        <f t="shared" ca="1" si="58"/>
        <v>102</v>
      </c>
      <c r="M45">
        <f t="shared" ca="1" si="58"/>
        <v>102</v>
      </c>
      <c r="N45">
        <f t="shared" ca="1" si="58"/>
        <v>102</v>
      </c>
      <c r="O45">
        <f t="shared" ca="1" si="58"/>
        <v>102</v>
      </c>
      <c r="P45">
        <f t="shared" ca="1" si="59"/>
        <v>7</v>
      </c>
      <c r="Q45">
        <f t="shared" ca="1" si="59"/>
        <v>9</v>
      </c>
      <c r="R45">
        <f t="shared" ca="1" si="59"/>
        <v>11</v>
      </c>
      <c r="S45">
        <f t="shared" ca="1" si="59"/>
        <v>13</v>
      </c>
      <c r="T45">
        <f t="shared" ca="1" si="59"/>
        <v>15</v>
      </c>
      <c r="U45">
        <f t="shared" ca="1" si="59"/>
        <v>17</v>
      </c>
      <c r="V45">
        <f t="shared" ca="1" si="59"/>
        <v>19</v>
      </c>
      <c r="W45">
        <f t="shared" ca="1" si="59"/>
        <v>21</v>
      </c>
      <c r="X45">
        <f t="shared" ca="1" si="59"/>
        <v>23</v>
      </c>
      <c r="Y45">
        <f t="shared" ca="1" si="59"/>
        <v>25</v>
      </c>
      <c r="Z45" s="7" cm="1">
        <f t="array" aca="1" ref="Z45" ca="1">INDEX(INDIRECT(CONCATENATE($E45,"$A$1:$AM$120")),F45,P45)</f>
        <v>59.141199999999998</v>
      </c>
      <c r="AA45" s="7" cm="1">
        <f t="array" aca="1" ref="AA45" ca="1">INDEX(INDIRECT(CONCATENATE($E45,"$A$1:$AM$120")),G45,Q45)</f>
        <v>61.476007461547852</v>
      </c>
      <c r="AB45" s="7" cm="1">
        <f t="array" aca="1" ref="AB45" ca="1">INDEX(INDIRECT(CONCATENATE($E45,"$A$1:$AM$120")),H45,R45)</f>
        <v>51.812995910644531</v>
      </c>
      <c r="AC45" s="7" cm="1">
        <f t="array" aca="1" ref="AC45" ca="1">INDEX(INDIRECT(CONCATENATE($E45,"$A$1:$AM$120")),I45,S45)</f>
        <v>35.988375663757317</v>
      </c>
      <c r="AD45" s="7" cm="1">
        <f t="array" aca="1" ref="AD45" ca="1">INDEX(INDIRECT(CONCATENATE($E45,"$A$1:$AM$120")),J45,T45)</f>
        <v>30.752436637878422</v>
      </c>
      <c r="AE45" s="7" cm="1">
        <f t="array" aca="1" ref="AE45" ca="1">INDEX(INDIRECT(CONCATENATE($E45,"$A$1:$AM$120")),K45,U45)</f>
        <v>27.487702197975043</v>
      </c>
      <c r="AF45" s="7" cm="1">
        <f t="array" aca="1" ref="AF45" ca="1">INDEX(INDIRECT(CONCATENATE($E45,"$A$1:$AM$120")),L45,V45)</f>
        <v>23.868912904357913</v>
      </c>
      <c r="AG45" s="7" cm="1">
        <f t="array" aca="1" ref="AG45" ca="1">INDEX(INDIRECT(CONCATENATE($E45,"$A$1:$AM$120")),M45,W45)</f>
        <v>20.495730400085449</v>
      </c>
      <c r="AH45" s="7" cm="1">
        <f t="array" aca="1" ref="AH45" ca="1">INDEX(INDIRECT(CONCATENATE($E45,"$A$1:$AM$120")),N45,X45)</f>
        <v>17.838146793174737</v>
      </c>
      <c r="AI45" s="7" cm="1">
        <f t="array" aca="1" ref="AI45" ca="1">INDEX(INDIRECT(CONCATENATE($E45,"$A$1:$AM$120")),O45,Y45)</f>
        <v>16.1722</v>
      </c>
      <c r="AJ45" s="3"/>
      <c r="AK45" s="194">
        <f t="shared" ca="1" si="5"/>
        <v>1929.8121661150349</v>
      </c>
      <c r="AL45" s="7">
        <f t="shared" ca="1" si="8"/>
        <v>-30.72357082366943</v>
      </c>
    </row>
    <row r="46" spans="1:48" ht="15.75">
      <c r="A46" s="23" t="s">
        <v>69</v>
      </c>
      <c r="B46" s="23" t="s">
        <v>87</v>
      </c>
      <c r="C46" s="24" t="s">
        <v>88</v>
      </c>
      <c r="D46" s="38" t="s">
        <v>71</v>
      </c>
      <c r="E46" t="str">
        <f t="shared" ref="E46:E55" si="61">CONCATENATE("'",C46,"'!")</f>
        <v>'biogenic CH4'!</v>
      </c>
      <c r="Z46">
        <f ca="1">Z43+Z7</f>
        <v>207.50303193616341</v>
      </c>
      <c r="AA46">
        <f t="shared" ref="AA46:AI46" ca="1" si="62">AA43+AA7</f>
        <v>221.92489999999998</v>
      </c>
      <c r="AB46">
        <f t="shared" ca="1" si="62"/>
        <v>179.53255000000001</v>
      </c>
      <c r="AC46">
        <f t="shared" ca="1" si="62"/>
        <v>162.57201844096181</v>
      </c>
      <c r="AD46">
        <f t="shared" ca="1" si="62"/>
        <v>146.5773285413504</v>
      </c>
      <c r="AE46">
        <f t="shared" ca="1" si="62"/>
        <v>149.63904340004922</v>
      </c>
      <c r="AF46">
        <f t="shared" ca="1" si="62"/>
        <v>149.7706955584049</v>
      </c>
      <c r="AG46">
        <f t="shared" ca="1" si="62"/>
        <v>150.26527498579031</v>
      </c>
      <c r="AH46">
        <f t="shared" ca="1" si="62"/>
        <v>143.5521</v>
      </c>
      <c r="AI46">
        <f t="shared" ca="1" si="62"/>
        <v>136.2765</v>
      </c>
      <c r="AJ46" s="3"/>
      <c r="AK46" s="194">
        <f t="shared" ca="1" si="5"/>
        <v>8427.5351793948412</v>
      </c>
      <c r="AL46">
        <f t="shared" ca="1" si="8"/>
        <v>-75.347571458649583</v>
      </c>
      <c r="AM46">
        <f t="shared" ref="AM46:AV48" ca="1" si="63">Z46*GWP_Methane/Z55</f>
        <v>0.84007100529458767</v>
      </c>
      <c r="AN46">
        <f t="shared" ca="1" si="63"/>
        <v>0.81191563040807091</v>
      </c>
      <c r="AO46">
        <f t="shared" ca="1" si="63"/>
        <v>0.60656006208813351</v>
      </c>
      <c r="AP46">
        <f t="shared" ca="1" si="63"/>
        <v>0.51668939467615849</v>
      </c>
      <c r="AQ46">
        <f t="shared" ca="1" si="63"/>
        <v>0.44675751885366144</v>
      </c>
      <c r="AR46">
        <f t="shared" ca="1" si="63"/>
        <v>0.44596470053679754</v>
      </c>
      <c r="AS46">
        <f t="shared" ca="1" si="63"/>
        <v>0.44339224595145532</v>
      </c>
      <c r="AT46">
        <f t="shared" ca="1" si="63"/>
        <v>0.4472532596741377</v>
      </c>
      <c r="AU46">
        <f t="shared" ca="1" si="63"/>
        <v>0.43467727906515452</v>
      </c>
      <c r="AV46">
        <f t="shared" ca="1" si="63"/>
        <v>0.42304638002752581</v>
      </c>
    </row>
    <row r="47" spans="1:48" ht="15.75">
      <c r="A47" s="23" t="s">
        <v>72</v>
      </c>
      <c r="B47" s="23"/>
      <c r="C47" s="24" t="s">
        <v>88</v>
      </c>
      <c r="D47" s="38" t="s">
        <v>71</v>
      </c>
      <c r="E47" t="str">
        <f t="shared" si="61"/>
        <v>'biogenic CH4'!</v>
      </c>
      <c r="Z47">
        <f ca="1">Z44+Z8</f>
        <v>194.37167689471048</v>
      </c>
      <c r="AA47">
        <f t="shared" ref="AA47:AI47" ca="1" si="64">AA44+AA8</f>
        <v>214.9115223</v>
      </c>
      <c r="AB47">
        <f t="shared" ca="1" si="64"/>
        <v>152.86778158824438</v>
      </c>
      <c r="AC47">
        <f t="shared" ca="1" si="64"/>
        <v>123.58594540252686</v>
      </c>
      <c r="AD47">
        <f t="shared" ca="1" si="64"/>
        <v>112.0211186758624</v>
      </c>
      <c r="AE47">
        <f t="shared" ca="1" si="64"/>
        <v>107.79083956063931</v>
      </c>
      <c r="AF47">
        <f t="shared" ca="1" si="64"/>
        <v>101.03364959999999</v>
      </c>
      <c r="AG47">
        <f t="shared" ca="1" si="64"/>
        <v>94.961390300000005</v>
      </c>
      <c r="AH47">
        <f t="shared" ca="1" si="64"/>
        <v>91.686320429875593</v>
      </c>
      <c r="AI47">
        <f t="shared" ca="1" si="64"/>
        <v>84.894467587690912</v>
      </c>
      <c r="AJ47" s="3"/>
      <c r="AK47" s="194">
        <f t="shared" ca="1" si="5"/>
        <v>6700.3552977227291</v>
      </c>
      <c r="AL47">
        <f t="shared" ca="1" si="8"/>
        <v>-102.8904036241376</v>
      </c>
      <c r="AM47">
        <f t="shared" ca="1" si="63"/>
        <v>0.79250005071855822</v>
      </c>
      <c r="AN47">
        <f t="shared" ca="1" si="63"/>
        <v>0.79060898333388085</v>
      </c>
      <c r="AO47">
        <f t="shared" ca="1" si="63"/>
        <v>0.51807105606165627</v>
      </c>
      <c r="AP47">
        <f t="shared" ca="1" si="63"/>
        <v>0.3938043945309444</v>
      </c>
      <c r="AQ47">
        <f t="shared" ca="1" si="63"/>
        <v>0.34208241835076103</v>
      </c>
      <c r="AR47">
        <f t="shared" ca="1" si="63"/>
        <v>0.32160255604312343</v>
      </c>
      <c r="AS47">
        <f t="shared" ca="1" si="63"/>
        <v>0.2991411743407974</v>
      </c>
      <c r="AT47">
        <f t="shared" ca="1" si="63"/>
        <v>0.28286762778634172</v>
      </c>
      <c r="AU47">
        <f t="shared" ca="1" si="63"/>
        <v>0.27785149784545471</v>
      </c>
      <c r="AV47">
        <f t="shared" ca="1" si="63"/>
        <v>0.26375823077124083</v>
      </c>
    </row>
    <row r="48" spans="1:48" ht="15.75">
      <c r="A48" s="23" t="s">
        <v>73</v>
      </c>
      <c r="B48" s="23"/>
      <c r="C48" s="24" t="s">
        <v>88</v>
      </c>
      <c r="D48" s="38" t="s">
        <v>71</v>
      </c>
      <c r="E48" t="str">
        <f t="shared" si="61"/>
        <v>'biogenic CH4'!</v>
      </c>
      <c r="Z48">
        <f t="shared" ref="Z48:AI48" ca="1" si="65">Z45+Z9</f>
        <v>226.41868048305508</v>
      </c>
      <c r="AA48">
        <f t="shared" ca="1" si="65"/>
        <v>225.14240746154786</v>
      </c>
      <c r="AB48">
        <f t="shared" ca="1" si="65"/>
        <v>203.61753273954753</v>
      </c>
      <c r="AC48">
        <f t="shared" ca="1" si="65"/>
        <v>185.43627566375733</v>
      </c>
      <c r="AD48">
        <f t="shared" ca="1" si="65"/>
        <v>175.89593663787841</v>
      </c>
      <c r="AE48">
        <f t="shared" ca="1" si="65"/>
        <v>173.67960219797504</v>
      </c>
      <c r="AF48">
        <f t="shared" ca="1" si="65"/>
        <v>167.52661290435793</v>
      </c>
      <c r="AG48">
        <f t="shared" ca="1" si="65"/>
        <v>157.22523040008545</v>
      </c>
      <c r="AH48">
        <f t="shared" ca="1" si="65"/>
        <v>148.29542206459044</v>
      </c>
      <c r="AI48">
        <f t="shared" ca="1" si="65"/>
        <v>138.55779999999999</v>
      </c>
      <c r="AJ48" s="3"/>
      <c r="AK48" s="194">
        <f t="shared" ca="1" si="5"/>
        <v>9545.973084404066</v>
      </c>
      <c r="AL48">
        <f t="shared" ca="1" si="8"/>
        <v>-49.246470823669455</v>
      </c>
      <c r="AM48">
        <f t="shared" ca="1" si="63"/>
        <v>0.91406190587803982</v>
      </c>
      <c r="AN48">
        <f t="shared" ca="1" si="63"/>
        <v>0.81715914870193085</v>
      </c>
      <c r="AO48">
        <f t="shared" ca="1" si="63"/>
        <v>0.68349751662540914</v>
      </c>
      <c r="AP48">
        <f t="shared" ca="1" si="63"/>
        <v>0.58731570665183919</v>
      </c>
      <c r="AQ48">
        <f t="shared" ca="1" si="63"/>
        <v>0.53568325168382913</v>
      </c>
      <c r="AR48">
        <f t="shared" ca="1" si="63"/>
        <v>0.517201023533294</v>
      </c>
      <c r="AS48">
        <f t="shared" ca="1" si="63"/>
        <v>0.49556698709424452</v>
      </c>
      <c r="AT48">
        <f t="shared" ca="1" si="63"/>
        <v>0.46796526646852199</v>
      </c>
      <c r="AU48">
        <f t="shared" ca="1" si="63"/>
        <v>0.44870263294823287</v>
      </c>
      <c r="AV48">
        <f t="shared" ca="1" si="63"/>
        <v>0.42952147929347823</v>
      </c>
    </row>
    <row r="49" spans="1:48" ht="15.75">
      <c r="A49" s="11" t="s">
        <v>69</v>
      </c>
      <c r="B49" s="11" t="s">
        <v>85</v>
      </c>
      <c r="C49" s="12" t="s">
        <v>89</v>
      </c>
      <c r="D49" s="32" t="s">
        <v>81</v>
      </c>
      <c r="E49" t="str">
        <f t="shared" si="61"/>
        <v>'all gases other than biogenic CH4'!</v>
      </c>
      <c r="Z49">
        <f t="shared" ref="Z49:AI49" ca="1" si="66">Z25-Z46*GWP_Methane</f>
        <v>44910.592808287431</v>
      </c>
      <c r="AA49">
        <f ca="1">AA25-AA46*GWP_Methane</f>
        <v>48145.683145910407</v>
      </c>
      <c r="AB49">
        <f t="shared" ca="1" si="66"/>
        <v>26100.851539706244</v>
      </c>
      <c r="AC49">
        <f t="shared" ca="1" si="66"/>
        <v>12930.553634437514</v>
      </c>
      <c r="AD49">
        <f t="shared" ca="1" si="66"/>
        <v>4584.4197085817086</v>
      </c>
      <c r="AE49">
        <f t="shared" ca="1" si="66"/>
        <v>1429.0775093435996</v>
      </c>
      <c r="AF49">
        <f t="shared" ca="1" si="66"/>
        <v>-180.46111742454241</v>
      </c>
      <c r="AG49">
        <f t="shared" ca="1" si="66"/>
        <v>-2842.789962410925</v>
      </c>
      <c r="AH49">
        <f t="shared" ca="1" si="66"/>
        <v>-4014.3994527234513</v>
      </c>
      <c r="AI49">
        <f t="shared" ca="1" si="66"/>
        <v>-5007.4728856011043</v>
      </c>
      <c r="AJ49" s="3"/>
      <c r="AK49" s="194">
        <f t="shared" ca="1" si="5"/>
        <v>714257.74507736287</v>
      </c>
      <c r="AL49">
        <f t="shared" ca="1" si="8"/>
        <v>-43561.2634373287</v>
      </c>
      <c r="AM49">
        <f t="shared" ref="AM49:AV51" ca="1" si="67">Z49/Z55</f>
        <v>6.49355173560628</v>
      </c>
      <c r="AN49">
        <f t="shared" ca="1" si="67"/>
        <v>6.2907755671978425</v>
      </c>
      <c r="AO49">
        <f t="shared" ca="1" si="67"/>
        <v>3.1493958955547479</v>
      </c>
      <c r="AP49">
        <f t="shared" ca="1" si="67"/>
        <v>1.4677187365670628</v>
      </c>
      <c r="AQ49">
        <f t="shared" ca="1" si="67"/>
        <v>0.49903546153796929</v>
      </c>
      <c r="AR49">
        <f t="shared" ca="1" si="67"/>
        <v>0.15210844066050008</v>
      </c>
      <c r="AS49">
        <f t="shared" ca="1" si="67"/>
        <v>-1.9080372895437899E-2</v>
      </c>
      <c r="AT49">
        <f t="shared" ca="1" si="67"/>
        <v>-0.30219106970689924</v>
      </c>
      <c r="AU49">
        <f t="shared" ca="1" si="67"/>
        <v>-0.43413014488181223</v>
      </c>
      <c r="AV49">
        <f t="shared" ca="1" si="67"/>
        <v>-0.55517204185700608</v>
      </c>
    </row>
    <row r="50" spans="1:48" ht="15.75">
      <c r="A50" s="11" t="s">
        <v>72</v>
      </c>
      <c r="B50" s="11"/>
      <c r="C50" s="12" t="s">
        <v>89</v>
      </c>
      <c r="D50" s="32" t="s">
        <v>81</v>
      </c>
      <c r="E50" t="str">
        <f t="shared" si="61"/>
        <v>'all gases other than biogenic CH4'!</v>
      </c>
      <c r="Z50">
        <f t="shared" ref="Z50:AI50" ca="1" si="68">Z26-Z47*GWP_Methane</f>
        <v>43065.266619692076</v>
      </c>
      <c r="AA50">
        <f t="shared" ca="1" si="68"/>
        <v>46874.936035000828</v>
      </c>
      <c r="AB50">
        <f ca="1">AB26-AB47*GWP_Methane</f>
        <v>22371.508139447207</v>
      </c>
      <c r="AC50">
        <f t="shared" ca="1" si="68"/>
        <v>10859.16176652347</v>
      </c>
      <c r="AD50">
        <f t="shared" ca="1" si="68"/>
        <v>2535.9037310184558</v>
      </c>
      <c r="AE50">
        <f t="shared" ca="1" si="68"/>
        <v>-2871.7169348590996</v>
      </c>
      <c r="AF50">
        <f t="shared" ca="1" si="68"/>
        <v>-4102.611072341746</v>
      </c>
      <c r="AG50">
        <f t="shared" ca="1" si="68"/>
        <v>-5123.5266650138383</v>
      </c>
      <c r="AH50">
        <f t="shared" ca="1" si="68"/>
        <v>-7724.479826107714</v>
      </c>
      <c r="AI50">
        <f t="shared" ca="1" si="68"/>
        <v>-8761.7723560337326</v>
      </c>
      <c r="AJ50" s="3"/>
      <c r="AK50" s="194">
        <f t="shared" ca="1" si="5"/>
        <v>564196.35431592516</v>
      </c>
      <c r="AL50">
        <f t="shared" ca="1" si="8"/>
        <v>-44339.032303982371</v>
      </c>
      <c r="AM50">
        <f t="shared" ca="1" si="67"/>
        <v>6.2709801517462482</v>
      </c>
      <c r="AN50">
        <f t="shared" ca="1" si="67"/>
        <v>6.1586383360158745</v>
      </c>
      <c r="AO50">
        <f t="shared" ca="1" si="67"/>
        <v>2.7077626745429622</v>
      </c>
      <c r="AP50">
        <f t="shared" ca="1" si="67"/>
        <v>1.2358044235794514</v>
      </c>
      <c r="AQ50">
        <f t="shared" ca="1" si="67"/>
        <v>0.27657032482088834</v>
      </c>
      <c r="AR50">
        <f t="shared" ca="1" si="67"/>
        <v>-0.30599986519111955</v>
      </c>
      <c r="AS50">
        <f t="shared" ca="1" si="67"/>
        <v>-0.43382289638250104</v>
      </c>
      <c r="AT50">
        <f t="shared" ca="1" si="67"/>
        <v>-0.54506356630611252</v>
      </c>
      <c r="AU50">
        <f t="shared" ca="1" si="67"/>
        <v>-0.83602528073754767</v>
      </c>
      <c r="AV50">
        <f t="shared" ca="1" si="67"/>
        <v>-0.97221107937027373</v>
      </c>
    </row>
    <row r="51" spans="1:48" ht="15.75">
      <c r="A51" s="11" t="s">
        <v>73</v>
      </c>
      <c r="B51" s="11"/>
      <c r="C51" s="12" t="s">
        <v>89</v>
      </c>
      <c r="D51" s="32" t="s">
        <v>81</v>
      </c>
      <c r="E51" t="str">
        <f t="shared" si="61"/>
        <v>'all gases other than biogenic CH4'!</v>
      </c>
      <c r="Z51">
        <f t="shared" ref="Z51:AI51" ca="1" si="69">Z27-Z48*GWP_Methane</f>
        <v>46252.003165224458</v>
      </c>
      <c r="AA51">
        <f t="shared" ca="1" si="69"/>
        <v>51274.987744552905</v>
      </c>
      <c r="AB51">
        <f t="shared" ca="1" si="69"/>
        <v>29073.884775594379</v>
      </c>
      <c r="AC51">
        <f t="shared" ca="1" si="69"/>
        <v>15691.153376026181</v>
      </c>
      <c r="AD51">
        <f t="shared" ca="1" si="69"/>
        <v>7784.9481200246737</v>
      </c>
      <c r="AE51">
        <f t="shared" ca="1" si="69"/>
        <v>4039.858834899288</v>
      </c>
      <c r="AF51">
        <f t="shared" ca="1" si="69"/>
        <v>4004.9038160407199</v>
      </c>
      <c r="AG51">
        <f t="shared" ca="1" si="69"/>
        <v>3896.7821427135759</v>
      </c>
      <c r="AH51">
        <f t="shared" ca="1" si="69"/>
        <v>3960.6096643693772</v>
      </c>
      <c r="AI51">
        <f t="shared" ca="1" si="69"/>
        <v>4125.7266630175091</v>
      </c>
      <c r="AJ51" s="3"/>
      <c r="AK51" s="194">
        <f t="shared" ca="1" si="5"/>
        <v>869937.85464871011</v>
      </c>
      <c r="AL51">
        <f t="shared" ca="1" si="8"/>
        <v>-43490.039624528232</v>
      </c>
      <c r="AM51">
        <f t="shared" ca="1" si="67"/>
        <v>6.6686184565068194</v>
      </c>
      <c r="AN51">
        <f t="shared" ca="1" si="67"/>
        <v>6.6465591723313544</v>
      </c>
      <c r="AO51">
        <f t="shared" ca="1" si="67"/>
        <v>3.4855137780355006</v>
      </c>
      <c r="AP51">
        <f t="shared" ca="1" si="67"/>
        <v>1.7748994519307701</v>
      </c>
      <c r="AQ51">
        <f t="shared" ca="1" si="67"/>
        <v>0.84673975883458352</v>
      </c>
      <c r="AR51">
        <f t="shared" ca="1" si="67"/>
        <v>0.42965386055242266</v>
      </c>
      <c r="AS51">
        <f t="shared" ca="1" si="67"/>
        <v>0.42310934605498424</v>
      </c>
      <c r="AT51">
        <f t="shared" ca="1" si="67"/>
        <v>0.41422802206027065</v>
      </c>
      <c r="AU51">
        <f t="shared" ca="1" si="67"/>
        <v>0.42799124490378027</v>
      </c>
      <c r="AV51">
        <f t="shared" ca="1" si="67"/>
        <v>0.45676869133825798</v>
      </c>
    </row>
    <row r="52" spans="1:48" ht="15.75">
      <c r="A52" s="25" t="s">
        <v>69</v>
      </c>
      <c r="B52" s="25" t="s">
        <v>90</v>
      </c>
      <c r="C52" s="26" t="s">
        <v>91</v>
      </c>
      <c r="D52" s="39" t="s">
        <v>81</v>
      </c>
      <c r="E52" t="str">
        <f t="shared" si="61"/>
        <v>'Kyoto Gases (GWP* for methane)'!</v>
      </c>
    </row>
    <row r="53" spans="1:48" ht="15.75">
      <c r="A53" s="25" t="s">
        <v>72</v>
      </c>
      <c r="B53" s="25"/>
      <c r="C53" s="26" t="s">
        <v>91</v>
      </c>
      <c r="D53" s="39" t="s">
        <v>81</v>
      </c>
      <c r="E53" t="str">
        <f t="shared" si="61"/>
        <v>'Kyoto Gases (GWP* for methane)'!</v>
      </c>
    </row>
    <row r="54" spans="1:48" ht="15.75">
      <c r="A54" s="25" t="s">
        <v>73</v>
      </c>
      <c r="B54" s="25"/>
      <c r="C54" s="26" t="s">
        <v>91</v>
      </c>
      <c r="D54" s="39" t="s">
        <v>81</v>
      </c>
      <c r="E54" t="str">
        <f t="shared" si="61"/>
        <v>'Kyoto Gases (GWP* for methane)'!</v>
      </c>
    </row>
    <row r="55" spans="1:48" ht="15.75">
      <c r="A55" s="54" t="s">
        <v>69</v>
      </c>
      <c r="B55" s="54" t="s">
        <v>70</v>
      </c>
      <c r="C55" s="55" t="s">
        <v>15</v>
      </c>
      <c r="D55" s="56" t="s">
        <v>92</v>
      </c>
      <c r="E55" t="str">
        <f t="shared" si="61"/>
        <v>'Population World'!</v>
      </c>
      <c r="F55">
        <f t="shared" ref="F55:O57" ca="1" si="70">_xlfn.XMATCH($A55,INDIRECT(CONCATENATE($E55,"$C$1:$C$120")),0,-1)</f>
        <v>101</v>
      </c>
      <c r="G55">
        <f t="shared" ca="1" si="70"/>
        <v>101</v>
      </c>
      <c r="H55">
        <f t="shared" ca="1" si="70"/>
        <v>101</v>
      </c>
      <c r="I55">
        <f t="shared" ca="1" si="70"/>
        <v>101</v>
      </c>
      <c r="J55">
        <f t="shared" ca="1" si="70"/>
        <v>101</v>
      </c>
      <c r="K55">
        <f t="shared" ca="1" si="70"/>
        <v>101</v>
      </c>
      <c r="L55">
        <f t="shared" ca="1" si="70"/>
        <v>101</v>
      </c>
      <c r="M55">
        <f t="shared" ca="1" si="70"/>
        <v>101</v>
      </c>
      <c r="N55">
        <f t="shared" ca="1" si="70"/>
        <v>101</v>
      </c>
      <c r="O55">
        <f t="shared" ca="1" si="70"/>
        <v>101</v>
      </c>
      <c r="P55">
        <f t="shared" ref="P55" ca="1" si="71">MATCH(P$1,INDIRECT(CONCATENATE($E55,"A1:AM1")),0)</f>
        <v>8</v>
      </c>
      <c r="Q55">
        <f t="shared" ref="P55:Y57" ca="1" si="72">MATCH(Q$1,INDIRECT(CONCATENATE($E55,"A1:AM1")),0)</f>
        <v>10</v>
      </c>
      <c r="R55">
        <f t="shared" ca="1" si="72"/>
        <v>16</v>
      </c>
      <c r="S55">
        <f t="shared" ca="1" si="72"/>
        <v>18</v>
      </c>
      <c r="T55">
        <f t="shared" ca="1" si="72"/>
        <v>20</v>
      </c>
      <c r="U55">
        <f t="shared" ca="1" si="72"/>
        <v>22</v>
      </c>
      <c r="V55">
        <f t="shared" ca="1" si="72"/>
        <v>24</v>
      </c>
      <c r="W55">
        <f t="shared" ca="1" si="72"/>
        <v>26</v>
      </c>
      <c r="X55">
        <f t="shared" ca="1" si="72"/>
        <v>28</v>
      </c>
      <c r="Y55">
        <f t="shared" ca="1" si="72"/>
        <v>30</v>
      </c>
      <c r="Z55" s="19" cm="1">
        <f t="array" aca="1" ref="Z55" ca="1">INDEX(INDIRECT(CONCATENATE($E55,"$A$1:$AM$120")),F55,P55)</f>
        <v>6916.18310546875</v>
      </c>
      <c r="AA55" s="19" cm="1">
        <f t="array" aca="1" ref="AA55" ca="1">INDEX(INDIRECT(CONCATENATE($E55,"$A$1:$AM$120")),G55,Q55)</f>
        <v>7653.3779709067539</v>
      </c>
      <c r="AB55" s="19" cm="1">
        <f t="array" aca="1" ref="AB55" ca="1">INDEX(INDIRECT(CONCATENATE($E55,"$A$1:$AM$120")),H55,R55)</f>
        <v>8287.5740000000005</v>
      </c>
      <c r="AC55" s="19" cm="1">
        <f t="array" aca="1" ref="AC55" ca="1">INDEX(INDIRECT(CONCATENATE($E55,"$A$1:$AM$120")),I55,S55)</f>
        <v>8809.9669999999987</v>
      </c>
      <c r="AD55" s="19" cm="1">
        <f t="array" aca="1" ref="AD55" ca="1">INDEX(INDIRECT(CONCATENATE($E55,"$A$1:$AM$120")),J55,T55)</f>
        <v>9186.5609999999997</v>
      </c>
      <c r="AE55" s="19" cm="1">
        <f t="array" aca="1" ref="AE55" ca="1">INDEX(INDIRECT(CONCATENATE($E55,"$A$1:$AM$120")),K55,U55)</f>
        <v>9395.1229999999996</v>
      </c>
      <c r="AF55" s="19" cm="1">
        <f t="array" aca="1" ref="AF55" ca="1">INDEX(INDIRECT(CONCATENATE($E55,"$A$1:$AM$120")),L55,V55)</f>
        <v>9457.9449999999997</v>
      </c>
      <c r="AG55" s="19" cm="1">
        <f t="array" aca="1" ref="AG55" ca="1">INDEX(INDIRECT(CONCATENATE($E55,"$A$1:$AM$120")),M55,W55)</f>
        <v>9407.26</v>
      </c>
      <c r="AH55" s="19" cm="1">
        <f t="array" aca="1" ref="AH55" ca="1">INDEX(INDIRECT(CONCATENATE($E55,"$A$1:$AM$120")),N55,X55)</f>
        <v>9246.9953999999998</v>
      </c>
      <c r="AI55" s="19" cm="1">
        <f t="array" aca="1" ref="AI55" ca="1">INDEX(INDIRECT(CONCATENATE($E55,"$A$1:$AM$120")),O55,Y55)</f>
        <v>9019.6777000000002</v>
      </c>
    </row>
    <row r="56" spans="1:48" ht="15.75">
      <c r="A56" s="54" t="s">
        <v>72</v>
      </c>
      <c r="B56" s="54"/>
      <c r="C56" s="55" t="s">
        <v>15</v>
      </c>
      <c r="D56" s="56" t="s">
        <v>92</v>
      </c>
      <c r="E56" t="str">
        <f t="shared" ref="E56:E60" si="73">CONCATENATE("'",C56,"'!")</f>
        <v>'Population World'!</v>
      </c>
      <c r="F56">
        <f t="shared" ca="1" si="70"/>
        <v>102</v>
      </c>
      <c r="G56">
        <f t="shared" ca="1" si="70"/>
        <v>102</v>
      </c>
      <c r="H56">
        <f t="shared" ca="1" si="70"/>
        <v>102</v>
      </c>
      <c r="I56">
        <f t="shared" ca="1" si="70"/>
        <v>102</v>
      </c>
      <c r="J56">
        <f t="shared" ca="1" si="70"/>
        <v>102</v>
      </c>
      <c r="K56">
        <f t="shared" ca="1" si="70"/>
        <v>102</v>
      </c>
      <c r="L56">
        <f t="shared" ca="1" si="70"/>
        <v>102</v>
      </c>
      <c r="M56">
        <f t="shared" ca="1" si="70"/>
        <v>102</v>
      </c>
      <c r="N56">
        <f t="shared" ca="1" si="70"/>
        <v>102</v>
      </c>
      <c r="O56">
        <f t="shared" ca="1" si="70"/>
        <v>102</v>
      </c>
      <c r="P56">
        <f t="shared" ca="1" si="72"/>
        <v>8</v>
      </c>
      <c r="Q56">
        <f t="shared" ca="1" si="72"/>
        <v>10</v>
      </c>
      <c r="R56">
        <f t="shared" ca="1" si="72"/>
        <v>16</v>
      </c>
      <c r="S56">
        <f t="shared" ca="1" si="72"/>
        <v>18</v>
      </c>
      <c r="T56">
        <f t="shared" ca="1" si="72"/>
        <v>20</v>
      </c>
      <c r="U56">
        <f t="shared" ca="1" si="72"/>
        <v>22</v>
      </c>
      <c r="V56">
        <f t="shared" ca="1" si="72"/>
        <v>24</v>
      </c>
      <c r="W56">
        <f t="shared" ca="1" si="72"/>
        <v>26</v>
      </c>
      <c r="X56">
        <f t="shared" ca="1" si="72"/>
        <v>28</v>
      </c>
      <c r="Y56">
        <f t="shared" ca="1" si="72"/>
        <v>30</v>
      </c>
      <c r="Z56" s="19" cm="1">
        <f t="array" aca="1" ref="Z56" ca="1">INDEX(INDIRECT(CONCATENATE($E56,"$A$1:$AM$120")),F56,P56)</f>
        <v>6867.3900375366211</v>
      </c>
      <c r="AA56" s="19" cm="1">
        <f t="array" aca="1" ref="AA56" ca="1">INDEX(INDIRECT(CONCATENATE($E56,"$A$1:$AM$120")),G56,Q56)</f>
        <v>7611.25</v>
      </c>
      <c r="AB56" s="19" cm="1">
        <f t="array" aca="1" ref="AB56" ca="1">INDEX(INDIRECT(CONCATENATE($E56,"$A$1:$AM$120")),H56,R56)</f>
        <v>8261.99</v>
      </c>
      <c r="AC56" s="19" cm="1">
        <f t="array" aca="1" ref="AC56" ca="1">INDEX(INDIRECT(CONCATENATE($E56,"$A$1:$AM$120")),I56,S56)</f>
        <v>8787.1200000000008</v>
      </c>
      <c r="AD56" s="19" cm="1">
        <f t="array" aca="1" ref="AD56" ca="1">INDEX(INDIRECT(CONCATENATE($E56,"$A$1:$AM$120")),J56,T56)</f>
        <v>9169.11</v>
      </c>
      <c r="AE56" s="19" cm="1">
        <f t="array" aca="1" ref="AE56" ca="1">INDEX(INDIRECT(CONCATENATE($E56,"$A$1:$AM$120")),K56,U56)</f>
        <v>9384.7000000000007</v>
      </c>
      <c r="AF56" s="19" cm="1">
        <f t="array" aca="1" ref="AF56" ca="1">INDEX(INDIRECT(CONCATENATE($E56,"$A$1:$AM$120")),L56,V56)</f>
        <v>9456.8799999999992</v>
      </c>
      <c r="AG56" s="19" cm="1">
        <f t="array" aca="1" ref="AG56" ca="1">INDEX(INDIRECT(CONCATENATE($E56,"$A$1:$AM$120")),M56,W56)</f>
        <v>9399.8700000000008</v>
      </c>
      <c r="AH56" s="19" cm="1">
        <f t="array" aca="1" ref="AH56" ca="1">INDEX(INDIRECT(CONCATENATE($E56,"$A$1:$AM$120")),N56,X56)</f>
        <v>9239.5290000000005</v>
      </c>
      <c r="AI56" s="19" cm="1">
        <f t="array" aca="1" ref="AI56" ca="1">INDEX(INDIRECT(CONCATENATE($E56,"$A$1:$AM$120")),O56,Y56)</f>
        <v>9012.2119999999995</v>
      </c>
    </row>
    <row r="57" spans="1:48" ht="15.75">
      <c r="A57" s="54" t="s">
        <v>73</v>
      </c>
      <c r="B57" s="54"/>
      <c r="C57" s="55" t="s">
        <v>15</v>
      </c>
      <c r="D57" s="56" t="s">
        <v>92</v>
      </c>
      <c r="E57" t="str">
        <f t="shared" si="73"/>
        <v>'Population World'!</v>
      </c>
      <c r="F57">
        <f t="shared" ca="1" si="70"/>
        <v>103</v>
      </c>
      <c r="G57">
        <f t="shared" ca="1" si="70"/>
        <v>103</v>
      </c>
      <c r="H57">
        <f t="shared" ca="1" si="70"/>
        <v>103</v>
      </c>
      <c r="I57">
        <f t="shared" ca="1" si="70"/>
        <v>103</v>
      </c>
      <c r="J57">
        <f t="shared" ca="1" si="70"/>
        <v>103</v>
      </c>
      <c r="K57">
        <f t="shared" ca="1" si="70"/>
        <v>103</v>
      </c>
      <c r="L57">
        <f t="shared" ca="1" si="70"/>
        <v>103</v>
      </c>
      <c r="M57">
        <f t="shared" ca="1" si="70"/>
        <v>103</v>
      </c>
      <c r="N57">
        <f t="shared" ca="1" si="70"/>
        <v>103</v>
      </c>
      <c r="O57">
        <f t="shared" ca="1" si="70"/>
        <v>103</v>
      </c>
      <c r="P57">
        <f t="shared" ca="1" si="72"/>
        <v>8</v>
      </c>
      <c r="Q57">
        <f t="shared" ca="1" si="72"/>
        <v>10</v>
      </c>
      <c r="R57">
        <f t="shared" ca="1" si="72"/>
        <v>16</v>
      </c>
      <c r="S57">
        <f t="shared" ca="1" si="72"/>
        <v>18</v>
      </c>
      <c r="T57">
        <f t="shared" ca="1" si="72"/>
        <v>20</v>
      </c>
      <c r="U57">
        <f t="shared" ca="1" si="72"/>
        <v>22</v>
      </c>
      <c r="V57">
        <f t="shared" ca="1" si="72"/>
        <v>24</v>
      </c>
      <c r="W57">
        <f t="shared" ca="1" si="72"/>
        <v>26</v>
      </c>
      <c r="X57">
        <f t="shared" ca="1" si="72"/>
        <v>28</v>
      </c>
      <c r="Y57">
        <f t="shared" ca="1" si="72"/>
        <v>30</v>
      </c>
      <c r="Z57" s="19" cm="1">
        <f t="array" aca="1" ref="Z57" ca="1">INDEX(INDIRECT(CONCATENATE($E57,"$A$1:$AM$120")),F57,P57)</f>
        <v>6935.7699000000002</v>
      </c>
      <c r="AA57" s="19" cm="1">
        <f t="array" aca="1" ref="AA57" ca="1">INDEX(INDIRECT(CONCATENATE($E57,"$A$1:$AM$120")),G57,Q57)</f>
        <v>7714.5160999999998</v>
      </c>
      <c r="AB57" s="19" cm="1">
        <f t="array" aca="1" ref="AB57" ca="1">INDEX(INDIRECT(CONCATENATE($E57,"$A$1:$AM$120")),H57,R57)</f>
        <v>8341.3484000000008</v>
      </c>
      <c r="AC57" s="19" cm="1">
        <f t="array" aca="1" ref="AC57" ca="1">INDEX(INDIRECT(CONCATENATE($E57,"$A$1:$AM$120")),I57,S57)</f>
        <v>8840.5871999999999</v>
      </c>
      <c r="AD57" s="19" cm="1">
        <f t="array" aca="1" ref="AD57" ca="1">INDEX(INDIRECT(CONCATENATE($E57,"$A$1:$AM$120")),J57,T57)</f>
        <v>9194.0269000000008</v>
      </c>
      <c r="AE57" s="19" cm="1">
        <f t="array" aca="1" ref="AE57" ca="1">INDEX(INDIRECT(CONCATENATE($E57,"$A$1:$AM$120")),K57,U57)</f>
        <v>9402.5894000000008</v>
      </c>
      <c r="AF57" s="19" cm="1">
        <f t="array" aca="1" ref="AF57" ca="1">INDEX(INDIRECT(CONCATENATE($E57,"$A$1:$AM$120")),L57,V57)</f>
        <v>9465.4109000000008</v>
      </c>
      <c r="AG57" s="19" cm="1">
        <f t="array" aca="1" ref="AG57" ca="1">INDEX(INDIRECT(CONCATENATE($E57,"$A$1:$AM$120")),M57,W57)</f>
        <v>9407.3359</v>
      </c>
      <c r="AH57" s="19" cm="1">
        <f t="array" aca="1" ref="AH57" ca="1">INDEX(INDIRECT(CONCATENATE($E57,"$A$1:$AM$120")),N57,X57)</f>
        <v>9253.9501953125</v>
      </c>
      <c r="AI57" s="19" cm="1">
        <f t="array" aca="1" ref="AI57" ca="1">INDEX(INDIRECT(CONCATENATE($E57,"$A$1:$AM$120")),O57,Y57)</f>
        <v>9032.4200000000019</v>
      </c>
    </row>
    <row r="58" spans="1:48" ht="15.75">
      <c r="A58" s="54" t="s">
        <v>69</v>
      </c>
      <c r="B58" t="s">
        <v>93</v>
      </c>
      <c r="C58" s="55" t="s">
        <v>94</v>
      </c>
      <c r="D58" s="56" t="s">
        <v>92</v>
      </c>
      <c r="E58" s="185" t="str">
        <f t="shared" si="73"/>
        <v>'Population NZ'!</v>
      </c>
      <c r="H58">
        <f>MATCH(H1-2,'NZ Pop proj'!$A$9:$A$20,0)</f>
        <v>3</v>
      </c>
      <c r="I58">
        <f>MATCH(I1-2,'NZ Pop proj'!$A$9:$A$20,0)</f>
        <v>5</v>
      </c>
      <c r="J58">
        <f>MATCH(J1-2,'NZ Pop proj'!$A$9:$A$20,0)</f>
        <v>7</v>
      </c>
      <c r="K58">
        <f>MATCH(K1-2,'NZ Pop proj'!$A$9:$A$20,0)</f>
        <v>9</v>
      </c>
      <c r="L58">
        <f>MATCH(L1-2,'NZ Pop proj'!$A$9:$A$20,0)</f>
        <v>11</v>
      </c>
      <c r="M58" s="185" t="e">
        <f>MATCH(M1-2,'NZ Pop proj'!$A$9:$A$20,0)</f>
        <v>#N/A</v>
      </c>
      <c r="N58" s="185" t="e">
        <f>MATCH(N1-2,'NZ Pop proj'!$A$9:$A$20,0)</f>
        <v>#N/A</v>
      </c>
      <c r="O58" s="185" t="e">
        <f>MATCH(O1-2,'NZ Pop proj'!$A$9:$A$20,0)</f>
        <v>#N/A</v>
      </c>
      <c r="R58">
        <f>MATCH(R1+3,'NZ Pop proj'!$A$9:$A$20,0)</f>
        <v>4</v>
      </c>
      <c r="S58">
        <f>MATCH(S1+3,'NZ Pop proj'!$A$9:$A$20,0)</f>
        <v>6</v>
      </c>
      <c r="T58">
        <f>MATCH(T1+3,'NZ Pop proj'!$A$9:$A$20,0)</f>
        <v>8</v>
      </c>
      <c r="U58">
        <f>MATCH(U1+3,'NZ Pop proj'!$A$9:$A$20,0)</f>
        <v>10</v>
      </c>
      <c r="V58">
        <f>MATCH(V1+3,'NZ Pop proj'!$A$9:$A$20,0)</f>
        <v>12</v>
      </c>
      <c r="W58" t="e">
        <f>MATCH(W1+3,'NZ Pop proj'!$A$9:$A$20,0)</f>
        <v>#N/A</v>
      </c>
      <c r="X58" t="e">
        <f>MATCH(X1+3,'NZ Pop proj'!$A$9:$A$20,0)</f>
        <v>#N/A</v>
      </c>
      <c r="Y58" t="e">
        <f>MATCH(Y1+3,'NZ Pop proj'!$A$9:$A$20,0)</f>
        <v>#N/A</v>
      </c>
      <c r="Z58">
        <f>INDEX('NZ Pop hist'!$B$5:$B$37,MATCH('AR6 Pathways'!Z1,'NZ Pop hist'!$A$5:$A$37,0))/10^6</f>
        <v>4.3506999999999998</v>
      </c>
      <c r="AA58">
        <f>INDEX('NZ Pop hist'!$B$5:$B$37,MATCH('AR6 Pathways'!AA1,'NZ Pop hist'!$A$5:$A$37,0))/10^6</f>
        <v>5.0902000000000003</v>
      </c>
      <c r="AB58" cm="1">
        <f t="array" ref="AB58">(0.6*INDEX('NZ Pop proj'!$E$9:$E$20,'AR6 Pathways'!H58)+0.4*INDEX('NZ Pop proj'!$E$9:$E$20,'AR6 Pathways'!R58))/1000</f>
        <v>5.4379999999999997</v>
      </c>
      <c r="AC58" cm="1">
        <f t="array" ref="AC58">(0.6*INDEX('NZ Pop proj'!$E$9:$E$20,'AR6 Pathways'!I58)+0.4*INDEX('NZ Pop proj'!$E$9:$E$20,'AR6 Pathways'!S58))/1000</f>
        <v>5.8213999999999997</v>
      </c>
      <c r="AD58" cm="1">
        <f t="array" ref="AD58">(0.6*INDEX('NZ Pop proj'!$E$9:$E$20,'AR6 Pathways'!J58)+0.4*INDEX('NZ Pop proj'!$E$9:$E$20,'AR6 Pathways'!T58))/1000</f>
        <v>6.1298000000000004</v>
      </c>
      <c r="AE58" cm="1">
        <f t="array" ref="AE58">(0.6*INDEX('NZ Pop proj'!$E$9:$E$20,'AR6 Pathways'!K58)+0.4*INDEX('NZ Pop proj'!$E$9:$E$20,'AR6 Pathways'!U58))/1000</f>
        <v>6.3696000000000002</v>
      </c>
      <c r="AF58" cm="1">
        <f t="array" ref="AF58">(0.6*INDEX('NZ Pop proj'!$E$9:$E$20,'AR6 Pathways'!L58)+0.4*INDEX('NZ Pop proj'!$E$9:$E$20,'AR6 Pathways'!V58))/1000</f>
        <v>6.5827999999999998</v>
      </c>
      <c r="AG58" t="e" cm="1">
        <f t="array" ref="AG58">(0.6*INDEX('NZ Pop proj'!$E$9:$E$20,'AR6 Pathways'!M58)+0.4*INDEX('NZ Pop proj'!$E$9:$E$20,'AR6 Pathways'!W58))/1000</f>
        <v>#N/A</v>
      </c>
      <c r="AH58" t="e" cm="1">
        <f t="array" ref="AH58">(0.6*INDEX('NZ Pop proj'!$E$9:$E$20,'AR6 Pathways'!N58)+0.4*INDEX('NZ Pop proj'!$E$9:$E$20,'AR6 Pathways'!X58))/1000</f>
        <v>#N/A</v>
      </c>
      <c r="AI58" t="e" cm="1">
        <f t="array" ref="AI58">(0.6*INDEX('NZ Pop proj'!$E$9:$E$20,'AR6 Pathways'!O58)+0.4*INDEX('NZ Pop proj'!$E$9:$E$20,'AR6 Pathways'!Y58))/1000</f>
        <v>#N/A</v>
      </c>
    </row>
    <row r="59" spans="1:48" ht="15.75">
      <c r="A59" s="54" t="s">
        <v>72</v>
      </c>
      <c r="C59" s="55" t="s">
        <v>94</v>
      </c>
      <c r="D59" s="56" t="s">
        <v>92</v>
      </c>
      <c r="E59" s="185" t="str">
        <f t="shared" si="73"/>
        <v>'Population NZ'!</v>
      </c>
      <c r="Z59">
        <f>Z58</f>
        <v>4.3506999999999998</v>
      </c>
      <c r="AA59">
        <f>AA58</f>
        <v>5.0902000000000003</v>
      </c>
      <c r="AB59" cm="1">
        <f t="array" ref="AB59">(0.6*INDEX('NZ Pop proj'!$D$9:$D$20,'AR6 Pathways'!H58)+0.4*INDEX('NZ Pop proj'!$D$9:$D$20,'AR6 Pathways'!R58))/1000</f>
        <v>5.343</v>
      </c>
      <c r="AC59" cm="1">
        <f t="array" ref="AC59">(0.6*INDEX('NZ Pop proj'!$D$9:$D$20,'AR6 Pathways'!I58)+0.4*INDEX('NZ Pop proj'!$D$9:$D$20,'AR6 Pathways'!S58))/1000</f>
        <v>5.6466000000000003</v>
      </c>
      <c r="AD59" cm="1">
        <f t="array" ref="AD59">(0.6*INDEX('NZ Pop proj'!$D$9:$D$20,'AR6 Pathways'!J58)+0.4*INDEX('NZ Pop proj'!$D$9:$D$20,'AR6 Pathways'!T58))/1000</f>
        <v>5.8932000000000011</v>
      </c>
      <c r="AE59" cm="1">
        <f t="array" ref="AE59">(0.6*INDEX('NZ Pop proj'!$D$9:$D$20,'AR6 Pathways'!K58)+0.4*INDEX('NZ Pop proj'!$D$9:$D$20,'AR6 Pathways'!U58))/1000</f>
        <v>6.0447999999999995</v>
      </c>
      <c r="AF59" cm="1">
        <f t="array" ref="AF59">(0.6*INDEX('NZ Pop proj'!$D$9:$D$20,'AR6 Pathways'!L58)+0.4*INDEX('NZ Pop proj'!$D$9:$D$20,'AR6 Pathways'!V58))/1000</f>
        <v>6.1726000000000001</v>
      </c>
      <c r="AG59" t="e" cm="1">
        <f t="array" ref="AG59">(0.6*INDEX('NZ Pop proj'!$D$9:$D$20,'AR6 Pathways'!M58)+0.4*INDEX('NZ Pop proj'!$D$9:$D$20,'AR6 Pathways'!W58))/1000</f>
        <v>#N/A</v>
      </c>
      <c r="AH59" t="e" cm="1">
        <f t="array" ref="AH59">(0.6*INDEX('NZ Pop proj'!$D$9:$D$20,'AR6 Pathways'!N58)+0.4*INDEX('NZ Pop proj'!$D$9:$D$20,'AR6 Pathways'!X58))/1000</f>
        <v>#N/A</v>
      </c>
      <c r="AI59" t="e" cm="1">
        <f t="array" ref="AI59">(0.6*INDEX('NZ Pop proj'!$D$9:$D$20,'AR6 Pathways'!O58)+0.4*INDEX('NZ Pop proj'!$D$9:$D$20,'AR6 Pathways'!Y58))/1000</f>
        <v>#N/A</v>
      </c>
    </row>
    <row r="60" spans="1:48" ht="15.75">
      <c r="A60" s="54" t="s">
        <v>73</v>
      </c>
      <c r="C60" s="55" t="s">
        <v>94</v>
      </c>
      <c r="D60" s="56" t="s">
        <v>92</v>
      </c>
      <c r="E60" s="185" t="str">
        <f t="shared" si="73"/>
        <v>'Population NZ'!</v>
      </c>
      <c r="Z60">
        <f>Z58</f>
        <v>4.3506999999999998</v>
      </c>
      <c r="AA60">
        <f>AA58</f>
        <v>5.0902000000000003</v>
      </c>
      <c r="AB60" cm="1">
        <f t="array" ref="AB60">(0.6*INDEX('NZ Pop proj'!$F$9:$F$20,'AR6 Pathways'!H58)+0.4*INDEX('NZ Pop proj'!$F$9:$F$20,'AR6 Pathways'!R58))/1000</f>
        <v>5.5301999999999998</v>
      </c>
      <c r="AC60" cm="1">
        <f t="array" ref="AC60">(0.6*INDEX('NZ Pop proj'!$F$9:$F$20,'AR6 Pathways'!I58)+0.4*INDEX('NZ Pop proj'!$F$9:$F$20,'AR6 Pathways'!S58))/1000</f>
        <v>5.9896000000000003</v>
      </c>
      <c r="AD60" cm="1">
        <f t="array" ref="AD60">(0.6*INDEX('NZ Pop proj'!$F$9:$F$20,'AR6 Pathways'!J58)+0.4*INDEX('NZ Pop proj'!$F$9:$F$20,'AR6 Pathways'!T58))/1000</f>
        <v>6.3701999999999996</v>
      </c>
      <c r="AE60" cm="1">
        <f t="array" ref="AE60">(0.6*INDEX('NZ Pop proj'!$F$9:$F$20,'AR6 Pathways'!K58)+0.4*INDEX('NZ Pop proj'!$F$9:$F$20,'AR6 Pathways'!U58))/1000</f>
        <v>6.6901999999999999</v>
      </c>
      <c r="AF60" cm="1">
        <f t="array" ref="AF60">(0.6*INDEX('NZ Pop proj'!$F$9:$F$20,'AR6 Pathways'!L58)+0.4*INDEX('NZ Pop proj'!$F$9:$F$20,'AR6 Pathways'!V58))/1000</f>
        <v>7.0013999999999994</v>
      </c>
      <c r="AG60" t="e" cm="1">
        <f t="array" ref="AG60">(0.6*INDEX('NZ Pop proj'!$F$9:$F$20,'AR6 Pathways'!M58)+0.4*INDEX('NZ Pop proj'!$F$9:$F$20,'AR6 Pathways'!W58))/1000</f>
        <v>#N/A</v>
      </c>
      <c r="AH60" t="e" cm="1">
        <f t="array" ref="AH60">(0.6*INDEX('NZ Pop proj'!$F$9:$F$20,'AR6 Pathways'!N58)+0.4*INDEX('NZ Pop proj'!$F$9:$F$20,'AR6 Pathways'!X58))/1000</f>
        <v>#N/A</v>
      </c>
      <c r="AI60" t="e" cm="1">
        <f t="array" ref="AI60">(0.6*INDEX('NZ Pop proj'!$F$9:$F$20,'AR6 Pathways'!O58)+0.4*INDEX('NZ Pop proj'!$F$9:$F$20,'AR6 Pathways'!Y58))/1000</f>
        <v>#N/A</v>
      </c>
    </row>
    <row r="62" spans="1:48">
      <c r="Z62">
        <f ca="1">(Z57/Z56-1)*100</f>
        <v>0.99571834553768834</v>
      </c>
      <c r="AA62">
        <f t="shared" ref="AA62:AH62" ca="1" si="74">(AA57/AA56-1)*100</f>
        <v>1.3567561175890974</v>
      </c>
      <c r="AB62">
        <f t="shared" ca="1" si="74"/>
        <v>0.96052403839754774</v>
      </c>
      <c r="AC62">
        <f t="shared" ca="1" si="74"/>
        <v>0.60847240051347118</v>
      </c>
      <c r="AD62">
        <f t="shared" ca="1" si="74"/>
        <v>0.27174829400018474</v>
      </c>
      <c r="AE62">
        <f t="shared" ca="1" si="74"/>
        <v>0.19062303536607761</v>
      </c>
      <c r="AF62">
        <f t="shared" ca="1" si="74"/>
        <v>9.0208398541613555E-2</v>
      </c>
      <c r="AG62">
        <f t="shared" ca="1" si="74"/>
        <v>7.9425566523783075E-2</v>
      </c>
      <c r="AH62">
        <f t="shared" ca="1" si="74"/>
        <v>0.15608149844541508</v>
      </c>
      <c r="AI62">
        <f ca="1">(AI57/AI56-1)*100</f>
        <v>0.22422907938697278</v>
      </c>
    </row>
    <row r="69" spans="29:38">
      <c r="AJ69">
        <f ca="1">1.5*AA58/AA55</f>
        <v>9.9763790956418547E-4</v>
      </c>
    </row>
    <row r="70" spans="29:38">
      <c r="AC70">
        <v>1</v>
      </c>
      <c r="AD70">
        <f>AC70+1</f>
        <v>2</v>
      </c>
      <c r="AE70">
        <f t="shared" ref="AE70:AL70" si="75">AD70+1</f>
        <v>3</v>
      </c>
      <c r="AF70">
        <f t="shared" si="75"/>
        <v>4</v>
      </c>
      <c r="AG70">
        <f t="shared" si="75"/>
        <v>5</v>
      </c>
      <c r="AH70">
        <f t="shared" si="75"/>
        <v>6</v>
      </c>
      <c r="AI70">
        <f t="shared" si="75"/>
        <v>7</v>
      </c>
      <c r="AJ70">
        <f>AI70+1</f>
        <v>8</v>
      </c>
      <c r="AK70" s="192">
        <f t="shared" si="75"/>
        <v>9</v>
      </c>
      <c r="AL70">
        <f t="shared" si="75"/>
        <v>10</v>
      </c>
    </row>
    <row r="71" spans="29:38">
      <c r="AK71" s="192">
        <f>SUM(AC70:AL70)</f>
        <v>55</v>
      </c>
    </row>
  </sheetData>
  <pageMargins left="0.7" right="0.7" top="0.75" bottom="0.75" header="0.3" footer="0.3"/>
  <pageSetup orientation="portrait"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01DC2E-5751-4A12-BEBE-C4F29CFEA653}">
  <sheetPr codeName="Sheet34">
    <tabColor theme="7" tint="0.79998168889431442"/>
  </sheetPr>
  <dimension ref="A1:AD106"/>
  <sheetViews>
    <sheetView workbookViewId="0">
      <pane ySplit="1" topLeftCell="A80" activePane="bottomLeft" state="frozen"/>
      <selection pane="bottomLeft" activeCell="F104" sqref="F104:AD106"/>
      <selection activeCell="P95" sqref="P95"/>
    </sheetView>
  </sheetViews>
  <sheetFormatPr defaultColWidth="9.140625" defaultRowHeight="15.75"/>
  <cols>
    <col min="1" max="4" width="9.140625" style="27"/>
    <col min="5" max="5" width="25.7109375" style="27" customWidth="1"/>
    <col min="6" max="8" width="9.140625" style="27"/>
    <col min="9" max="9" width="15.140625" style="27" customWidth="1"/>
    <col min="10" max="13" width="9.140625" style="27"/>
    <col min="14" max="14" width="10.42578125" style="27" bestFit="1" customWidth="1"/>
    <col min="15" max="16384" width="9.140625" style="27"/>
  </cols>
  <sheetData>
    <row r="1" spans="1:30">
      <c r="A1" s="27" t="s">
        <v>193</v>
      </c>
      <c r="B1" s="27" t="s">
        <v>194</v>
      </c>
      <c r="C1" s="27" t="s">
        <v>195</v>
      </c>
      <c r="D1" s="27" t="s">
        <v>64</v>
      </c>
      <c r="E1" s="27" t="s">
        <v>65</v>
      </c>
      <c r="F1" s="27">
        <v>2000</v>
      </c>
      <c r="G1" s="27">
        <v>2005</v>
      </c>
      <c r="H1" s="27">
        <v>2010</v>
      </c>
      <c r="I1" s="27">
        <v>2015</v>
      </c>
      <c r="J1" s="27">
        <v>2020</v>
      </c>
      <c r="K1" s="27">
        <v>2021</v>
      </c>
      <c r="L1" s="27">
        <v>2022</v>
      </c>
      <c r="M1" s="27">
        <v>2023</v>
      </c>
      <c r="N1" s="27">
        <v>2024</v>
      </c>
      <c r="O1" s="27">
        <v>2025</v>
      </c>
      <c r="P1" s="27">
        <v>2030</v>
      </c>
      <c r="Q1" s="27">
        <v>2035</v>
      </c>
      <c r="R1" s="27">
        <v>2040</v>
      </c>
      <c r="S1" s="27">
        <v>2045</v>
      </c>
      <c r="T1" s="27">
        <v>2050</v>
      </c>
      <c r="U1" s="27">
        <v>2055</v>
      </c>
      <c r="V1" s="27">
        <v>2060</v>
      </c>
      <c r="W1" s="27">
        <v>2065</v>
      </c>
      <c r="X1" s="27">
        <v>2070</v>
      </c>
      <c r="Y1" s="27">
        <v>2075</v>
      </c>
      <c r="Z1" s="27">
        <v>2080</v>
      </c>
      <c r="AA1" s="27">
        <v>2085</v>
      </c>
      <c r="AB1" s="27">
        <v>2090</v>
      </c>
      <c r="AC1" s="27">
        <v>2095</v>
      </c>
      <c r="AD1" s="27">
        <v>2100</v>
      </c>
    </row>
    <row r="2" spans="1:30">
      <c r="A2" s="27" t="s">
        <v>196</v>
      </c>
      <c r="B2" s="27" t="s">
        <v>197</v>
      </c>
      <c r="C2" s="27" t="s">
        <v>198</v>
      </c>
      <c r="D2" s="27" t="s">
        <v>1156</v>
      </c>
      <c r="E2" s="27" t="s">
        <v>71</v>
      </c>
      <c r="F2" s="27" t="s">
        <v>200</v>
      </c>
      <c r="G2" s="27">
        <v>326.81529999999998</v>
      </c>
      <c r="H2" s="27">
        <v>353.44600000000003</v>
      </c>
      <c r="I2" s="27">
        <v>378.26949999999999</v>
      </c>
      <c r="J2" s="27">
        <v>362.18650000000002</v>
      </c>
      <c r="K2" s="27" t="s">
        <v>200</v>
      </c>
      <c r="L2" s="27" t="s">
        <v>200</v>
      </c>
      <c r="M2" s="27" t="s">
        <v>200</v>
      </c>
      <c r="N2" s="27" t="s">
        <v>200</v>
      </c>
      <c r="O2" s="27">
        <v>283.21949999999998</v>
      </c>
      <c r="P2" s="27">
        <v>246.5231</v>
      </c>
      <c r="Q2" s="27">
        <v>230.08760000000001</v>
      </c>
      <c r="R2" s="27">
        <v>220.0823</v>
      </c>
      <c r="S2" s="27">
        <v>210.62299999999999</v>
      </c>
      <c r="T2" s="27">
        <v>199.6644</v>
      </c>
      <c r="U2" s="27">
        <v>198.54499999999999</v>
      </c>
      <c r="V2" s="27">
        <v>197.01050000000001</v>
      </c>
      <c r="W2" s="27" t="s">
        <v>200</v>
      </c>
      <c r="X2" s="27">
        <v>192.2944</v>
      </c>
      <c r="Y2" s="27" t="s">
        <v>200</v>
      </c>
      <c r="Z2" s="27">
        <v>182.37799999999999</v>
      </c>
      <c r="AA2" s="27" t="s">
        <v>200</v>
      </c>
      <c r="AB2" s="27">
        <v>169.8784</v>
      </c>
      <c r="AC2" s="27" t="s">
        <v>200</v>
      </c>
      <c r="AD2" s="27">
        <v>162.29079999999999</v>
      </c>
    </row>
    <row r="3" spans="1:30">
      <c r="A3" s="27" t="s">
        <v>196</v>
      </c>
      <c r="B3" s="27" t="s">
        <v>201</v>
      </c>
      <c r="C3" s="27" t="s">
        <v>198</v>
      </c>
      <c r="D3" s="27" t="s">
        <v>1156</v>
      </c>
      <c r="E3" s="27" t="s">
        <v>71</v>
      </c>
      <c r="F3" s="27" t="s">
        <v>200</v>
      </c>
      <c r="G3" s="27" t="s">
        <v>200</v>
      </c>
      <c r="H3" s="27">
        <v>354.2824</v>
      </c>
      <c r="I3" s="27">
        <v>382.82010000000002</v>
      </c>
      <c r="J3" s="27">
        <v>361.74599999999998</v>
      </c>
      <c r="K3" s="27" t="s">
        <v>200</v>
      </c>
      <c r="L3" s="27" t="s">
        <v>200</v>
      </c>
      <c r="M3" s="27" t="s">
        <v>200</v>
      </c>
      <c r="N3" s="27" t="s">
        <v>200</v>
      </c>
      <c r="O3" s="27">
        <v>298.34390000000002</v>
      </c>
      <c r="P3" s="27">
        <v>250.98349999999999</v>
      </c>
      <c r="Q3" s="27">
        <v>226.50700000000001</v>
      </c>
      <c r="R3" s="27">
        <v>214.70419999999999</v>
      </c>
      <c r="S3" s="27">
        <v>205.7456</v>
      </c>
      <c r="T3" s="27">
        <v>196.7483</v>
      </c>
      <c r="U3" s="27">
        <v>196.8304</v>
      </c>
      <c r="V3" s="27">
        <v>196.07769999999999</v>
      </c>
      <c r="W3" s="27" t="s">
        <v>200</v>
      </c>
      <c r="X3" s="27">
        <v>191.86940000000001</v>
      </c>
      <c r="Y3" s="27" t="s">
        <v>200</v>
      </c>
      <c r="Z3" s="27">
        <v>183.00380000000001</v>
      </c>
      <c r="AA3" s="27" t="s">
        <v>200</v>
      </c>
      <c r="AB3" s="27">
        <v>170.958</v>
      </c>
      <c r="AC3" s="27" t="s">
        <v>200</v>
      </c>
      <c r="AD3" s="27">
        <v>163.50149999999999</v>
      </c>
    </row>
    <row r="4" spans="1:30">
      <c r="A4" s="27" t="s">
        <v>196</v>
      </c>
      <c r="B4" s="27" t="s">
        <v>202</v>
      </c>
      <c r="C4" s="27" t="s">
        <v>198</v>
      </c>
      <c r="D4" s="27" t="s">
        <v>1156</v>
      </c>
      <c r="E4" s="27" t="s">
        <v>71</v>
      </c>
      <c r="F4" s="27" t="s">
        <v>200</v>
      </c>
      <c r="G4" s="27">
        <v>326.81529999999998</v>
      </c>
      <c r="H4" s="27">
        <v>353.8485</v>
      </c>
      <c r="I4" s="27">
        <v>377.46</v>
      </c>
      <c r="J4" s="27">
        <v>355.63080000000002</v>
      </c>
      <c r="K4" s="27" t="s">
        <v>200</v>
      </c>
      <c r="L4" s="27" t="s">
        <v>200</v>
      </c>
      <c r="M4" s="27" t="s">
        <v>200</v>
      </c>
      <c r="N4" s="27" t="s">
        <v>200</v>
      </c>
      <c r="O4" s="27">
        <v>281.77980000000002</v>
      </c>
      <c r="P4" s="27">
        <v>243.3724</v>
      </c>
      <c r="Q4" s="27">
        <v>227.99600000000001</v>
      </c>
      <c r="R4" s="27">
        <v>218.267</v>
      </c>
      <c r="S4" s="27">
        <v>209.03139999999999</v>
      </c>
      <c r="T4" s="27">
        <v>198.57759999999999</v>
      </c>
      <c r="U4" s="27">
        <v>197.66079999999999</v>
      </c>
      <c r="V4" s="27">
        <v>195.9949</v>
      </c>
      <c r="W4" s="27" t="s">
        <v>200</v>
      </c>
      <c r="X4" s="27">
        <v>194.09460000000001</v>
      </c>
      <c r="Y4" s="27" t="s">
        <v>200</v>
      </c>
      <c r="Z4" s="27">
        <v>185.0291</v>
      </c>
      <c r="AA4" s="27" t="s">
        <v>200</v>
      </c>
      <c r="AB4" s="27">
        <v>172.31800000000001</v>
      </c>
      <c r="AC4" s="27" t="s">
        <v>200</v>
      </c>
      <c r="AD4" s="27">
        <v>164.8467</v>
      </c>
    </row>
    <row r="5" spans="1:30">
      <c r="A5" s="27" t="s">
        <v>203</v>
      </c>
      <c r="B5" s="27" t="s">
        <v>204</v>
      </c>
      <c r="C5" s="27" t="s">
        <v>198</v>
      </c>
      <c r="D5" s="27" t="s">
        <v>1156</v>
      </c>
      <c r="E5" s="27" t="s">
        <v>71</v>
      </c>
      <c r="F5" s="27" t="s">
        <v>200</v>
      </c>
      <c r="G5" s="27">
        <v>326.86959999999999</v>
      </c>
      <c r="H5" s="27">
        <v>352.84070000000003</v>
      </c>
      <c r="I5" s="27">
        <v>379.7047</v>
      </c>
      <c r="J5" s="27">
        <v>363.83260000000001</v>
      </c>
      <c r="K5" s="27" t="s">
        <v>200</v>
      </c>
      <c r="L5" s="27" t="s">
        <v>200</v>
      </c>
      <c r="M5" s="27" t="s">
        <v>200</v>
      </c>
      <c r="N5" s="27" t="s">
        <v>200</v>
      </c>
      <c r="O5" s="27">
        <v>301.34519999999998</v>
      </c>
      <c r="P5" s="27">
        <v>264.13380000000001</v>
      </c>
      <c r="Q5" s="27">
        <v>235.6583</v>
      </c>
      <c r="R5" s="27">
        <v>219.10570000000001</v>
      </c>
      <c r="S5" s="27">
        <v>209.01009999999999</v>
      </c>
      <c r="T5" s="27">
        <v>198.8655</v>
      </c>
      <c r="U5" s="27">
        <v>198.7467</v>
      </c>
      <c r="V5" s="27">
        <v>196.977</v>
      </c>
      <c r="W5" s="27" t="s">
        <v>200</v>
      </c>
      <c r="X5" s="27">
        <v>192.52789999999999</v>
      </c>
      <c r="Y5" s="27" t="s">
        <v>200</v>
      </c>
      <c r="Z5" s="27">
        <v>183.03919999999999</v>
      </c>
      <c r="AA5" s="27" t="s">
        <v>200</v>
      </c>
      <c r="AB5" s="27">
        <v>170.38220000000001</v>
      </c>
      <c r="AC5" s="27" t="s">
        <v>200</v>
      </c>
      <c r="AD5" s="27">
        <v>162.55009999999999</v>
      </c>
    </row>
    <row r="6" spans="1:30">
      <c r="A6" s="27" t="s">
        <v>205</v>
      </c>
      <c r="B6" s="27" t="s">
        <v>206</v>
      </c>
      <c r="C6" s="27" t="s">
        <v>198</v>
      </c>
      <c r="D6" s="27" t="s">
        <v>1156</v>
      </c>
      <c r="E6" s="27" t="s">
        <v>71</v>
      </c>
      <c r="F6" s="27" t="s">
        <v>200</v>
      </c>
      <c r="G6" s="27">
        <v>312.09300000000002</v>
      </c>
      <c r="H6" s="27">
        <v>327.40300000000002</v>
      </c>
      <c r="I6" s="27">
        <v>345.88800000000009</v>
      </c>
      <c r="J6" s="27">
        <v>346.94200000000001</v>
      </c>
      <c r="K6" s="27" t="s">
        <v>200</v>
      </c>
      <c r="L6" s="27" t="s">
        <v>200</v>
      </c>
      <c r="M6" s="27" t="s">
        <v>200</v>
      </c>
      <c r="N6" s="27" t="s">
        <v>200</v>
      </c>
      <c r="O6" s="27">
        <v>351.86400000000009</v>
      </c>
      <c r="P6" s="27">
        <v>260.24099999999999</v>
      </c>
      <c r="Q6" s="27">
        <v>240.72200000000001</v>
      </c>
      <c r="R6" s="27">
        <v>221.434</v>
      </c>
      <c r="S6" s="27">
        <v>206.61799999999999</v>
      </c>
      <c r="T6" s="27">
        <v>191.803</v>
      </c>
      <c r="U6" s="27">
        <v>184.55799999999999</v>
      </c>
      <c r="V6" s="27">
        <v>177.31299999999999</v>
      </c>
      <c r="W6" s="27">
        <v>168.12400000000011</v>
      </c>
      <c r="X6" s="27">
        <v>158.935</v>
      </c>
      <c r="Y6" s="27">
        <v>148.25299999999999</v>
      </c>
      <c r="Z6" s="27">
        <v>137.57</v>
      </c>
      <c r="AA6" s="27">
        <v>133.613</v>
      </c>
      <c r="AB6" s="27">
        <v>129.65600000000001</v>
      </c>
      <c r="AC6" s="27">
        <v>126.23</v>
      </c>
      <c r="AD6" s="27">
        <v>122.804</v>
      </c>
    </row>
    <row r="7" spans="1:30">
      <c r="A7" s="27" t="s">
        <v>207</v>
      </c>
      <c r="B7" s="27" t="s">
        <v>208</v>
      </c>
      <c r="C7" s="27" t="s">
        <v>198</v>
      </c>
      <c r="D7" s="27" t="s">
        <v>1156</v>
      </c>
      <c r="E7" s="27" t="s">
        <v>71</v>
      </c>
      <c r="F7" s="27">
        <v>308.99925350927839</v>
      </c>
      <c r="G7" s="27">
        <v>334.38102750382672</v>
      </c>
      <c r="H7" s="27">
        <v>333.66154451874712</v>
      </c>
      <c r="I7" s="27">
        <v>343.75284426806581</v>
      </c>
      <c r="J7" s="27">
        <v>352.95204663232522</v>
      </c>
      <c r="K7" s="27" t="s">
        <v>200</v>
      </c>
      <c r="L7" s="27" t="s">
        <v>200</v>
      </c>
      <c r="M7" s="27" t="s">
        <v>200</v>
      </c>
      <c r="N7" s="27" t="s">
        <v>200</v>
      </c>
      <c r="O7" s="27">
        <v>276.3600341812151</v>
      </c>
      <c r="P7" s="27">
        <v>229.30422336979009</v>
      </c>
      <c r="Q7" s="27">
        <v>208.86551233664269</v>
      </c>
      <c r="R7" s="27">
        <v>189.38648415905669</v>
      </c>
      <c r="S7" s="27">
        <v>172.17247581355491</v>
      </c>
      <c r="T7" s="27">
        <v>155.98687276486459</v>
      </c>
      <c r="U7" s="27">
        <v>147.1633900130056</v>
      </c>
      <c r="V7" s="27">
        <v>143.85992916417851</v>
      </c>
      <c r="W7" s="27" t="s">
        <v>200</v>
      </c>
      <c r="X7" s="27">
        <v>139.2281719851041</v>
      </c>
      <c r="Y7" s="27" t="s">
        <v>200</v>
      </c>
      <c r="Z7" s="27">
        <v>136.34019179161109</v>
      </c>
      <c r="AA7" s="27" t="s">
        <v>200</v>
      </c>
      <c r="AB7" s="27">
        <v>131.12416158773141</v>
      </c>
      <c r="AC7" s="27" t="s">
        <v>200</v>
      </c>
      <c r="AD7" s="27">
        <v>127.28200137065841</v>
      </c>
    </row>
    <row r="8" spans="1:30">
      <c r="A8" s="27" t="s">
        <v>209</v>
      </c>
      <c r="B8" s="27" t="s">
        <v>210</v>
      </c>
      <c r="C8" s="27" t="s">
        <v>198</v>
      </c>
      <c r="D8" s="27" t="s">
        <v>1156</v>
      </c>
      <c r="E8" s="27" t="s">
        <v>71</v>
      </c>
      <c r="F8" s="27" t="s">
        <v>200</v>
      </c>
      <c r="G8" s="27" t="s">
        <v>200</v>
      </c>
      <c r="H8" s="27">
        <v>369.22620000000001</v>
      </c>
      <c r="I8" s="27">
        <v>390.51999999999992</v>
      </c>
      <c r="J8" s="27">
        <v>412.35989999999993</v>
      </c>
      <c r="K8" s="27" t="s">
        <v>200</v>
      </c>
      <c r="L8" s="27" t="s">
        <v>200</v>
      </c>
      <c r="M8" s="27" t="s">
        <v>200</v>
      </c>
      <c r="N8" s="27" t="s">
        <v>200</v>
      </c>
      <c r="O8" s="27">
        <v>260.74749999999989</v>
      </c>
      <c r="P8" s="27">
        <v>226.64070000000001</v>
      </c>
      <c r="Q8" s="27">
        <v>192.44200000000001</v>
      </c>
      <c r="R8" s="27">
        <v>168.691</v>
      </c>
      <c r="S8" s="27">
        <v>159.25909999999999</v>
      </c>
      <c r="T8" s="27">
        <v>156.4469</v>
      </c>
      <c r="U8" s="27">
        <v>157.483</v>
      </c>
      <c r="V8" s="27">
        <v>149.98920000000001</v>
      </c>
      <c r="W8" s="27">
        <v>145.14869999999999</v>
      </c>
      <c r="X8" s="27">
        <v>149.10169999999999</v>
      </c>
      <c r="Y8" s="27">
        <v>152.4691</v>
      </c>
      <c r="Z8" s="27">
        <v>151.85900000000001</v>
      </c>
      <c r="AA8" s="27">
        <v>153.72579999999999</v>
      </c>
      <c r="AB8" s="27">
        <v>155.8167</v>
      </c>
      <c r="AC8" s="27">
        <v>157.54</v>
      </c>
      <c r="AD8" s="27">
        <v>158.81129999999999</v>
      </c>
    </row>
    <row r="9" spans="1:30">
      <c r="A9" s="27" t="s">
        <v>211</v>
      </c>
      <c r="B9" s="27" t="s">
        <v>212</v>
      </c>
      <c r="C9" s="27" t="s">
        <v>198</v>
      </c>
      <c r="D9" s="27" t="s">
        <v>1156</v>
      </c>
      <c r="E9" s="27" t="s">
        <v>71</v>
      </c>
      <c r="F9" s="27">
        <v>309.86757496938401</v>
      </c>
      <c r="G9" s="27">
        <v>333.83543347117399</v>
      </c>
      <c r="H9" s="27">
        <v>326.44555473970502</v>
      </c>
      <c r="I9" s="27" t="s">
        <v>200</v>
      </c>
      <c r="J9" s="27">
        <v>331.48782389406898</v>
      </c>
      <c r="K9" s="27" t="s">
        <v>200</v>
      </c>
      <c r="L9" s="27" t="s">
        <v>200</v>
      </c>
      <c r="M9" s="27" t="s">
        <v>200</v>
      </c>
      <c r="N9" s="27" t="s">
        <v>200</v>
      </c>
      <c r="O9" s="27" t="s">
        <v>200</v>
      </c>
      <c r="P9" s="27">
        <v>224.578005379769</v>
      </c>
      <c r="Q9" s="27" t="s">
        <v>200</v>
      </c>
      <c r="R9" s="27">
        <v>197.014040901031</v>
      </c>
      <c r="S9" s="27" t="s">
        <v>200</v>
      </c>
      <c r="T9" s="27">
        <v>168.01866384049401</v>
      </c>
      <c r="U9" s="27" t="s">
        <v>200</v>
      </c>
      <c r="V9" s="27">
        <v>142.62636011700499</v>
      </c>
      <c r="W9" s="27" t="s">
        <v>200</v>
      </c>
      <c r="X9" s="27">
        <v>126.60575160981401</v>
      </c>
      <c r="Y9" s="27" t="s">
        <v>200</v>
      </c>
      <c r="Z9" s="27">
        <v>114.49615700437</v>
      </c>
      <c r="AA9" s="27" t="s">
        <v>200</v>
      </c>
      <c r="AB9" s="27">
        <v>105.553817723512</v>
      </c>
      <c r="AC9" s="27" t="s">
        <v>200</v>
      </c>
      <c r="AD9" s="27">
        <v>99.298461263901004</v>
      </c>
    </row>
    <row r="10" spans="1:30">
      <c r="A10" s="27" t="s">
        <v>196</v>
      </c>
      <c r="B10" s="27" t="s">
        <v>213</v>
      </c>
      <c r="C10" s="27" t="s">
        <v>198</v>
      </c>
      <c r="D10" s="27" t="s">
        <v>1156</v>
      </c>
      <c r="E10" s="27" t="s">
        <v>71</v>
      </c>
      <c r="F10" s="27" t="s">
        <v>200</v>
      </c>
      <c r="G10" s="27">
        <v>326.81529999999998</v>
      </c>
      <c r="H10" s="27">
        <v>353.34800000000001</v>
      </c>
      <c r="I10" s="27">
        <v>378.2944</v>
      </c>
      <c r="J10" s="27">
        <v>362.15469999999999</v>
      </c>
      <c r="K10" s="27" t="s">
        <v>200</v>
      </c>
      <c r="L10" s="27" t="s">
        <v>200</v>
      </c>
      <c r="M10" s="27" t="s">
        <v>200</v>
      </c>
      <c r="N10" s="27" t="s">
        <v>200</v>
      </c>
      <c r="O10" s="27">
        <v>260.72660000000002</v>
      </c>
      <c r="P10" s="27">
        <v>213.31700000000001</v>
      </c>
      <c r="Q10" s="27">
        <v>176.01349999999999</v>
      </c>
      <c r="R10" s="27">
        <v>140.12219999999999</v>
      </c>
      <c r="S10" s="27">
        <v>110.2149</v>
      </c>
      <c r="T10" s="27">
        <v>83.536699999999996</v>
      </c>
      <c r="U10" s="27">
        <v>79.676699999999997</v>
      </c>
      <c r="V10" s="27">
        <v>76.385499999999993</v>
      </c>
      <c r="W10" s="27" t="s">
        <v>200</v>
      </c>
      <c r="X10" s="27">
        <v>69.123999999999995</v>
      </c>
      <c r="Y10" s="27" t="s">
        <v>200</v>
      </c>
      <c r="Z10" s="27">
        <v>63.665199999999999</v>
      </c>
      <c r="AA10" s="27" t="s">
        <v>200</v>
      </c>
      <c r="AB10" s="27">
        <v>59.5901</v>
      </c>
      <c r="AC10" s="27" t="s">
        <v>200</v>
      </c>
      <c r="AD10" s="27">
        <v>53.015000000000001</v>
      </c>
    </row>
    <row r="11" spans="1:30">
      <c r="A11" s="27" t="s">
        <v>214</v>
      </c>
      <c r="B11" s="27" t="s">
        <v>215</v>
      </c>
      <c r="C11" s="27" t="s">
        <v>198</v>
      </c>
      <c r="D11" s="27" t="s">
        <v>1156</v>
      </c>
      <c r="E11" s="27" t="s">
        <v>71</v>
      </c>
      <c r="F11" s="27" t="s">
        <v>200</v>
      </c>
      <c r="G11" s="27">
        <v>342.80758272600002</v>
      </c>
      <c r="H11" s="27">
        <v>368.28881618999998</v>
      </c>
      <c r="I11" s="27" t="s">
        <v>200</v>
      </c>
      <c r="J11" s="27">
        <v>342.13504245000001</v>
      </c>
      <c r="K11" s="27" t="s">
        <v>200</v>
      </c>
      <c r="L11" s="27" t="s">
        <v>200</v>
      </c>
      <c r="M11" s="27" t="s">
        <v>200</v>
      </c>
      <c r="N11" s="27" t="s">
        <v>200</v>
      </c>
      <c r="O11" s="27" t="s">
        <v>200</v>
      </c>
      <c r="P11" s="27">
        <v>277.94039228899999</v>
      </c>
      <c r="Q11" s="27" t="s">
        <v>200</v>
      </c>
      <c r="R11" s="27">
        <v>256.74898152499998</v>
      </c>
      <c r="S11" s="27" t="s">
        <v>200</v>
      </c>
      <c r="T11" s="27">
        <v>222.86617085399999</v>
      </c>
      <c r="U11" s="27" t="s">
        <v>200</v>
      </c>
      <c r="V11" s="27">
        <v>194.88731964499999</v>
      </c>
      <c r="W11" s="27" t="s">
        <v>200</v>
      </c>
      <c r="X11" s="27">
        <v>167.98665125100001</v>
      </c>
      <c r="Y11" s="27" t="s">
        <v>200</v>
      </c>
      <c r="Z11" s="27">
        <v>152.46071735500001</v>
      </c>
      <c r="AA11" s="27" t="s">
        <v>200</v>
      </c>
      <c r="AB11" s="27">
        <v>138.88064635999999</v>
      </c>
      <c r="AC11" s="27" t="s">
        <v>200</v>
      </c>
      <c r="AD11" s="27">
        <v>125.42248721847</v>
      </c>
    </row>
    <row r="12" spans="1:30">
      <c r="A12" s="27" t="s">
        <v>216</v>
      </c>
      <c r="B12" s="27" t="s">
        <v>217</v>
      </c>
      <c r="C12" s="27" t="s">
        <v>198</v>
      </c>
      <c r="D12" s="27" t="s">
        <v>1156</v>
      </c>
      <c r="E12" s="27" t="s">
        <v>71</v>
      </c>
      <c r="F12" s="27">
        <v>308.99925350927799</v>
      </c>
      <c r="G12" s="27">
        <v>334.381027503827</v>
      </c>
      <c r="H12" s="27">
        <v>333.66154451874701</v>
      </c>
      <c r="I12" s="27">
        <v>343.75284426806599</v>
      </c>
      <c r="J12" s="27">
        <v>342.91211067771098</v>
      </c>
      <c r="K12" s="27">
        <v>311.15460281548701</v>
      </c>
      <c r="L12" s="27">
        <v>294.33215182948902</v>
      </c>
      <c r="M12" s="27">
        <v>282.646097506106</v>
      </c>
      <c r="N12" s="27">
        <v>272.17493138569802</v>
      </c>
      <c r="O12" s="27">
        <v>266.15194487976697</v>
      </c>
      <c r="P12" s="27">
        <v>218.07939719266599</v>
      </c>
      <c r="Q12" s="27">
        <v>196.59154141156901</v>
      </c>
      <c r="R12" s="27">
        <v>177.41695532124399</v>
      </c>
      <c r="S12" s="27">
        <v>161.00013665165901</v>
      </c>
      <c r="T12" s="27">
        <v>146.29769541883601</v>
      </c>
      <c r="U12" s="27">
        <v>138.413448851613</v>
      </c>
      <c r="V12" s="27">
        <v>138.02868757639999</v>
      </c>
      <c r="W12" s="27" t="s">
        <v>200</v>
      </c>
      <c r="X12" s="27">
        <v>138.441031651553</v>
      </c>
      <c r="Y12" s="27" t="s">
        <v>200</v>
      </c>
      <c r="Z12" s="27">
        <v>136.698282500792</v>
      </c>
      <c r="AA12" s="27" t="s">
        <v>200</v>
      </c>
      <c r="AB12" s="27">
        <v>130.784020783682</v>
      </c>
      <c r="AC12" s="27" t="s">
        <v>200</v>
      </c>
      <c r="AD12" s="27">
        <v>126.000821210167</v>
      </c>
    </row>
    <row r="13" spans="1:30">
      <c r="A13" s="27" t="s">
        <v>218</v>
      </c>
      <c r="B13" s="27" t="s">
        <v>219</v>
      </c>
      <c r="C13" s="27" t="s">
        <v>198</v>
      </c>
      <c r="D13" s="27" t="s">
        <v>1156</v>
      </c>
      <c r="E13" s="27" t="s">
        <v>71</v>
      </c>
      <c r="F13" s="27" t="s">
        <v>200</v>
      </c>
      <c r="G13" s="27">
        <v>332.02449999999999</v>
      </c>
      <c r="H13" s="27">
        <v>377.02260000000001</v>
      </c>
      <c r="I13" s="27">
        <v>424.96280000000002</v>
      </c>
      <c r="J13" s="27">
        <v>404.22829999999999</v>
      </c>
      <c r="K13" s="27" t="s">
        <v>200</v>
      </c>
      <c r="L13" s="27" t="s">
        <v>200</v>
      </c>
      <c r="M13" s="27" t="s">
        <v>200</v>
      </c>
      <c r="N13" s="27" t="s">
        <v>200</v>
      </c>
      <c r="O13" s="27">
        <v>322.9083</v>
      </c>
      <c r="P13" s="27">
        <v>263.12630000000001</v>
      </c>
      <c r="Q13" s="27">
        <v>240.10740000000001</v>
      </c>
      <c r="R13" s="27">
        <v>229.5968</v>
      </c>
      <c r="S13" s="27">
        <v>222.37530000000001</v>
      </c>
      <c r="T13" s="27">
        <v>213.05240000000001</v>
      </c>
      <c r="U13" s="27">
        <v>214.9325</v>
      </c>
      <c r="V13" s="27">
        <v>214.31460000000001</v>
      </c>
      <c r="W13" s="27" t="s">
        <v>200</v>
      </c>
      <c r="X13" s="27">
        <v>209.3339</v>
      </c>
      <c r="Y13" s="27" t="s">
        <v>200</v>
      </c>
      <c r="Z13" s="27">
        <v>201.81010000000001</v>
      </c>
      <c r="AA13" s="27" t="s">
        <v>200</v>
      </c>
      <c r="AB13" s="27">
        <v>190.9194</v>
      </c>
      <c r="AC13" s="27" t="s">
        <v>200</v>
      </c>
      <c r="AD13" s="27">
        <v>175.38329999999999</v>
      </c>
    </row>
    <row r="14" spans="1:30">
      <c r="A14" s="27" t="s">
        <v>220</v>
      </c>
      <c r="B14" s="27" t="s">
        <v>221</v>
      </c>
      <c r="C14" s="27" t="s">
        <v>198</v>
      </c>
      <c r="D14" s="27" t="s">
        <v>1156</v>
      </c>
      <c r="E14" s="27" t="s">
        <v>71</v>
      </c>
      <c r="F14" s="27" t="s">
        <v>200</v>
      </c>
      <c r="G14" s="27">
        <v>347.23661825993798</v>
      </c>
      <c r="H14" s="27">
        <v>373.23103595582103</v>
      </c>
      <c r="I14" s="27" t="s">
        <v>200</v>
      </c>
      <c r="J14" s="27">
        <v>386.12284652398802</v>
      </c>
      <c r="K14" s="27" t="s">
        <v>200</v>
      </c>
      <c r="L14" s="27" t="s">
        <v>200</v>
      </c>
      <c r="M14" s="27" t="s">
        <v>200</v>
      </c>
      <c r="N14" s="27" t="s">
        <v>200</v>
      </c>
      <c r="O14" s="27" t="s">
        <v>200</v>
      </c>
      <c r="P14" s="27">
        <v>194.675622231586</v>
      </c>
      <c r="Q14" s="27" t="s">
        <v>200</v>
      </c>
      <c r="R14" s="27">
        <v>165.167122355457</v>
      </c>
      <c r="S14" s="27" t="s">
        <v>200</v>
      </c>
      <c r="T14" s="27">
        <v>143.46318661165799</v>
      </c>
      <c r="U14" s="27" t="s">
        <v>200</v>
      </c>
      <c r="V14" s="27">
        <v>130.62652746500601</v>
      </c>
      <c r="W14" s="27" t="s">
        <v>200</v>
      </c>
      <c r="X14" s="27">
        <v>121.467147571333</v>
      </c>
      <c r="Y14" s="27" t="s">
        <v>200</v>
      </c>
      <c r="Z14" s="27">
        <v>114.142754186934</v>
      </c>
      <c r="AA14" s="27" t="s">
        <v>200</v>
      </c>
      <c r="AB14" s="27">
        <v>108.14194276619401</v>
      </c>
      <c r="AC14" s="27" t="s">
        <v>200</v>
      </c>
      <c r="AD14" s="27">
        <v>101.824319867016</v>
      </c>
    </row>
    <row r="15" spans="1:30">
      <c r="A15" s="27" t="s">
        <v>222</v>
      </c>
      <c r="B15" s="27" t="s">
        <v>223</v>
      </c>
      <c r="C15" s="27" t="s">
        <v>198</v>
      </c>
      <c r="D15" s="27" t="s">
        <v>1156</v>
      </c>
      <c r="E15" s="27" t="s">
        <v>71</v>
      </c>
      <c r="F15" s="27" t="s">
        <v>200</v>
      </c>
      <c r="G15" s="27">
        <v>328.53399999999999</v>
      </c>
      <c r="H15" s="27">
        <v>358.7029</v>
      </c>
      <c r="I15" s="27">
        <v>388.63189999999997</v>
      </c>
      <c r="J15" s="27">
        <v>383.44080000000002</v>
      </c>
      <c r="K15" s="27" t="s">
        <v>200</v>
      </c>
      <c r="L15" s="27" t="s">
        <v>200</v>
      </c>
      <c r="M15" s="27" t="s">
        <v>200</v>
      </c>
      <c r="N15" s="27" t="s">
        <v>200</v>
      </c>
      <c r="O15" s="27">
        <v>302.05119999999999</v>
      </c>
      <c r="P15" s="27">
        <v>250.98949999999999</v>
      </c>
      <c r="Q15" s="27">
        <v>225.2064</v>
      </c>
      <c r="R15" s="27">
        <v>213.0787</v>
      </c>
      <c r="S15" s="27">
        <v>202.79640000000001</v>
      </c>
      <c r="T15" s="27">
        <v>193.4666</v>
      </c>
      <c r="U15" s="27">
        <v>193.10759999999999</v>
      </c>
      <c r="V15" s="27">
        <v>191.94919999999999</v>
      </c>
      <c r="W15" s="27" t="s">
        <v>200</v>
      </c>
      <c r="X15" s="27">
        <v>188.32159999999999</v>
      </c>
      <c r="Y15" s="27" t="s">
        <v>200</v>
      </c>
      <c r="Z15" s="27">
        <v>179.71950000000001</v>
      </c>
      <c r="AA15" s="27" t="s">
        <v>200</v>
      </c>
      <c r="AB15" s="27">
        <v>168.2277</v>
      </c>
      <c r="AC15" s="27" t="s">
        <v>200</v>
      </c>
      <c r="AD15" s="27">
        <v>161.68119999999999</v>
      </c>
    </row>
    <row r="16" spans="1:30">
      <c r="A16" s="27" t="s">
        <v>196</v>
      </c>
      <c r="B16" s="27" t="s">
        <v>224</v>
      </c>
      <c r="C16" s="27" t="s">
        <v>198</v>
      </c>
      <c r="D16" s="27" t="s">
        <v>1156</v>
      </c>
      <c r="E16" s="27" t="s">
        <v>71</v>
      </c>
      <c r="F16" s="27" t="s">
        <v>200</v>
      </c>
      <c r="G16" s="27">
        <v>326.81529999999998</v>
      </c>
      <c r="H16" s="27">
        <v>353.44600000000003</v>
      </c>
      <c r="I16" s="27">
        <v>378.26949999999999</v>
      </c>
      <c r="J16" s="27">
        <v>362.18650000000002</v>
      </c>
      <c r="K16" s="27" t="s">
        <v>200</v>
      </c>
      <c r="L16" s="27" t="s">
        <v>200</v>
      </c>
      <c r="M16" s="27" t="s">
        <v>200</v>
      </c>
      <c r="N16" s="27" t="s">
        <v>200</v>
      </c>
      <c r="O16" s="27">
        <v>286.28160000000003</v>
      </c>
      <c r="P16" s="27">
        <v>247.99860000000001</v>
      </c>
      <c r="Q16" s="27">
        <v>231.792</v>
      </c>
      <c r="R16" s="27">
        <v>221.3143</v>
      </c>
      <c r="S16" s="27">
        <v>211.60650000000001</v>
      </c>
      <c r="T16" s="27">
        <v>200.39930000000001</v>
      </c>
      <c r="U16" s="27">
        <v>199.22499999999999</v>
      </c>
      <c r="V16" s="27">
        <v>197.55019999999999</v>
      </c>
      <c r="W16" s="27" t="s">
        <v>200</v>
      </c>
      <c r="X16" s="27">
        <v>192.7628</v>
      </c>
      <c r="Y16" s="27" t="s">
        <v>200</v>
      </c>
      <c r="Z16" s="27">
        <v>182.93559999999999</v>
      </c>
      <c r="AA16" s="27" t="s">
        <v>200</v>
      </c>
      <c r="AB16" s="27">
        <v>170.29400000000001</v>
      </c>
      <c r="AC16" s="27" t="s">
        <v>200</v>
      </c>
      <c r="AD16" s="27">
        <v>162.67060000000001</v>
      </c>
    </row>
    <row r="17" spans="1:30">
      <c r="A17" s="27" t="s">
        <v>207</v>
      </c>
      <c r="B17" s="27" t="s">
        <v>225</v>
      </c>
      <c r="C17" s="27" t="s">
        <v>198</v>
      </c>
      <c r="D17" s="27" t="s">
        <v>1156</v>
      </c>
      <c r="E17" s="27" t="s">
        <v>71</v>
      </c>
      <c r="F17" s="27">
        <v>308.99925350927839</v>
      </c>
      <c r="G17" s="27">
        <v>334.38102750382672</v>
      </c>
      <c r="H17" s="27">
        <v>333.66154451874712</v>
      </c>
      <c r="I17" s="27">
        <v>343.75284426806581</v>
      </c>
      <c r="J17" s="27">
        <v>352.26543337298511</v>
      </c>
      <c r="K17" s="27" t="s">
        <v>200</v>
      </c>
      <c r="L17" s="27" t="s">
        <v>200</v>
      </c>
      <c r="M17" s="27" t="s">
        <v>200</v>
      </c>
      <c r="N17" s="27" t="s">
        <v>200</v>
      </c>
      <c r="O17" s="27">
        <v>274.65343778296801</v>
      </c>
      <c r="P17" s="27">
        <v>227.9781681686965</v>
      </c>
      <c r="Q17" s="27">
        <v>208.11088488162821</v>
      </c>
      <c r="R17" s="27">
        <v>188.92145170034681</v>
      </c>
      <c r="S17" s="27">
        <v>169.8670087982872</v>
      </c>
      <c r="T17" s="27">
        <v>153.4901829617252</v>
      </c>
      <c r="U17" s="27">
        <v>144.37929323346651</v>
      </c>
      <c r="V17" s="27">
        <v>139.71889340566659</v>
      </c>
      <c r="W17" s="27" t="s">
        <v>200</v>
      </c>
      <c r="X17" s="27">
        <v>137.67373617975781</v>
      </c>
      <c r="Y17" s="27" t="s">
        <v>200</v>
      </c>
      <c r="Z17" s="27">
        <v>136.0172877296003</v>
      </c>
      <c r="AA17" s="27" t="s">
        <v>200</v>
      </c>
      <c r="AB17" s="27">
        <v>131.06015051244671</v>
      </c>
      <c r="AC17" s="27" t="s">
        <v>200</v>
      </c>
      <c r="AD17" s="27">
        <v>126.81797822969391</v>
      </c>
    </row>
    <row r="18" spans="1:30">
      <c r="A18" s="27" t="s">
        <v>226</v>
      </c>
      <c r="B18" s="27" t="s">
        <v>227</v>
      </c>
      <c r="C18" s="27" t="s">
        <v>198</v>
      </c>
      <c r="D18" s="27" t="s">
        <v>1156</v>
      </c>
      <c r="E18" s="27" t="s">
        <v>71</v>
      </c>
      <c r="F18" s="27" t="s">
        <v>200</v>
      </c>
      <c r="G18" s="27">
        <v>332.14569999999998</v>
      </c>
      <c r="H18" s="27">
        <v>371.13760000000002</v>
      </c>
      <c r="I18" s="27">
        <v>413.79059999999998</v>
      </c>
      <c r="J18" s="27">
        <v>411.65719999999999</v>
      </c>
      <c r="K18" s="27" t="s">
        <v>200</v>
      </c>
      <c r="L18" s="27" t="s">
        <v>200</v>
      </c>
      <c r="M18" s="27" t="s">
        <v>200</v>
      </c>
      <c r="N18" s="27" t="s">
        <v>200</v>
      </c>
      <c r="O18" s="27">
        <v>324.0127</v>
      </c>
      <c r="P18" s="27">
        <v>282.46780000000001</v>
      </c>
      <c r="Q18" s="27">
        <v>243.16650000000001</v>
      </c>
      <c r="R18" s="27">
        <v>237.5224</v>
      </c>
      <c r="S18" s="27">
        <v>218.44460000000001</v>
      </c>
      <c r="T18" s="27">
        <v>213.9768</v>
      </c>
      <c r="U18" s="27">
        <v>204.1686</v>
      </c>
      <c r="V18" s="27">
        <v>202.4092</v>
      </c>
      <c r="W18" s="27" t="s">
        <v>200</v>
      </c>
      <c r="X18" s="27">
        <v>194.31049999999999</v>
      </c>
      <c r="Y18" s="27" t="s">
        <v>200</v>
      </c>
      <c r="Z18" s="27">
        <v>185.4504</v>
      </c>
      <c r="AA18" s="27" t="s">
        <v>200</v>
      </c>
      <c r="AB18" s="27">
        <v>172.37360000000001</v>
      </c>
      <c r="AC18" s="27" t="s">
        <v>200</v>
      </c>
      <c r="AD18" s="27">
        <v>154.31790000000001</v>
      </c>
    </row>
    <row r="19" spans="1:30">
      <c r="A19" s="27" t="s">
        <v>226</v>
      </c>
      <c r="B19" s="27" t="s">
        <v>228</v>
      </c>
      <c r="C19" s="27" t="s">
        <v>198</v>
      </c>
      <c r="D19" s="27" t="s">
        <v>1156</v>
      </c>
      <c r="E19" s="27" t="s">
        <v>71</v>
      </c>
      <c r="F19" s="27" t="s">
        <v>200</v>
      </c>
      <c r="G19" s="27">
        <v>332.1035</v>
      </c>
      <c r="H19" s="27">
        <v>371.11829999999998</v>
      </c>
      <c r="I19" s="27">
        <v>413.31630000000001</v>
      </c>
      <c r="J19" s="27">
        <v>412.65120000000002</v>
      </c>
      <c r="K19" s="27" t="s">
        <v>200</v>
      </c>
      <c r="L19" s="27" t="s">
        <v>200</v>
      </c>
      <c r="M19" s="27" t="s">
        <v>200</v>
      </c>
      <c r="N19" s="27" t="s">
        <v>200</v>
      </c>
      <c r="O19" s="27">
        <v>324.10379999999998</v>
      </c>
      <c r="P19" s="27">
        <v>282.25200000000001</v>
      </c>
      <c r="Q19" s="27">
        <v>243.28790000000001</v>
      </c>
      <c r="R19" s="27">
        <v>238.0231</v>
      </c>
      <c r="S19" s="27">
        <v>218.7594</v>
      </c>
      <c r="T19" s="27">
        <v>213.99969999999999</v>
      </c>
      <c r="U19" s="27">
        <v>203.86449999999999</v>
      </c>
      <c r="V19" s="27">
        <v>201.65639999999999</v>
      </c>
      <c r="W19" s="27" t="s">
        <v>200</v>
      </c>
      <c r="X19" s="27">
        <v>193.37180000000001</v>
      </c>
      <c r="Y19" s="27" t="s">
        <v>200</v>
      </c>
      <c r="Z19" s="27">
        <v>184.99760000000001</v>
      </c>
      <c r="AA19" s="27" t="s">
        <v>200</v>
      </c>
      <c r="AB19" s="27">
        <v>171.74789999999999</v>
      </c>
      <c r="AC19" s="27" t="s">
        <v>200</v>
      </c>
      <c r="AD19" s="27">
        <v>153.99019999999999</v>
      </c>
    </row>
    <row r="20" spans="1:30">
      <c r="A20" s="27" t="s">
        <v>207</v>
      </c>
      <c r="B20" s="27" t="s">
        <v>229</v>
      </c>
      <c r="C20" s="27" t="s">
        <v>198</v>
      </c>
      <c r="D20" s="27" t="s">
        <v>1156</v>
      </c>
      <c r="E20" s="27" t="s">
        <v>71</v>
      </c>
      <c r="F20" s="27">
        <v>308.99925350927839</v>
      </c>
      <c r="G20" s="27">
        <v>334.38102750382672</v>
      </c>
      <c r="H20" s="27">
        <v>333.66154451874712</v>
      </c>
      <c r="I20" s="27">
        <v>343.75284426806581</v>
      </c>
      <c r="J20" s="27">
        <v>351.72848628741713</v>
      </c>
      <c r="K20" s="27" t="s">
        <v>200</v>
      </c>
      <c r="L20" s="27" t="s">
        <v>200</v>
      </c>
      <c r="M20" s="27" t="s">
        <v>200</v>
      </c>
      <c r="N20" s="27" t="s">
        <v>200</v>
      </c>
      <c r="O20" s="27">
        <v>271.57714669035641</v>
      </c>
      <c r="P20" s="27">
        <v>228.09645049667901</v>
      </c>
      <c r="Q20" s="27">
        <v>207.26492242400829</v>
      </c>
      <c r="R20" s="27">
        <v>187.98836697735561</v>
      </c>
      <c r="S20" s="27">
        <v>168.56837217118121</v>
      </c>
      <c r="T20" s="27">
        <v>151.93779463669861</v>
      </c>
      <c r="U20" s="27">
        <v>142.77014778203551</v>
      </c>
      <c r="V20" s="27">
        <v>138.27778084646721</v>
      </c>
      <c r="W20" s="27" t="s">
        <v>200</v>
      </c>
      <c r="X20" s="27">
        <v>137.96605715160021</v>
      </c>
      <c r="Y20" s="27" t="s">
        <v>200</v>
      </c>
      <c r="Z20" s="27">
        <v>136.24005632529651</v>
      </c>
      <c r="AA20" s="27" t="s">
        <v>200</v>
      </c>
      <c r="AB20" s="27">
        <v>131.33720967007801</v>
      </c>
      <c r="AC20" s="27" t="s">
        <v>200</v>
      </c>
      <c r="AD20" s="27">
        <v>126.6377816536265</v>
      </c>
    </row>
    <row r="21" spans="1:30">
      <c r="A21" s="27" t="s">
        <v>207</v>
      </c>
      <c r="B21" s="27" t="s">
        <v>230</v>
      </c>
      <c r="C21" s="27" t="s">
        <v>198</v>
      </c>
      <c r="D21" s="27" t="s">
        <v>1156</v>
      </c>
      <c r="E21" s="27" t="s">
        <v>71</v>
      </c>
      <c r="F21" s="27">
        <v>308.99925350927839</v>
      </c>
      <c r="G21" s="27">
        <v>334.38102750382672</v>
      </c>
      <c r="H21" s="27">
        <v>333.66154451874712</v>
      </c>
      <c r="I21" s="27">
        <v>343.75284426806581</v>
      </c>
      <c r="J21" s="27">
        <v>352.18172521728991</v>
      </c>
      <c r="K21" s="27" t="s">
        <v>200</v>
      </c>
      <c r="L21" s="27" t="s">
        <v>200</v>
      </c>
      <c r="M21" s="27" t="s">
        <v>200</v>
      </c>
      <c r="N21" s="27" t="s">
        <v>200</v>
      </c>
      <c r="O21" s="27">
        <v>259.46285066279881</v>
      </c>
      <c r="P21" s="27">
        <v>208.33304671912089</v>
      </c>
      <c r="Q21" s="27">
        <v>185.8665837124293</v>
      </c>
      <c r="R21" s="27">
        <v>165.06409586940569</v>
      </c>
      <c r="S21" s="27">
        <v>146.49751652492469</v>
      </c>
      <c r="T21" s="27">
        <v>132.5693730339427</v>
      </c>
      <c r="U21" s="27">
        <v>130.47640908462321</v>
      </c>
      <c r="V21" s="27">
        <v>131.21094830986581</v>
      </c>
      <c r="W21" s="27" t="s">
        <v>200</v>
      </c>
      <c r="X21" s="27">
        <v>136.31922703442359</v>
      </c>
      <c r="Y21" s="27" t="s">
        <v>200</v>
      </c>
      <c r="Z21" s="27">
        <v>139.13339112816141</v>
      </c>
      <c r="AA21" s="27" t="s">
        <v>200</v>
      </c>
      <c r="AB21" s="27">
        <v>133.5138703161594</v>
      </c>
      <c r="AC21" s="27" t="s">
        <v>200</v>
      </c>
      <c r="AD21" s="27">
        <v>128.51275658936501</v>
      </c>
    </row>
    <row r="22" spans="1:30">
      <c r="A22" s="27" t="s">
        <v>231</v>
      </c>
      <c r="B22" s="27" t="s">
        <v>232</v>
      </c>
      <c r="C22" s="27" t="s">
        <v>198</v>
      </c>
      <c r="D22" s="27" t="s">
        <v>1156</v>
      </c>
      <c r="E22" s="27" t="s">
        <v>71</v>
      </c>
      <c r="F22" s="27" t="s">
        <v>200</v>
      </c>
      <c r="G22" s="27">
        <v>299.754269100155</v>
      </c>
      <c r="H22" s="27">
        <v>320.30444569219401</v>
      </c>
      <c r="I22" s="27">
        <v>330.887818227433</v>
      </c>
      <c r="J22" s="27">
        <v>338.62602228113002</v>
      </c>
      <c r="K22" s="27" t="s">
        <v>200</v>
      </c>
      <c r="L22" s="27" t="s">
        <v>200</v>
      </c>
      <c r="M22" s="27" t="s">
        <v>200</v>
      </c>
      <c r="N22" s="27" t="s">
        <v>200</v>
      </c>
      <c r="O22" s="27">
        <v>274.00370032296701</v>
      </c>
      <c r="P22" s="27">
        <v>257.52821946457101</v>
      </c>
      <c r="Q22" s="27">
        <v>237.54132428516201</v>
      </c>
      <c r="R22" s="27">
        <v>246.07828258004</v>
      </c>
      <c r="S22" s="27">
        <v>250.576423526985</v>
      </c>
      <c r="T22" s="27">
        <v>254.86993366426501</v>
      </c>
      <c r="U22" s="27">
        <v>255.78403195863601</v>
      </c>
      <c r="V22" s="27">
        <v>256.992671784972</v>
      </c>
      <c r="W22" s="27">
        <v>257.99932939203597</v>
      </c>
      <c r="X22" s="27">
        <v>258.54184582370101</v>
      </c>
      <c r="Y22" s="27">
        <v>259.52686014427002</v>
      </c>
      <c r="Z22" s="27">
        <v>260.64313609745102</v>
      </c>
      <c r="AA22" s="27">
        <v>261.733461616478</v>
      </c>
      <c r="AB22" s="27">
        <v>262.27319892368598</v>
      </c>
      <c r="AC22" s="27">
        <v>262.20703729382598</v>
      </c>
      <c r="AD22" s="27">
        <v>261.58407972327097</v>
      </c>
    </row>
    <row r="23" spans="1:30">
      <c r="A23" s="27" t="s">
        <v>233</v>
      </c>
      <c r="B23" s="27" t="s">
        <v>224</v>
      </c>
      <c r="C23" s="27" t="s">
        <v>198</v>
      </c>
      <c r="D23" s="27" t="s">
        <v>1156</v>
      </c>
      <c r="E23" s="27" t="s">
        <v>71</v>
      </c>
      <c r="F23" s="27" t="s">
        <v>200</v>
      </c>
      <c r="G23" s="27" t="s">
        <v>200</v>
      </c>
      <c r="H23" s="27">
        <v>368.86917837439239</v>
      </c>
      <c r="I23" s="27">
        <v>372.66363645180007</v>
      </c>
      <c r="J23" s="27">
        <v>383.56181176362583</v>
      </c>
      <c r="K23" s="27" t="s">
        <v>200</v>
      </c>
      <c r="L23" s="27" t="s">
        <v>200</v>
      </c>
      <c r="M23" s="27" t="s">
        <v>200</v>
      </c>
      <c r="N23" s="27" t="s">
        <v>200</v>
      </c>
      <c r="O23" s="27">
        <v>189.40537941944939</v>
      </c>
      <c r="P23" s="27">
        <v>159.11443781855351</v>
      </c>
      <c r="Q23" s="27">
        <v>148.26929826755801</v>
      </c>
      <c r="R23" s="27">
        <v>144.77949482462461</v>
      </c>
      <c r="S23" s="27">
        <v>141.72344029666979</v>
      </c>
      <c r="T23" s="27">
        <v>139.4674122002119</v>
      </c>
      <c r="U23" s="27">
        <v>138.89657055528161</v>
      </c>
      <c r="V23" s="27">
        <v>138.2331814210396</v>
      </c>
      <c r="W23" s="27">
        <v>137.1100894761326</v>
      </c>
      <c r="X23" s="27">
        <v>135.59814756059009</v>
      </c>
      <c r="Y23" s="27">
        <v>133.60746879877121</v>
      </c>
      <c r="Z23" s="27">
        <v>131.53303780718349</v>
      </c>
      <c r="AA23" s="27">
        <v>128.81869654058769</v>
      </c>
      <c r="AB23" s="27">
        <v>125.85164845169859</v>
      </c>
      <c r="AC23" s="27">
        <v>123.1541033107565</v>
      </c>
      <c r="AD23" s="27">
        <v>120.3635053122932</v>
      </c>
    </row>
    <row r="24" spans="1:30">
      <c r="A24" s="27" t="s">
        <v>220</v>
      </c>
      <c r="B24" s="27" t="s">
        <v>215</v>
      </c>
      <c r="C24" s="27" t="s">
        <v>198</v>
      </c>
      <c r="D24" s="27" t="s">
        <v>1156</v>
      </c>
      <c r="E24" s="27" t="s">
        <v>71</v>
      </c>
      <c r="F24" s="27" t="s">
        <v>200</v>
      </c>
      <c r="G24" s="27">
        <v>347.23661825993798</v>
      </c>
      <c r="H24" s="27">
        <v>373.23103595582103</v>
      </c>
      <c r="I24" s="27" t="s">
        <v>200</v>
      </c>
      <c r="J24" s="27">
        <v>381.32621145388998</v>
      </c>
      <c r="K24" s="27" t="s">
        <v>200</v>
      </c>
      <c r="L24" s="27" t="s">
        <v>200</v>
      </c>
      <c r="M24" s="27" t="s">
        <v>200</v>
      </c>
      <c r="N24" s="27" t="s">
        <v>200</v>
      </c>
      <c r="O24" s="27" t="s">
        <v>200</v>
      </c>
      <c r="P24" s="27">
        <v>188.984869939817</v>
      </c>
      <c r="Q24" s="27" t="s">
        <v>200</v>
      </c>
      <c r="R24" s="27">
        <v>160.162617120818</v>
      </c>
      <c r="S24" s="27" t="s">
        <v>200</v>
      </c>
      <c r="T24" s="27">
        <v>138.91075667903499</v>
      </c>
      <c r="U24" s="27" t="s">
        <v>200</v>
      </c>
      <c r="V24" s="27">
        <v>128.97301744772699</v>
      </c>
      <c r="W24" s="27" t="s">
        <v>200</v>
      </c>
      <c r="X24" s="27">
        <v>121.148508939199</v>
      </c>
      <c r="Y24" s="27" t="s">
        <v>200</v>
      </c>
      <c r="Z24" s="27">
        <v>112.788015096552</v>
      </c>
      <c r="AA24" s="27" t="s">
        <v>200</v>
      </c>
      <c r="AB24" s="27">
        <v>105.894957716715</v>
      </c>
      <c r="AC24" s="27" t="s">
        <v>200</v>
      </c>
      <c r="AD24" s="27">
        <v>98.792636443047996</v>
      </c>
    </row>
    <row r="25" spans="1:30">
      <c r="A25" s="27" t="s">
        <v>226</v>
      </c>
      <c r="B25" s="27" t="s">
        <v>234</v>
      </c>
      <c r="C25" s="27" t="s">
        <v>198</v>
      </c>
      <c r="D25" s="27" t="s">
        <v>1156</v>
      </c>
      <c r="E25" s="27" t="s">
        <v>71</v>
      </c>
      <c r="F25" s="27" t="s">
        <v>200</v>
      </c>
      <c r="G25" s="27">
        <v>332.14569999999998</v>
      </c>
      <c r="H25" s="27">
        <v>371.13760000000002</v>
      </c>
      <c r="I25" s="27">
        <v>413.79059999999998</v>
      </c>
      <c r="J25" s="27">
        <v>411.65719999999999</v>
      </c>
      <c r="K25" s="27" t="s">
        <v>200</v>
      </c>
      <c r="L25" s="27" t="s">
        <v>200</v>
      </c>
      <c r="M25" s="27" t="s">
        <v>200</v>
      </c>
      <c r="N25" s="27" t="s">
        <v>200</v>
      </c>
      <c r="O25" s="27">
        <v>294.24950000000001</v>
      </c>
      <c r="P25" s="27">
        <v>247.7105</v>
      </c>
      <c r="Q25" s="27">
        <v>221.00800000000001</v>
      </c>
      <c r="R25" s="27">
        <v>221.24590000000001</v>
      </c>
      <c r="S25" s="27">
        <v>204.7157</v>
      </c>
      <c r="T25" s="27">
        <v>201.73269999999999</v>
      </c>
      <c r="U25" s="27">
        <v>192.96729999999999</v>
      </c>
      <c r="V25" s="27">
        <v>192.434</v>
      </c>
      <c r="W25" s="27" t="s">
        <v>200</v>
      </c>
      <c r="X25" s="27">
        <v>187.33160000000001</v>
      </c>
      <c r="Y25" s="27" t="s">
        <v>200</v>
      </c>
      <c r="Z25" s="27">
        <v>179.8022</v>
      </c>
      <c r="AA25" s="27" t="s">
        <v>200</v>
      </c>
      <c r="AB25" s="27">
        <v>167.4111</v>
      </c>
      <c r="AC25" s="27" t="s">
        <v>200</v>
      </c>
      <c r="AD25" s="27">
        <v>150.41130000000001</v>
      </c>
    </row>
    <row r="26" spans="1:30">
      <c r="A26" s="27" t="s">
        <v>216</v>
      </c>
      <c r="B26" s="27" t="s">
        <v>235</v>
      </c>
      <c r="C26" s="27" t="s">
        <v>198</v>
      </c>
      <c r="D26" s="27" t="s">
        <v>1156</v>
      </c>
      <c r="E26" s="27" t="s">
        <v>71</v>
      </c>
      <c r="F26" s="27">
        <v>308.99925350927799</v>
      </c>
      <c r="G26" s="27">
        <v>334.381027503827</v>
      </c>
      <c r="H26" s="27">
        <v>333.66154451874701</v>
      </c>
      <c r="I26" s="27">
        <v>343.75284426806599</v>
      </c>
      <c r="J26" s="27">
        <v>343.02727143944702</v>
      </c>
      <c r="K26" s="27">
        <v>311.37603816464502</v>
      </c>
      <c r="L26" s="27">
        <v>294.27856884415797</v>
      </c>
      <c r="M26" s="27">
        <v>282.26992808013898</v>
      </c>
      <c r="N26" s="27">
        <v>272.49281073340399</v>
      </c>
      <c r="O26" s="27">
        <v>265.82621415260002</v>
      </c>
      <c r="P26" s="27">
        <v>218.521349732261</v>
      </c>
      <c r="Q26" s="27">
        <v>197.59621393259999</v>
      </c>
      <c r="R26" s="27">
        <v>178.650912682457</v>
      </c>
      <c r="S26" s="27">
        <v>161.75738067243401</v>
      </c>
      <c r="T26" s="27">
        <v>146.58263440733199</v>
      </c>
      <c r="U26" s="27">
        <v>138.293817670734</v>
      </c>
      <c r="V26" s="27">
        <v>137.76392547357699</v>
      </c>
      <c r="W26" s="27" t="s">
        <v>200</v>
      </c>
      <c r="X26" s="27">
        <v>137.01870962658799</v>
      </c>
      <c r="Y26" s="27" t="s">
        <v>200</v>
      </c>
      <c r="Z26" s="27">
        <v>135.020878377316</v>
      </c>
      <c r="AA26" s="27" t="s">
        <v>200</v>
      </c>
      <c r="AB26" s="27">
        <v>129.18963299191199</v>
      </c>
      <c r="AC26" s="27" t="s">
        <v>200</v>
      </c>
      <c r="AD26" s="27">
        <v>124.359872232372</v>
      </c>
    </row>
    <row r="27" spans="1:30">
      <c r="A27" s="27" t="s">
        <v>196</v>
      </c>
      <c r="B27" s="27" t="s">
        <v>236</v>
      </c>
      <c r="C27" s="27" t="s">
        <v>198</v>
      </c>
      <c r="D27" s="27" t="s">
        <v>1156</v>
      </c>
      <c r="E27" s="27" t="s">
        <v>71</v>
      </c>
      <c r="F27" s="27" t="s">
        <v>200</v>
      </c>
      <c r="G27" s="27" t="s">
        <v>200</v>
      </c>
      <c r="H27" s="27">
        <v>354.2799</v>
      </c>
      <c r="I27" s="27">
        <v>382.7604</v>
      </c>
      <c r="J27" s="27">
        <v>361.52519999999998</v>
      </c>
      <c r="K27" s="27" t="s">
        <v>200</v>
      </c>
      <c r="L27" s="27" t="s">
        <v>200</v>
      </c>
      <c r="M27" s="27" t="s">
        <v>200</v>
      </c>
      <c r="N27" s="27" t="s">
        <v>200</v>
      </c>
      <c r="O27" s="27">
        <v>266.30970000000002</v>
      </c>
      <c r="P27" s="27">
        <v>238.792</v>
      </c>
      <c r="Q27" s="27">
        <v>222.88409999999999</v>
      </c>
      <c r="R27" s="27">
        <v>213.7174</v>
      </c>
      <c r="S27" s="27">
        <v>205.61089999999999</v>
      </c>
      <c r="T27" s="27">
        <v>196.76650000000001</v>
      </c>
      <c r="U27" s="27">
        <v>196.93170000000001</v>
      </c>
      <c r="V27" s="27">
        <v>196.06139999999999</v>
      </c>
      <c r="W27" s="27" t="s">
        <v>200</v>
      </c>
      <c r="X27" s="27">
        <v>191.7603</v>
      </c>
      <c r="Y27" s="27" t="s">
        <v>200</v>
      </c>
      <c r="Z27" s="27">
        <v>182.68780000000001</v>
      </c>
      <c r="AA27" s="27" t="s">
        <v>200</v>
      </c>
      <c r="AB27" s="27">
        <v>170.4529</v>
      </c>
      <c r="AC27" s="27" t="s">
        <v>200</v>
      </c>
      <c r="AD27" s="27">
        <v>163.12090000000001</v>
      </c>
    </row>
    <row r="28" spans="1:30">
      <c r="A28" s="27" t="s">
        <v>231</v>
      </c>
      <c r="B28" s="27" t="s">
        <v>237</v>
      </c>
      <c r="C28" s="27" t="s">
        <v>198</v>
      </c>
      <c r="D28" s="27" t="s">
        <v>1156</v>
      </c>
      <c r="E28" s="27" t="s">
        <v>71</v>
      </c>
      <c r="F28" s="27" t="s">
        <v>200</v>
      </c>
      <c r="G28" s="27">
        <v>299.754269100155</v>
      </c>
      <c r="H28" s="27">
        <v>320.30444569219401</v>
      </c>
      <c r="I28" s="27">
        <v>330.887818227433</v>
      </c>
      <c r="J28" s="27">
        <v>338.62602228113002</v>
      </c>
      <c r="K28" s="27" t="s">
        <v>200</v>
      </c>
      <c r="L28" s="27" t="s">
        <v>200</v>
      </c>
      <c r="M28" s="27" t="s">
        <v>200</v>
      </c>
      <c r="N28" s="27" t="s">
        <v>200</v>
      </c>
      <c r="O28" s="27">
        <v>287.76547415586498</v>
      </c>
      <c r="P28" s="27">
        <v>279.79527183937802</v>
      </c>
      <c r="Q28" s="27">
        <v>270.88474245256401</v>
      </c>
      <c r="R28" s="27">
        <v>264.03904894980701</v>
      </c>
      <c r="S28" s="27">
        <v>250.136360608762</v>
      </c>
      <c r="T28" s="27">
        <v>254.88294330221899</v>
      </c>
      <c r="U28" s="27">
        <v>255.538049994782</v>
      </c>
      <c r="V28" s="27">
        <v>256.74427976273302</v>
      </c>
      <c r="W28" s="27">
        <v>257.84802789059501</v>
      </c>
      <c r="X28" s="27">
        <v>258.77485573194798</v>
      </c>
      <c r="Y28" s="27">
        <v>259.94364798320299</v>
      </c>
      <c r="Z28" s="27">
        <v>260.87844252513298</v>
      </c>
      <c r="AA28" s="27">
        <v>261.525248985254</v>
      </c>
      <c r="AB28" s="27">
        <v>261.62851530780603</v>
      </c>
      <c r="AC28" s="27">
        <v>261.44731704568102</v>
      </c>
      <c r="AD28" s="27">
        <v>260.22283494218902</v>
      </c>
    </row>
    <row r="29" spans="1:30">
      <c r="A29" s="27" t="s">
        <v>233</v>
      </c>
      <c r="B29" s="27" t="s">
        <v>238</v>
      </c>
      <c r="C29" s="27" t="s">
        <v>198</v>
      </c>
      <c r="D29" s="27" t="s">
        <v>1156</v>
      </c>
      <c r="E29" s="27" t="s">
        <v>71</v>
      </c>
      <c r="F29" s="27" t="s">
        <v>200</v>
      </c>
      <c r="G29" s="27" t="s">
        <v>200</v>
      </c>
      <c r="H29" s="27">
        <v>368.86917837439239</v>
      </c>
      <c r="I29" s="27">
        <v>372.66363645180007</v>
      </c>
      <c r="J29" s="27">
        <v>383.56181176362583</v>
      </c>
      <c r="K29" s="27" t="s">
        <v>200</v>
      </c>
      <c r="L29" s="27" t="s">
        <v>200</v>
      </c>
      <c r="M29" s="27" t="s">
        <v>200</v>
      </c>
      <c r="N29" s="27" t="s">
        <v>200</v>
      </c>
      <c r="O29" s="27">
        <v>191.5849125904941</v>
      </c>
      <c r="P29" s="27">
        <v>161.72419699887089</v>
      </c>
      <c r="Q29" s="27">
        <v>148.86613919962349</v>
      </c>
      <c r="R29" s="27">
        <v>145.35577501967529</v>
      </c>
      <c r="S29" s="27">
        <v>142.30097731362901</v>
      </c>
      <c r="T29" s="27">
        <v>139.91595840945831</v>
      </c>
      <c r="U29" s="27">
        <v>139.2344888824872</v>
      </c>
      <c r="V29" s="27">
        <v>138.5258351986522</v>
      </c>
      <c r="W29" s="27">
        <v>137.49559594070971</v>
      </c>
      <c r="X29" s="27">
        <v>136.17038026088301</v>
      </c>
      <c r="Y29" s="27">
        <v>134.51142044505039</v>
      </c>
      <c r="Z29" s="27">
        <v>131.94529113162659</v>
      </c>
      <c r="AA29" s="27">
        <v>129.21574881840871</v>
      </c>
      <c r="AB29" s="27">
        <v>126.27692392555829</v>
      </c>
      <c r="AC29" s="27">
        <v>123.5925678430056</v>
      </c>
      <c r="AD29" s="27">
        <v>120.5835608733048</v>
      </c>
    </row>
    <row r="30" spans="1:30">
      <c r="A30" s="27" t="s">
        <v>239</v>
      </c>
      <c r="B30" s="27" t="s">
        <v>240</v>
      </c>
      <c r="C30" s="27" t="s">
        <v>198</v>
      </c>
      <c r="D30" s="27" t="s">
        <v>1156</v>
      </c>
      <c r="E30" s="27" t="s">
        <v>71</v>
      </c>
      <c r="F30" s="27" t="s">
        <v>200</v>
      </c>
      <c r="G30" s="27">
        <v>333.46460000000002</v>
      </c>
      <c r="H30" s="27">
        <v>369.83769999999998</v>
      </c>
      <c r="I30" s="27" t="s">
        <v>200</v>
      </c>
      <c r="J30" s="27">
        <v>375.15339999999998</v>
      </c>
      <c r="K30" s="27" t="s">
        <v>200</v>
      </c>
      <c r="L30" s="27" t="s">
        <v>200</v>
      </c>
      <c r="M30" s="27" t="s">
        <v>200</v>
      </c>
      <c r="N30" s="27" t="s">
        <v>200</v>
      </c>
      <c r="O30" s="27" t="s">
        <v>200</v>
      </c>
      <c r="P30" s="27">
        <v>259.88350000000003</v>
      </c>
      <c r="Q30" s="27" t="s">
        <v>200</v>
      </c>
      <c r="R30" s="27">
        <v>217.50040000000001</v>
      </c>
      <c r="S30" s="27" t="s">
        <v>200</v>
      </c>
      <c r="T30" s="27">
        <v>197.279</v>
      </c>
      <c r="U30" s="27" t="s">
        <v>200</v>
      </c>
      <c r="V30" s="27">
        <v>188.0729</v>
      </c>
      <c r="W30" s="27" t="s">
        <v>200</v>
      </c>
      <c r="X30" s="27">
        <v>184.18119999999999</v>
      </c>
      <c r="Y30" s="27" t="s">
        <v>200</v>
      </c>
      <c r="Z30" s="27">
        <v>176.50569999999999</v>
      </c>
      <c r="AA30" s="27" t="s">
        <v>200</v>
      </c>
      <c r="AB30" s="27">
        <v>161.27189999999999</v>
      </c>
      <c r="AC30" s="27" t="s">
        <v>200</v>
      </c>
      <c r="AD30" s="27">
        <v>144.43109999999999</v>
      </c>
    </row>
    <row r="31" spans="1:30">
      <c r="A31" s="27" t="s">
        <v>207</v>
      </c>
      <c r="B31" s="27" t="s">
        <v>241</v>
      </c>
      <c r="C31" s="27" t="s">
        <v>198</v>
      </c>
      <c r="D31" s="27" t="s">
        <v>1156</v>
      </c>
      <c r="E31" s="27" t="s">
        <v>71</v>
      </c>
      <c r="F31" s="27">
        <v>308.99925350927839</v>
      </c>
      <c r="G31" s="27">
        <v>334.38102750382672</v>
      </c>
      <c r="H31" s="27">
        <v>333.66154451874712</v>
      </c>
      <c r="I31" s="27">
        <v>343.75284426806581</v>
      </c>
      <c r="J31" s="27">
        <v>351.65127042255051</v>
      </c>
      <c r="K31" s="27" t="s">
        <v>200</v>
      </c>
      <c r="L31" s="27" t="s">
        <v>200</v>
      </c>
      <c r="M31" s="27" t="s">
        <v>200</v>
      </c>
      <c r="N31" s="27" t="s">
        <v>200</v>
      </c>
      <c r="O31" s="27">
        <v>275.91202785418108</v>
      </c>
      <c r="P31" s="27">
        <v>229.6354525702902</v>
      </c>
      <c r="Q31" s="27">
        <v>206.80817521623661</v>
      </c>
      <c r="R31" s="27">
        <v>187.05256426190351</v>
      </c>
      <c r="S31" s="27">
        <v>167.08229722841381</v>
      </c>
      <c r="T31" s="27">
        <v>150.48707273832349</v>
      </c>
      <c r="U31" s="27">
        <v>141.2789276832535</v>
      </c>
      <c r="V31" s="27">
        <v>136.59393983961851</v>
      </c>
      <c r="W31" s="27" t="s">
        <v>200</v>
      </c>
      <c r="X31" s="27">
        <v>137.0905678034724</v>
      </c>
      <c r="Y31" s="27" t="s">
        <v>200</v>
      </c>
      <c r="Z31" s="27">
        <v>136.75802525288569</v>
      </c>
      <c r="AA31" s="27" t="s">
        <v>200</v>
      </c>
      <c r="AB31" s="27">
        <v>130.96828213626841</v>
      </c>
      <c r="AC31" s="27" t="s">
        <v>200</v>
      </c>
      <c r="AD31" s="27">
        <v>125.36228740342349</v>
      </c>
    </row>
    <row r="32" spans="1:30">
      <c r="A32" s="27" t="s">
        <v>242</v>
      </c>
      <c r="B32" s="27" t="s">
        <v>243</v>
      </c>
      <c r="C32" s="27" t="s">
        <v>198</v>
      </c>
      <c r="D32" s="27" t="s">
        <v>1156</v>
      </c>
      <c r="E32" s="27" t="s">
        <v>71</v>
      </c>
      <c r="F32" s="27" t="s">
        <v>200</v>
      </c>
      <c r="G32" s="27">
        <v>343.34956430971801</v>
      </c>
      <c r="H32" s="27">
        <v>356.80215437015897</v>
      </c>
      <c r="I32" s="27">
        <v>371.21468507369201</v>
      </c>
      <c r="J32" s="27">
        <v>385.894549423184</v>
      </c>
      <c r="K32" s="27" t="s">
        <v>200</v>
      </c>
      <c r="L32" s="27" t="s">
        <v>200</v>
      </c>
      <c r="M32" s="27" t="s">
        <v>200</v>
      </c>
      <c r="N32" s="27" t="s">
        <v>200</v>
      </c>
      <c r="O32" s="27">
        <v>174.33288440645299</v>
      </c>
      <c r="P32" s="27">
        <v>147.93700434527301</v>
      </c>
      <c r="Q32" s="27">
        <v>139.17943894622701</v>
      </c>
      <c r="R32" s="27">
        <v>133.33391789347201</v>
      </c>
      <c r="S32" s="27">
        <v>128.186806568626</v>
      </c>
      <c r="T32" s="27">
        <v>122.481167628414</v>
      </c>
      <c r="U32" s="27" t="s">
        <v>200</v>
      </c>
      <c r="V32" s="27">
        <v>116.38613280387401</v>
      </c>
      <c r="W32" s="27" t="s">
        <v>200</v>
      </c>
      <c r="X32" s="27">
        <v>108.718723811416</v>
      </c>
      <c r="Y32" s="27" t="s">
        <v>200</v>
      </c>
      <c r="Z32" s="27">
        <v>97.662055696860676</v>
      </c>
      <c r="AA32" s="27" t="s">
        <v>200</v>
      </c>
      <c r="AB32" s="27">
        <v>90.9452777877176</v>
      </c>
      <c r="AC32" s="27" t="s">
        <v>200</v>
      </c>
      <c r="AD32" s="27">
        <v>85.3154226005922</v>
      </c>
    </row>
    <row r="33" spans="1:30">
      <c r="A33" s="27" t="s">
        <v>244</v>
      </c>
      <c r="B33" s="27" t="s">
        <v>202</v>
      </c>
      <c r="C33" s="27" t="s">
        <v>198</v>
      </c>
      <c r="D33" s="27" t="s">
        <v>1156</v>
      </c>
      <c r="E33" s="27" t="s">
        <v>71</v>
      </c>
      <c r="F33" s="27" t="s">
        <v>200</v>
      </c>
      <c r="G33" s="27" t="s">
        <v>200</v>
      </c>
      <c r="H33" s="27" t="s">
        <v>200</v>
      </c>
      <c r="I33" s="27">
        <v>375.22259951814982</v>
      </c>
      <c r="J33" s="27">
        <v>380.12375011745593</v>
      </c>
      <c r="K33" s="27" t="s">
        <v>200</v>
      </c>
      <c r="L33" s="27" t="s">
        <v>200</v>
      </c>
      <c r="M33" s="27" t="s">
        <v>200</v>
      </c>
      <c r="N33" s="27" t="s">
        <v>200</v>
      </c>
      <c r="O33" s="27">
        <v>321.415622993601</v>
      </c>
      <c r="P33" s="27">
        <v>296.75007721998202</v>
      </c>
      <c r="Q33" s="27">
        <v>247.44494590596361</v>
      </c>
      <c r="R33" s="27">
        <v>201.58980077404809</v>
      </c>
      <c r="S33" s="27">
        <v>158.10132878458401</v>
      </c>
      <c r="T33" s="27">
        <v>141.25858647582771</v>
      </c>
      <c r="U33" s="27">
        <v>142.1708929271482</v>
      </c>
      <c r="V33" s="27">
        <v>150.80156958668019</v>
      </c>
      <c r="W33" s="27">
        <v>153.6476137902842</v>
      </c>
      <c r="X33" s="27">
        <v>157.7924524752967</v>
      </c>
      <c r="Y33" s="27">
        <v>166.2431607926658</v>
      </c>
      <c r="Z33" s="27">
        <v>169.7031413363232</v>
      </c>
      <c r="AA33" s="27">
        <v>172.7935543190921</v>
      </c>
      <c r="AB33" s="27">
        <v>174.11560503133811</v>
      </c>
      <c r="AC33" s="27">
        <v>173.9129254155761</v>
      </c>
      <c r="AD33" s="27">
        <v>172.36790534653591</v>
      </c>
    </row>
    <row r="34" spans="1:30">
      <c r="A34" s="27" t="s">
        <v>242</v>
      </c>
      <c r="B34" s="27" t="s">
        <v>245</v>
      </c>
      <c r="C34" s="27" t="s">
        <v>198</v>
      </c>
      <c r="D34" s="27" t="s">
        <v>1156</v>
      </c>
      <c r="E34" s="27" t="s">
        <v>71</v>
      </c>
      <c r="F34" s="27" t="s">
        <v>200</v>
      </c>
      <c r="G34" s="27">
        <v>343.34956430971801</v>
      </c>
      <c r="H34" s="27">
        <v>356.80215437015897</v>
      </c>
      <c r="I34" s="27">
        <v>371.21468507369201</v>
      </c>
      <c r="J34" s="27">
        <v>385.894549423184</v>
      </c>
      <c r="K34" s="27" t="s">
        <v>200</v>
      </c>
      <c r="L34" s="27" t="s">
        <v>200</v>
      </c>
      <c r="M34" s="27" t="s">
        <v>200</v>
      </c>
      <c r="N34" s="27" t="s">
        <v>200</v>
      </c>
      <c r="O34" s="27">
        <v>202.57234834930401</v>
      </c>
      <c r="P34" s="27">
        <v>167.684122298852</v>
      </c>
      <c r="Q34" s="27">
        <v>154.03516802990001</v>
      </c>
      <c r="R34" s="27">
        <v>146.832963388651</v>
      </c>
      <c r="S34" s="27">
        <v>139.73578704914999</v>
      </c>
      <c r="T34" s="27">
        <v>134.01348101364599</v>
      </c>
      <c r="U34" s="27" t="s">
        <v>200</v>
      </c>
      <c r="V34" s="27">
        <v>126.818995533189</v>
      </c>
      <c r="W34" s="27" t="s">
        <v>200</v>
      </c>
      <c r="X34" s="27">
        <v>117.27625005867</v>
      </c>
      <c r="Y34" s="27" t="s">
        <v>200</v>
      </c>
      <c r="Z34" s="27">
        <v>108.41919931690001</v>
      </c>
      <c r="AA34" s="27" t="s">
        <v>200</v>
      </c>
      <c r="AB34" s="27">
        <v>101.316752486353</v>
      </c>
      <c r="AC34" s="27" t="s">
        <v>200</v>
      </c>
      <c r="AD34" s="27">
        <v>86.716980427651905</v>
      </c>
    </row>
    <row r="35" spans="1:30">
      <c r="A35" s="27" t="s">
        <v>246</v>
      </c>
      <c r="B35" s="27" t="s">
        <v>243</v>
      </c>
      <c r="C35" s="27" t="s">
        <v>198</v>
      </c>
      <c r="D35" s="27" t="s">
        <v>1156</v>
      </c>
      <c r="E35" s="27" t="s">
        <v>71</v>
      </c>
      <c r="F35" s="27" t="s">
        <v>200</v>
      </c>
      <c r="G35" s="27">
        <v>344.03100000000001</v>
      </c>
      <c r="H35" s="27">
        <v>365.18810000000002</v>
      </c>
      <c r="I35" s="27">
        <v>376.58339999999998</v>
      </c>
      <c r="J35" s="27">
        <v>384.62599999999998</v>
      </c>
      <c r="K35" s="27" t="s">
        <v>200</v>
      </c>
      <c r="L35" s="27" t="s">
        <v>200</v>
      </c>
      <c r="M35" s="27" t="s">
        <v>200</v>
      </c>
      <c r="N35" s="27" t="s">
        <v>200</v>
      </c>
      <c r="O35" s="27">
        <v>253.33189999999999</v>
      </c>
      <c r="P35" s="27">
        <v>207.17679999999999</v>
      </c>
      <c r="Q35" s="27">
        <v>173.68530000000001</v>
      </c>
      <c r="R35" s="27">
        <v>155.27629999999999</v>
      </c>
      <c r="S35" s="27">
        <v>133.71870000000001</v>
      </c>
      <c r="T35" s="27">
        <v>116.51220000000001</v>
      </c>
      <c r="U35" s="27">
        <v>118.4451</v>
      </c>
      <c r="V35" s="27">
        <v>122.0508</v>
      </c>
      <c r="W35" s="27">
        <v>125.86790000000001</v>
      </c>
      <c r="X35" s="27">
        <v>129.73410000000001</v>
      </c>
      <c r="Y35" s="27">
        <v>131.78569999999999</v>
      </c>
      <c r="Z35" s="27">
        <v>129.5205</v>
      </c>
      <c r="AA35" s="27">
        <v>128.90629999999999</v>
      </c>
      <c r="AB35" s="27">
        <v>130.27250000000001</v>
      </c>
      <c r="AC35" s="27">
        <v>131.1206</v>
      </c>
      <c r="AD35" s="27">
        <v>126.1078</v>
      </c>
    </row>
    <row r="36" spans="1:30">
      <c r="A36" s="27" t="s">
        <v>247</v>
      </c>
      <c r="B36" s="27" t="s">
        <v>248</v>
      </c>
      <c r="C36" s="27" t="s">
        <v>198</v>
      </c>
      <c r="D36" s="27" t="s">
        <v>1156</v>
      </c>
      <c r="E36" s="27" t="s">
        <v>71</v>
      </c>
      <c r="F36" s="27">
        <v>284.25949096679699</v>
      </c>
      <c r="G36" s="27">
        <v>314.13845825195301</v>
      </c>
      <c r="H36" s="27">
        <v>343.89163208007801</v>
      </c>
      <c r="I36" s="27" t="s">
        <v>200</v>
      </c>
      <c r="J36" s="27">
        <v>375.38464355468801</v>
      </c>
      <c r="K36" s="27" t="s">
        <v>200</v>
      </c>
      <c r="L36" s="27" t="s">
        <v>200</v>
      </c>
      <c r="M36" s="27" t="s">
        <v>200</v>
      </c>
      <c r="N36" s="27" t="s">
        <v>200</v>
      </c>
      <c r="O36" s="27" t="s">
        <v>200</v>
      </c>
      <c r="P36" s="27">
        <v>174.49758911132801</v>
      </c>
      <c r="Q36" s="27" t="s">
        <v>200</v>
      </c>
      <c r="R36" s="27">
        <v>138.84451293945301</v>
      </c>
      <c r="S36" s="27" t="s">
        <v>200</v>
      </c>
      <c r="T36" s="27">
        <v>112.070266723633</v>
      </c>
      <c r="U36" s="27" t="s">
        <v>200</v>
      </c>
      <c r="V36" s="27">
        <v>94.5548095703125</v>
      </c>
      <c r="W36" s="27" t="s">
        <v>200</v>
      </c>
      <c r="X36" s="27">
        <v>80.312736511230497</v>
      </c>
      <c r="Y36" s="27" t="s">
        <v>200</v>
      </c>
      <c r="Z36" s="27">
        <v>70.114318847656207</v>
      </c>
      <c r="AA36" s="27" t="s">
        <v>200</v>
      </c>
      <c r="AB36" s="27">
        <v>65.918426513671889</v>
      </c>
      <c r="AC36" s="27" t="s">
        <v>200</v>
      </c>
      <c r="AD36" s="27">
        <v>59.928253173828097</v>
      </c>
    </row>
    <row r="37" spans="1:30">
      <c r="A37" s="27" t="s">
        <v>203</v>
      </c>
      <c r="B37" s="27" t="s">
        <v>249</v>
      </c>
      <c r="C37" s="27" t="s">
        <v>198</v>
      </c>
      <c r="D37" s="27" t="s">
        <v>1156</v>
      </c>
      <c r="E37" s="27" t="s">
        <v>71</v>
      </c>
      <c r="F37" s="27" t="s">
        <v>200</v>
      </c>
      <c r="G37" s="27">
        <v>326.86959999999999</v>
      </c>
      <c r="H37" s="27">
        <v>352.84070000000003</v>
      </c>
      <c r="I37" s="27">
        <v>379.7047</v>
      </c>
      <c r="J37" s="27">
        <v>363.83260000000001</v>
      </c>
      <c r="K37" s="27" t="s">
        <v>200</v>
      </c>
      <c r="L37" s="27" t="s">
        <v>200</v>
      </c>
      <c r="M37" s="27" t="s">
        <v>200</v>
      </c>
      <c r="N37" s="27" t="s">
        <v>200</v>
      </c>
      <c r="O37" s="27">
        <v>309.5215</v>
      </c>
      <c r="P37" s="27">
        <v>271.07589999999999</v>
      </c>
      <c r="Q37" s="27">
        <v>239.22819999999999</v>
      </c>
      <c r="R37" s="27">
        <v>220.75559999999999</v>
      </c>
      <c r="S37" s="27">
        <v>210.92959999999999</v>
      </c>
      <c r="T37" s="27">
        <v>201.19139999999999</v>
      </c>
      <c r="U37" s="27">
        <v>202.42060000000001</v>
      </c>
      <c r="V37" s="27">
        <v>203.40180000000001</v>
      </c>
      <c r="W37" s="27" t="s">
        <v>200</v>
      </c>
      <c r="X37" s="27">
        <v>199.97139999999999</v>
      </c>
      <c r="Y37" s="27" t="s">
        <v>200</v>
      </c>
      <c r="Z37" s="27">
        <v>189.3733</v>
      </c>
      <c r="AA37" s="27" t="s">
        <v>200</v>
      </c>
      <c r="AB37" s="27">
        <v>197.98150000000001</v>
      </c>
      <c r="AC37" s="27" t="s">
        <v>200</v>
      </c>
      <c r="AD37" s="27">
        <v>167.3407</v>
      </c>
    </row>
    <row r="38" spans="1:30">
      <c r="A38" s="27" t="s">
        <v>196</v>
      </c>
      <c r="B38" s="27" t="s">
        <v>250</v>
      </c>
      <c r="C38" s="27" t="s">
        <v>198</v>
      </c>
      <c r="D38" s="27" t="s">
        <v>1156</v>
      </c>
      <c r="E38" s="27" t="s">
        <v>71</v>
      </c>
      <c r="F38" s="27" t="s">
        <v>200</v>
      </c>
      <c r="G38" s="27">
        <v>326.86169999999998</v>
      </c>
      <c r="H38" s="27">
        <v>353.5317</v>
      </c>
      <c r="I38" s="27">
        <v>379.28280000000001</v>
      </c>
      <c r="J38" s="27">
        <v>362.92439999999999</v>
      </c>
      <c r="K38" s="27" t="s">
        <v>200</v>
      </c>
      <c r="L38" s="27" t="s">
        <v>200</v>
      </c>
      <c r="M38" s="27" t="s">
        <v>200</v>
      </c>
      <c r="N38" s="27" t="s">
        <v>200</v>
      </c>
      <c r="O38" s="27">
        <v>297.45749999999998</v>
      </c>
      <c r="P38" s="27">
        <v>258.85270000000003</v>
      </c>
      <c r="Q38" s="27">
        <v>231.83539999999999</v>
      </c>
      <c r="R38" s="27">
        <v>216.6354</v>
      </c>
      <c r="S38" s="27">
        <v>207.48150000000001</v>
      </c>
      <c r="T38" s="27">
        <v>199.23050000000001</v>
      </c>
      <c r="U38" s="27">
        <v>199.73609999999999</v>
      </c>
      <c r="V38" s="27">
        <v>200.13800000000001</v>
      </c>
      <c r="W38" s="27" t="s">
        <v>200</v>
      </c>
      <c r="X38" s="27">
        <v>196.06299999999999</v>
      </c>
      <c r="Y38" s="27" t="s">
        <v>200</v>
      </c>
      <c r="Z38" s="27">
        <v>186.6968</v>
      </c>
      <c r="AA38" s="27" t="s">
        <v>200</v>
      </c>
      <c r="AB38" s="27">
        <v>174.0966</v>
      </c>
      <c r="AC38" s="27" t="s">
        <v>200</v>
      </c>
      <c r="AD38" s="27">
        <v>166.2534</v>
      </c>
    </row>
    <row r="39" spans="1:30">
      <c r="A39" s="27" t="s">
        <v>203</v>
      </c>
      <c r="B39" s="27" t="s">
        <v>251</v>
      </c>
      <c r="C39" s="27" t="s">
        <v>198</v>
      </c>
      <c r="D39" s="27" t="s">
        <v>1156</v>
      </c>
      <c r="E39" s="27" t="s">
        <v>71</v>
      </c>
      <c r="F39" s="27" t="s">
        <v>200</v>
      </c>
      <c r="G39" s="27">
        <v>326.86959999999999</v>
      </c>
      <c r="H39" s="27">
        <v>352.84070000000003</v>
      </c>
      <c r="I39" s="27">
        <v>379.7047</v>
      </c>
      <c r="J39" s="27">
        <v>363.83260000000001</v>
      </c>
      <c r="K39" s="27" t="s">
        <v>200</v>
      </c>
      <c r="L39" s="27" t="s">
        <v>200</v>
      </c>
      <c r="M39" s="27" t="s">
        <v>200</v>
      </c>
      <c r="N39" s="27" t="s">
        <v>200</v>
      </c>
      <c r="O39" s="27">
        <v>304.99529999999999</v>
      </c>
      <c r="P39" s="27">
        <v>268.67230000000001</v>
      </c>
      <c r="Q39" s="27">
        <v>237.67760000000001</v>
      </c>
      <c r="R39" s="27">
        <v>220.64599999999999</v>
      </c>
      <c r="S39" s="27">
        <v>210.3263</v>
      </c>
      <c r="T39" s="27">
        <v>200.3544</v>
      </c>
      <c r="U39" s="27">
        <v>200.91470000000001</v>
      </c>
      <c r="V39" s="27">
        <v>200.10839999999999</v>
      </c>
      <c r="W39" s="27" t="s">
        <v>200</v>
      </c>
      <c r="X39" s="27">
        <v>194.614</v>
      </c>
      <c r="Y39" s="27" t="s">
        <v>200</v>
      </c>
      <c r="Z39" s="27">
        <v>183.21199999999999</v>
      </c>
      <c r="AA39" s="27" t="s">
        <v>200</v>
      </c>
      <c r="AB39" s="27">
        <v>169.8381</v>
      </c>
      <c r="AC39" s="27" t="s">
        <v>200</v>
      </c>
      <c r="AD39" s="27">
        <v>161.9701</v>
      </c>
    </row>
    <row r="40" spans="1:30">
      <c r="A40" s="27" t="s">
        <v>205</v>
      </c>
      <c r="B40" s="27" t="s">
        <v>252</v>
      </c>
      <c r="C40" s="27" t="s">
        <v>198</v>
      </c>
      <c r="D40" s="27" t="s">
        <v>1156</v>
      </c>
      <c r="E40" s="27" t="s">
        <v>71</v>
      </c>
      <c r="F40" s="27" t="s">
        <v>200</v>
      </c>
      <c r="G40" s="27">
        <v>312.09300000000002</v>
      </c>
      <c r="H40" s="27">
        <v>327.40300000000002</v>
      </c>
      <c r="I40" s="27">
        <v>345.88800000000009</v>
      </c>
      <c r="J40" s="27">
        <v>346.80200000000002</v>
      </c>
      <c r="K40" s="27" t="s">
        <v>200</v>
      </c>
      <c r="L40" s="27" t="s">
        <v>200</v>
      </c>
      <c r="M40" s="27" t="s">
        <v>200</v>
      </c>
      <c r="N40" s="27" t="s">
        <v>200</v>
      </c>
      <c r="O40" s="27">
        <v>301.47399999999999</v>
      </c>
      <c r="P40" s="27">
        <v>260.01</v>
      </c>
      <c r="Q40" s="27">
        <v>240.72200000000001</v>
      </c>
      <c r="R40" s="27">
        <v>221.434</v>
      </c>
      <c r="S40" s="27">
        <v>206.61799999999999</v>
      </c>
      <c r="T40" s="27">
        <v>191.803</v>
      </c>
      <c r="U40" s="27">
        <v>184.55799999999999</v>
      </c>
      <c r="V40" s="27">
        <v>177.31299999999999</v>
      </c>
      <c r="W40" s="27">
        <v>168.12400000000011</v>
      </c>
      <c r="X40" s="27">
        <v>158.935</v>
      </c>
      <c r="Y40" s="27">
        <v>148.25299999999999</v>
      </c>
      <c r="Z40" s="27">
        <v>137.57</v>
      </c>
      <c r="AA40" s="27">
        <v>133.613</v>
      </c>
      <c r="AB40" s="27">
        <v>129.65600000000001</v>
      </c>
      <c r="AC40" s="27">
        <v>126.23</v>
      </c>
      <c r="AD40" s="27">
        <v>122.804</v>
      </c>
    </row>
    <row r="41" spans="1:30">
      <c r="A41" s="27" t="s">
        <v>205</v>
      </c>
      <c r="B41" s="27" t="s">
        <v>253</v>
      </c>
      <c r="C41" s="27" t="s">
        <v>198</v>
      </c>
      <c r="D41" s="27" t="s">
        <v>1156</v>
      </c>
      <c r="E41" s="27" t="s">
        <v>71</v>
      </c>
      <c r="F41" s="27" t="s">
        <v>200</v>
      </c>
      <c r="G41" s="27">
        <v>312.09300000000002</v>
      </c>
      <c r="H41" s="27">
        <v>327.40300000000002</v>
      </c>
      <c r="I41" s="27">
        <v>345.88800000000009</v>
      </c>
      <c r="J41" s="27">
        <v>346.80200000000002</v>
      </c>
      <c r="K41" s="27" t="s">
        <v>200</v>
      </c>
      <c r="L41" s="27" t="s">
        <v>200</v>
      </c>
      <c r="M41" s="27" t="s">
        <v>200</v>
      </c>
      <c r="N41" s="27" t="s">
        <v>200</v>
      </c>
      <c r="O41" s="27">
        <v>293.161</v>
      </c>
      <c r="P41" s="27">
        <v>260.01</v>
      </c>
      <c r="Q41" s="27">
        <v>240.72200000000001</v>
      </c>
      <c r="R41" s="27">
        <v>221.434</v>
      </c>
      <c r="S41" s="27">
        <v>206.61799999999999</v>
      </c>
      <c r="T41" s="27">
        <v>191.803</v>
      </c>
      <c r="U41" s="27">
        <v>184.55799999999999</v>
      </c>
      <c r="V41" s="27">
        <v>177.31299999999999</v>
      </c>
      <c r="W41" s="27">
        <v>168.12400000000011</v>
      </c>
      <c r="X41" s="27">
        <v>158.935</v>
      </c>
      <c r="Y41" s="27">
        <v>148.25299999999999</v>
      </c>
      <c r="Z41" s="27">
        <v>137.57</v>
      </c>
      <c r="AA41" s="27">
        <v>133.613</v>
      </c>
      <c r="AB41" s="27">
        <v>129.65600000000001</v>
      </c>
      <c r="AC41" s="27">
        <v>126.23</v>
      </c>
      <c r="AD41" s="27">
        <v>122.804</v>
      </c>
    </row>
    <row r="42" spans="1:30">
      <c r="A42" s="27" t="s">
        <v>216</v>
      </c>
      <c r="B42" s="27" t="s">
        <v>254</v>
      </c>
      <c r="C42" s="27" t="s">
        <v>198</v>
      </c>
      <c r="D42" s="27" t="s">
        <v>1156</v>
      </c>
      <c r="E42" s="27" t="s">
        <v>71</v>
      </c>
      <c r="F42" s="27">
        <v>308.99925350927799</v>
      </c>
      <c r="G42" s="27">
        <v>334.381027503827</v>
      </c>
      <c r="H42" s="27">
        <v>333.66154451874701</v>
      </c>
      <c r="I42" s="27">
        <v>343.75284426806599</v>
      </c>
      <c r="J42" s="27">
        <v>354.10183869043999</v>
      </c>
      <c r="K42" s="27">
        <v>317.75187059064001</v>
      </c>
      <c r="L42" s="27">
        <v>302.144473792187</v>
      </c>
      <c r="M42" s="27">
        <v>289.467886753605</v>
      </c>
      <c r="N42" s="27">
        <v>279.94059339027001</v>
      </c>
      <c r="O42" s="27">
        <v>272.06702168893003</v>
      </c>
      <c r="P42" s="27">
        <v>219.70917968198901</v>
      </c>
      <c r="Q42" s="27">
        <v>196.70731126417101</v>
      </c>
      <c r="R42" s="27">
        <v>176.21895578615499</v>
      </c>
      <c r="S42" s="27">
        <v>160.23007198047</v>
      </c>
      <c r="T42" s="27">
        <v>145.43744600082101</v>
      </c>
      <c r="U42" s="27">
        <v>140.32666874166301</v>
      </c>
      <c r="V42" s="27">
        <v>139.91033803857599</v>
      </c>
      <c r="W42" s="27" t="s">
        <v>200</v>
      </c>
      <c r="X42" s="27">
        <v>141.363289924442</v>
      </c>
      <c r="Y42" s="27" t="s">
        <v>200</v>
      </c>
      <c r="Z42" s="27">
        <v>138.76919220267399</v>
      </c>
      <c r="AA42" s="27" t="s">
        <v>200</v>
      </c>
      <c r="AB42" s="27">
        <v>133.58112991794999</v>
      </c>
      <c r="AC42" s="27" t="s">
        <v>200</v>
      </c>
      <c r="AD42" s="27">
        <v>127.578845080596</v>
      </c>
    </row>
    <row r="43" spans="1:30">
      <c r="A43" s="27" t="s">
        <v>255</v>
      </c>
      <c r="B43" s="27" t="s">
        <v>256</v>
      </c>
      <c r="C43" s="27" t="s">
        <v>198</v>
      </c>
      <c r="D43" s="27" t="s">
        <v>1156</v>
      </c>
      <c r="E43" s="27" t="s">
        <v>71</v>
      </c>
      <c r="F43" s="27" t="s">
        <v>200</v>
      </c>
      <c r="G43" s="27">
        <v>313.298</v>
      </c>
      <c r="H43" s="27">
        <v>339.21990476190501</v>
      </c>
      <c r="I43" s="27">
        <v>359.45040476190502</v>
      </c>
      <c r="J43" s="27">
        <v>361.29395238095202</v>
      </c>
      <c r="K43" s="27" t="s">
        <v>200</v>
      </c>
      <c r="L43" s="27" t="s">
        <v>200</v>
      </c>
      <c r="M43" s="27" t="s">
        <v>200</v>
      </c>
      <c r="N43" s="27" t="s">
        <v>200</v>
      </c>
      <c r="O43" s="27">
        <v>245.49138095238089</v>
      </c>
      <c r="P43" s="27">
        <v>171.08830952381001</v>
      </c>
      <c r="Q43" s="27">
        <v>140.982595238095</v>
      </c>
      <c r="R43" s="27">
        <v>125.83155952381</v>
      </c>
      <c r="S43" s="27">
        <v>117.431821428571</v>
      </c>
      <c r="T43" s="27">
        <v>111.93059523809499</v>
      </c>
      <c r="U43" s="27">
        <v>108.285238095238</v>
      </c>
      <c r="V43" s="27">
        <v>104.859857142857</v>
      </c>
      <c r="W43" s="27">
        <v>102.404928571429</v>
      </c>
      <c r="X43" s="27">
        <v>101.063154761905</v>
      </c>
      <c r="Y43" s="27">
        <v>100.192416666667</v>
      </c>
      <c r="Z43" s="27">
        <v>99.612095238095193</v>
      </c>
      <c r="AA43" s="27">
        <v>98.93804761904758</v>
      </c>
      <c r="AB43" s="27">
        <v>99.115761904761925</v>
      </c>
      <c r="AC43" s="27">
        <v>99.008482142857076</v>
      </c>
      <c r="AD43" s="27">
        <v>98.488369047619074</v>
      </c>
    </row>
    <row r="44" spans="1:30">
      <c r="A44" s="27" t="s">
        <v>257</v>
      </c>
      <c r="B44" s="27" t="s">
        <v>197</v>
      </c>
      <c r="C44" s="27" t="s">
        <v>198</v>
      </c>
      <c r="D44" s="27" t="s">
        <v>1156</v>
      </c>
      <c r="E44" s="27" t="s">
        <v>71</v>
      </c>
      <c r="F44" s="27" t="s">
        <v>200</v>
      </c>
      <c r="G44" s="27" t="s">
        <v>200</v>
      </c>
      <c r="H44" s="27">
        <v>371.21170000000001</v>
      </c>
      <c r="I44" s="27">
        <v>394.06169999999997</v>
      </c>
      <c r="J44" s="27">
        <v>419.52370000000002</v>
      </c>
      <c r="K44" s="27" t="s">
        <v>200</v>
      </c>
      <c r="L44" s="27" t="s">
        <v>200</v>
      </c>
      <c r="M44" s="27" t="s">
        <v>200</v>
      </c>
      <c r="N44" s="27" t="s">
        <v>200</v>
      </c>
      <c r="O44" s="27">
        <v>291.16520000000003</v>
      </c>
      <c r="P44" s="27">
        <v>236.74170000000001</v>
      </c>
      <c r="Q44" s="27">
        <v>205.452</v>
      </c>
      <c r="R44" s="27">
        <v>197.89850000000001</v>
      </c>
      <c r="S44" s="27">
        <v>188.2345</v>
      </c>
      <c r="T44" s="27">
        <v>168.96700000000001</v>
      </c>
      <c r="U44" s="27">
        <v>167.16720000000001</v>
      </c>
      <c r="V44" s="27">
        <v>165.3476</v>
      </c>
      <c r="W44" s="27">
        <v>162.9744</v>
      </c>
      <c r="X44" s="27">
        <v>161.8963</v>
      </c>
      <c r="Y44" s="27">
        <v>165.1103</v>
      </c>
      <c r="Z44" s="27">
        <v>169.44040000000001</v>
      </c>
      <c r="AA44" s="27">
        <v>173.24189999999999</v>
      </c>
      <c r="AB44" s="27">
        <v>176.25409999999999</v>
      </c>
      <c r="AC44" s="27">
        <v>178.8014</v>
      </c>
      <c r="AD44" s="27">
        <v>180.93709999999999</v>
      </c>
    </row>
    <row r="45" spans="1:30">
      <c r="A45" s="27" t="s">
        <v>196</v>
      </c>
      <c r="B45" s="27" t="s">
        <v>258</v>
      </c>
      <c r="C45" s="27" t="s">
        <v>198</v>
      </c>
      <c r="D45" s="27" t="s">
        <v>1156</v>
      </c>
      <c r="E45" s="27" t="s">
        <v>71</v>
      </c>
      <c r="F45" s="27" t="s">
        <v>200</v>
      </c>
      <c r="G45" s="27">
        <v>326.81529999999998</v>
      </c>
      <c r="H45" s="27">
        <v>353.8485</v>
      </c>
      <c r="I45" s="27">
        <v>377.46</v>
      </c>
      <c r="J45" s="27">
        <v>355.63080000000002</v>
      </c>
      <c r="K45" s="27" t="s">
        <v>200</v>
      </c>
      <c r="L45" s="27" t="s">
        <v>200</v>
      </c>
      <c r="M45" s="27" t="s">
        <v>200</v>
      </c>
      <c r="N45" s="27" t="s">
        <v>200</v>
      </c>
      <c r="O45" s="27">
        <v>288.85879999999997</v>
      </c>
      <c r="P45" s="27">
        <v>259.10750000000002</v>
      </c>
      <c r="Q45" s="27">
        <v>235.96619999999999</v>
      </c>
      <c r="R45" s="27">
        <v>223.13630000000001</v>
      </c>
      <c r="S45" s="27">
        <v>212.88399999999999</v>
      </c>
      <c r="T45" s="27">
        <v>201.38409999999999</v>
      </c>
      <c r="U45" s="27">
        <v>199.68530000000001</v>
      </c>
      <c r="V45" s="27">
        <v>197.7252</v>
      </c>
      <c r="W45" s="27" t="s">
        <v>200</v>
      </c>
      <c r="X45" s="27">
        <v>192.95590000000001</v>
      </c>
      <c r="Y45" s="27" t="s">
        <v>200</v>
      </c>
      <c r="Z45" s="27">
        <v>182.67080000000001</v>
      </c>
      <c r="AA45" s="27" t="s">
        <v>200</v>
      </c>
      <c r="AB45" s="27">
        <v>170.0301</v>
      </c>
      <c r="AC45" s="27" t="s">
        <v>200</v>
      </c>
      <c r="AD45" s="27">
        <v>162.59030000000001</v>
      </c>
    </row>
    <row r="46" spans="1:30">
      <c r="A46" s="27" t="s">
        <v>247</v>
      </c>
      <c r="B46" s="27" t="s">
        <v>259</v>
      </c>
      <c r="C46" s="27" t="s">
        <v>198</v>
      </c>
      <c r="D46" s="27" t="s">
        <v>1156</v>
      </c>
      <c r="E46" s="27" t="s">
        <v>71</v>
      </c>
      <c r="F46" s="27">
        <v>284.25949096679699</v>
      </c>
      <c r="G46" s="27">
        <v>314.13845825195301</v>
      </c>
      <c r="H46" s="27">
        <v>343.89163208007801</v>
      </c>
      <c r="I46" s="27" t="s">
        <v>200</v>
      </c>
      <c r="J46" s="27">
        <v>375.378173828125</v>
      </c>
      <c r="K46" s="27" t="s">
        <v>200</v>
      </c>
      <c r="L46" s="27" t="s">
        <v>200</v>
      </c>
      <c r="M46" s="27" t="s">
        <v>200</v>
      </c>
      <c r="N46" s="27" t="s">
        <v>200</v>
      </c>
      <c r="O46" s="27" t="s">
        <v>200</v>
      </c>
      <c r="P46" s="27">
        <v>175.76393127441401</v>
      </c>
      <c r="Q46" s="27" t="s">
        <v>200</v>
      </c>
      <c r="R46" s="27">
        <v>141.99095153808599</v>
      </c>
      <c r="S46" s="27" t="s">
        <v>200</v>
      </c>
      <c r="T46" s="27">
        <v>116.04736328125</v>
      </c>
      <c r="U46" s="27" t="s">
        <v>200</v>
      </c>
      <c r="V46" s="27">
        <v>103.082763671875</v>
      </c>
      <c r="W46" s="27" t="s">
        <v>200</v>
      </c>
      <c r="X46" s="27">
        <v>88.952774047851605</v>
      </c>
      <c r="Y46" s="27" t="s">
        <v>200</v>
      </c>
      <c r="Z46" s="27">
        <v>78.250274658203097</v>
      </c>
      <c r="AA46" s="27" t="s">
        <v>200</v>
      </c>
      <c r="AB46" s="27">
        <v>70.447959899902301</v>
      </c>
      <c r="AC46" s="27" t="s">
        <v>200</v>
      </c>
      <c r="AD46" s="27">
        <v>65.684661865234389</v>
      </c>
    </row>
    <row r="47" spans="1:30">
      <c r="A47" s="27" t="s">
        <v>233</v>
      </c>
      <c r="B47" s="27" t="s">
        <v>260</v>
      </c>
      <c r="C47" s="27" t="s">
        <v>198</v>
      </c>
      <c r="D47" s="27" t="s">
        <v>1156</v>
      </c>
      <c r="E47" s="27" t="s">
        <v>71</v>
      </c>
      <c r="F47" s="27" t="s">
        <v>200</v>
      </c>
      <c r="G47" s="27" t="s">
        <v>200</v>
      </c>
      <c r="H47" s="27">
        <v>368.86917837439239</v>
      </c>
      <c r="I47" s="27">
        <v>372.66363645180007</v>
      </c>
      <c r="J47" s="27">
        <v>383.56181176362583</v>
      </c>
      <c r="K47" s="27" t="s">
        <v>200</v>
      </c>
      <c r="L47" s="27" t="s">
        <v>200</v>
      </c>
      <c r="M47" s="27" t="s">
        <v>200</v>
      </c>
      <c r="N47" s="27" t="s">
        <v>200</v>
      </c>
      <c r="O47" s="27">
        <v>196.4493656924187</v>
      </c>
      <c r="P47" s="27">
        <v>163.82402458571451</v>
      </c>
      <c r="Q47" s="27">
        <v>150.7456580575672</v>
      </c>
      <c r="R47" s="27">
        <v>145.88343704065039</v>
      </c>
      <c r="S47" s="27">
        <v>142.99490300006971</v>
      </c>
      <c r="T47" s="27">
        <v>140.27576236611091</v>
      </c>
      <c r="U47" s="27">
        <v>139.74040551535299</v>
      </c>
      <c r="V47" s="27">
        <v>138.86886306359889</v>
      </c>
      <c r="W47" s="27">
        <v>137.7827049996653</v>
      </c>
      <c r="X47" s="27">
        <v>136.51744250812931</v>
      </c>
      <c r="Y47" s="27">
        <v>135.08613441991639</v>
      </c>
      <c r="Z47" s="27">
        <v>132.58488230060041</v>
      </c>
      <c r="AA47" s="27">
        <v>129.5922490769191</v>
      </c>
      <c r="AB47" s="27">
        <v>126.6638435647654</v>
      </c>
      <c r="AC47" s="27">
        <v>124.0111363675186</v>
      </c>
      <c r="AD47" s="27">
        <v>120.9903673199377</v>
      </c>
    </row>
    <row r="48" spans="1:30">
      <c r="A48" s="27" t="s">
        <v>261</v>
      </c>
      <c r="B48" s="27" t="s">
        <v>262</v>
      </c>
      <c r="C48" s="27" t="s">
        <v>198</v>
      </c>
      <c r="D48" s="27" t="s">
        <v>1156</v>
      </c>
      <c r="E48" s="27" t="s">
        <v>71</v>
      </c>
      <c r="F48" s="27" t="s">
        <v>200</v>
      </c>
      <c r="G48" s="27">
        <v>332.552490234375</v>
      </c>
      <c r="H48" s="27">
        <v>354.99771118164063</v>
      </c>
      <c r="I48" s="27">
        <v>367.17361450195313</v>
      </c>
      <c r="J48" s="27">
        <v>356.62039184570313</v>
      </c>
      <c r="K48" s="27" t="s">
        <v>200</v>
      </c>
      <c r="L48" s="27" t="s">
        <v>200</v>
      </c>
      <c r="M48" s="27" t="s">
        <v>200</v>
      </c>
      <c r="N48" s="27" t="s">
        <v>200</v>
      </c>
      <c r="O48" s="27">
        <v>335.84039306640619</v>
      </c>
      <c r="P48" s="27">
        <v>281.672607421875</v>
      </c>
      <c r="Q48" s="27">
        <v>243.91169738769531</v>
      </c>
      <c r="R48" s="27">
        <v>223.0346984863281</v>
      </c>
      <c r="S48" s="27">
        <v>206.7539978027344</v>
      </c>
      <c r="T48" s="27">
        <v>195.1853942871094</v>
      </c>
      <c r="U48" s="27">
        <v>192.6940002441406</v>
      </c>
      <c r="V48" s="27">
        <v>190.3876953125</v>
      </c>
      <c r="W48" s="27">
        <v>185.34449768066409</v>
      </c>
      <c r="X48" s="27">
        <v>182.06590270996091</v>
      </c>
      <c r="Y48" s="27">
        <v>180.3200988769531</v>
      </c>
      <c r="Z48" s="27">
        <v>176.0704040527344</v>
      </c>
      <c r="AA48" s="27">
        <v>172.32659912109381</v>
      </c>
      <c r="AB48" s="27">
        <v>167.9197998046875</v>
      </c>
      <c r="AC48" s="27">
        <v>163.7236022949219</v>
      </c>
      <c r="AD48" s="27">
        <v>156.95140075683591</v>
      </c>
    </row>
    <row r="49" spans="1:30">
      <c r="A49" s="27" t="s">
        <v>218</v>
      </c>
      <c r="B49" s="27" t="s">
        <v>263</v>
      </c>
      <c r="C49" s="27" t="s">
        <v>198</v>
      </c>
      <c r="D49" s="27" t="s">
        <v>1156</v>
      </c>
      <c r="E49" s="27" t="s">
        <v>71</v>
      </c>
      <c r="F49" s="27" t="s">
        <v>200</v>
      </c>
      <c r="G49" s="27">
        <v>332.02449999999999</v>
      </c>
      <c r="H49" s="27">
        <v>377.02260000000001</v>
      </c>
      <c r="I49" s="27">
        <v>424.96280000000002</v>
      </c>
      <c r="J49" s="27">
        <v>404.22829999999999</v>
      </c>
      <c r="K49" s="27" t="s">
        <v>200</v>
      </c>
      <c r="L49" s="27" t="s">
        <v>200</v>
      </c>
      <c r="M49" s="27" t="s">
        <v>200</v>
      </c>
      <c r="N49" s="27" t="s">
        <v>200</v>
      </c>
      <c r="O49" s="27">
        <v>336.54640000000001</v>
      </c>
      <c r="P49" s="27">
        <v>290.03429999999997</v>
      </c>
      <c r="Q49" s="27">
        <v>254.84829999999999</v>
      </c>
      <c r="R49" s="27">
        <v>239.1336</v>
      </c>
      <c r="S49" s="27">
        <v>229.6189</v>
      </c>
      <c r="T49" s="27">
        <v>219.52760000000001</v>
      </c>
      <c r="U49" s="27">
        <v>222.36369999999999</v>
      </c>
      <c r="V49" s="27">
        <v>223.40629999999999</v>
      </c>
      <c r="W49" s="27" t="s">
        <v>200</v>
      </c>
      <c r="X49" s="27">
        <v>219.1695</v>
      </c>
      <c r="Y49" s="27" t="s">
        <v>200</v>
      </c>
      <c r="Z49" s="27">
        <v>209.8073</v>
      </c>
      <c r="AA49" s="27" t="s">
        <v>200</v>
      </c>
      <c r="AB49" s="27">
        <v>195.3201</v>
      </c>
      <c r="AC49" s="27" t="s">
        <v>200</v>
      </c>
      <c r="AD49" s="27">
        <v>176.3767</v>
      </c>
    </row>
    <row r="50" spans="1:30">
      <c r="A50" s="27" t="s">
        <v>196</v>
      </c>
      <c r="B50" s="27" t="s">
        <v>264</v>
      </c>
      <c r="C50" s="27" t="s">
        <v>198</v>
      </c>
      <c r="D50" s="27" t="s">
        <v>1156</v>
      </c>
      <c r="E50" s="27" t="s">
        <v>71</v>
      </c>
      <c r="F50" s="27" t="s">
        <v>200</v>
      </c>
      <c r="G50" s="27">
        <v>327.61509999999998</v>
      </c>
      <c r="H50" s="27">
        <v>358.92090000000002</v>
      </c>
      <c r="I50" s="27">
        <v>372.18079999999998</v>
      </c>
      <c r="J50" s="27">
        <v>354.85899999999998</v>
      </c>
      <c r="K50" s="27" t="s">
        <v>200</v>
      </c>
      <c r="L50" s="27" t="s">
        <v>200</v>
      </c>
      <c r="M50" s="27" t="s">
        <v>200</v>
      </c>
      <c r="N50" s="27" t="s">
        <v>200</v>
      </c>
      <c r="O50" s="27">
        <v>273.00220000000002</v>
      </c>
      <c r="P50" s="27">
        <v>233.09010000000001</v>
      </c>
      <c r="Q50" s="27">
        <v>207.67830000000001</v>
      </c>
      <c r="R50" s="27">
        <v>190.13030000000001</v>
      </c>
      <c r="S50" s="27">
        <v>176.91059999999999</v>
      </c>
      <c r="T50" s="27">
        <v>161.2937</v>
      </c>
      <c r="U50" s="27">
        <v>155.5744</v>
      </c>
      <c r="V50" s="27">
        <v>148.202</v>
      </c>
      <c r="W50" s="27" t="s">
        <v>200</v>
      </c>
      <c r="X50" s="27">
        <v>127.93519999999999</v>
      </c>
      <c r="Y50" s="27" t="s">
        <v>200</v>
      </c>
      <c r="Z50" s="27">
        <v>108.8724</v>
      </c>
      <c r="AA50" s="27" t="s">
        <v>200</v>
      </c>
      <c r="AB50" s="27">
        <v>92.498099999999994</v>
      </c>
      <c r="AC50" s="27" t="s">
        <v>200</v>
      </c>
      <c r="AD50" s="27">
        <v>78.492900000000006</v>
      </c>
    </row>
    <row r="51" spans="1:30">
      <c r="A51" s="27" t="s">
        <v>218</v>
      </c>
      <c r="B51" s="27" t="s">
        <v>265</v>
      </c>
      <c r="C51" s="27" t="s">
        <v>198</v>
      </c>
      <c r="D51" s="27" t="s">
        <v>1156</v>
      </c>
      <c r="E51" s="27" t="s">
        <v>71</v>
      </c>
      <c r="F51" s="27" t="s">
        <v>200</v>
      </c>
      <c r="G51" s="27">
        <v>332.02449999999999</v>
      </c>
      <c r="H51" s="27">
        <v>377.02260000000001</v>
      </c>
      <c r="I51" s="27">
        <v>424.96280000000002</v>
      </c>
      <c r="J51" s="27">
        <v>404.22829999999999</v>
      </c>
      <c r="K51" s="27" t="s">
        <v>200</v>
      </c>
      <c r="L51" s="27" t="s">
        <v>200</v>
      </c>
      <c r="M51" s="27" t="s">
        <v>200</v>
      </c>
      <c r="N51" s="27" t="s">
        <v>200</v>
      </c>
      <c r="O51" s="27">
        <v>334.97250000000003</v>
      </c>
      <c r="P51" s="27">
        <v>286.17660000000001</v>
      </c>
      <c r="Q51" s="27">
        <v>253.10650000000001</v>
      </c>
      <c r="R51" s="27">
        <v>239.96449999999999</v>
      </c>
      <c r="S51" s="27">
        <v>230.4941</v>
      </c>
      <c r="T51" s="27">
        <v>219.91210000000001</v>
      </c>
      <c r="U51" s="27">
        <v>221.50909999999999</v>
      </c>
      <c r="V51" s="27">
        <v>221.0692</v>
      </c>
      <c r="W51" s="27" t="s">
        <v>200</v>
      </c>
      <c r="X51" s="27">
        <v>215.37039999999999</v>
      </c>
      <c r="Y51" s="27" t="s">
        <v>200</v>
      </c>
      <c r="Z51" s="27">
        <v>206.0635</v>
      </c>
      <c r="AA51" s="27" t="s">
        <v>200</v>
      </c>
      <c r="AB51" s="27">
        <v>192.68190000000001</v>
      </c>
      <c r="AC51" s="27" t="s">
        <v>200</v>
      </c>
      <c r="AD51" s="27">
        <v>175.70310000000001</v>
      </c>
    </row>
    <row r="52" spans="1:30">
      <c r="A52" s="27" t="s">
        <v>226</v>
      </c>
      <c r="B52" s="27" t="s">
        <v>243</v>
      </c>
      <c r="C52" s="27" t="s">
        <v>198</v>
      </c>
      <c r="D52" s="27" t="s">
        <v>1156</v>
      </c>
      <c r="E52" s="27" t="s">
        <v>71</v>
      </c>
      <c r="F52" s="27" t="s">
        <v>200</v>
      </c>
      <c r="G52" s="27">
        <v>332.09559999999999</v>
      </c>
      <c r="H52" s="27">
        <v>367.61579999999998</v>
      </c>
      <c r="I52" s="27">
        <v>409.4205</v>
      </c>
      <c r="J52" s="27">
        <v>403.7287</v>
      </c>
      <c r="K52" s="27" t="s">
        <v>200</v>
      </c>
      <c r="L52" s="27" t="s">
        <v>200</v>
      </c>
      <c r="M52" s="27" t="s">
        <v>200</v>
      </c>
      <c r="N52" s="27" t="s">
        <v>200</v>
      </c>
      <c r="O52" s="27">
        <v>315.56360000000001</v>
      </c>
      <c r="P52" s="27">
        <v>272.87799999999999</v>
      </c>
      <c r="Q52" s="27">
        <v>239.17230000000001</v>
      </c>
      <c r="R52" s="27">
        <v>233.8939</v>
      </c>
      <c r="S52" s="27">
        <v>214.63939999999999</v>
      </c>
      <c r="T52" s="27">
        <v>210.01300000000001</v>
      </c>
      <c r="U52" s="27">
        <v>200.04179999999999</v>
      </c>
      <c r="V52" s="27">
        <v>198.45939999999999</v>
      </c>
      <c r="W52" s="27" t="s">
        <v>200</v>
      </c>
      <c r="X52" s="27">
        <v>192.0669</v>
      </c>
      <c r="Y52" s="27" t="s">
        <v>200</v>
      </c>
      <c r="Z52" s="27">
        <v>184.66239999999999</v>
      </c>
      <c r="AA52" s="27" t="s">
        <v>200</v>
      </c>
      <c r="AB52" s="27">
        <v>171.59219999999999</v>
      </c>
      <c r="AC52" s="27" t="s">
        <v>200</v>
      </c>
      <c r="AD52" s="27">
        <v>153.90119999999999</v>
      </c>
    </row>
    <row r="53" spans="1:30">
      <c r="A53" s="27" t="s">
        <v>231</v>
      </c>
      <c r="B53" s="27" t="s">
        <v>266</v>
      </c>
      <c r="C53" s="27" t="s">
        <v>198</v>
      </c>
      <c r="D53" s="27" t="s">
        <v>1156</v>
      </c>
      <c r="E53" s="27" t="s">
        <v>71</v>
      </c>
      <c r="F53" s="27" t="s">
        <v>200</v>
      </c>
      <c r="G53" s="27">
        <v>299.754269100155</v>
      </c>
      <c r="H53" s="27">
        <v>320.30444569219401</v>
      </c>
      <c r="I53" s="27">
        <v>330.887818227433</v>
      </c>
      <c r="J53" s="27">
        <v>338.62602228113002</v>
      </c>
      <c r="K53" s="27" t="s">
        <v>200</v>
      </c>
      <c r="L53" s="27" t="s">
        <v>200</v>
      </c>
      <c r="M53" s="27" t="s">
        <v>200</v>
      </c>
      <c r="N53" s="27" t="s">
        <v>200</v>
      </c>
      <c r="O53" s="27">
        <v>282.77842827241102</v>
      </c>
      <c r="P53" s="27">
        <v>267.49678594718603</v>
      </c>
      <c r="Q53" s="27">
        <v>260.38704365856802</v>
      </c>
      <c r="R53" s="27">
        <v>245.03115693530799</v>
      </c>
      <c r="S53" s="27">
        <v>250.61597495436601</v>
      </c>
      <c r="T53" s="27">
        <v>254.61224308368199</v>
      </c>
      <c r="U53" s="27">
        <v>255.50312765392201</v>
      </c>
      <c r="V53" s="27">
        <v>256.77342084208198</v>
      </c>
      <c r="W53" s="27">
        <v>257.90417091216301</v>
      </c>
      <c r="X53" s="27">
        <v>258.76977030787202</v>
      </c>
      <c r="Y53" s="27">
        <v>259.738660555259</v>
      </c>
      <c r="Z53" s="27">
        <v>260.74204674239797</v>
      </c>
      <c r="AA53" s="27">
        <v>261.53019184262502</v>
      </c>
      <c r="AB53" s="27">
        <v>261.88659030890398</v>
      </c>
      <c r="AC53" s="27">
        <v>261.72805802129102</v>
      </c>
      <c r="AD53" s="27">
        <v>261.25452330122499</v>
      </c>
    </row>
    <row r="54" spans="1:30">
      <c r="A54" s="27" t="s">
        <v>233</v>
      </c>
      <c r="B54" s="27" t="s">
        <v>267</v>
      </c>
      <c r="C54" s="27" t="s">
        <v>198</v>
      </c>
      <c r="D54" s="27" t="s">
        <v>1156</v>
      </c>
      <c r="E54" s="27" t="s">
        <v>71</v>
      </c>
      <c r="F54" s="27" t="s">
        <v>200</v>
      </c>
      <c r="G54" s="27" t="s">
        <v>200</v>
      </c>
      <c r="H54" s="27">
        <v>368.86917837439239</v>
      </c>
      <c r="I54" s="27">
        <v>372.66363645180007</v>
      </c>
      <c r="J54" s="27">
        <v>383.56181176362583</v>
      </c>
      <c r="K54" s="27" t="s">
        <v>200</v>
      </c>
      <c r="L54" s="27" t="s">
        <v>200</v>
      </c>
      <c r="M54" s="27" t="s">
        <v>200</v>
      </c>
      <c r="N54" s="27" t="s">
        <v>200</v>
      </c>
      <c r="O54" s="27">
        <v>178.5726832665114</v>
      </c>
      <c r="P54" s="27">
        <v>152.03086362711889</v>
      </c>
      <c r="Q54" s="27">
        <v>145.63077758994001</v>
      </c>
      <c r="R54" s="27">
        <v>141.9587269416696</v>
      </c>
      <c r="S54" s="27">
        <v>140.16284152822971</v>
      </c>
      <c r="T54" s="27">
        <v>138.1514869141235</v>
      </c>
      <c r="U54" s="27">
        <v>137.4734768847907</v>
      </c>
      <c r="V54" s="27">
        <v>137.25400581041569</v>
      </c>
      <c r="W54" s="27">
        <v>137.1364481296016</v>
      </c>
      <c r="X54" s="27">
        <v>136.77812339979221</v>
      </c>
      <c r="Y54" s="27">
        <v>136.56841658069499</v>
      </c>
      <c r="Z54" s="27">
        <v>134.85727741829729</v>
      </c>
      <c r="AA54" s="27">
        <v>131.95766129670119</v>
      </c>
      <c r="AB54" s="27">
        <v>129.20241530938009</v>
      </c>
      <c r="AC54" s="27">
        <v>126.5353525167593</v>
      </c>
      <c r="AD54" s="27">
        <v>123.74428516165661</v>
      </c>
    </row>
    <row r="55" spans="1:30">
      <c r="A55" s="27" t="s">
        <v>196</v>
      </c>
      <c r="B55" s="27" t="s">
        <v>268</v>
      </c>
      <c r="C55" s="27" t="s">
        <v>198</v>
      </c>
      <c r="D55" s="27" t="s">
        <v>1156</v>
      </c>
      <c r="E55" s="27" t="s">
        <v>71</v>
      </c>
      <c r="F55" s="27" t="s">
        <v>200</v>
      </c>
      <c r="G55" s="27">
        <v>326.81529999999998</v>
      </c>
      <c r="H55" s="27">
        <v>353.44600000000003</v>
      </c>
      <c r="I55" s="27">
        <v>378.26949999999999</v>
      </c>
      <c r="J55" s="27">
        <v>362.18650000000002</v>
      </c>
      <c r="K55" s="27" t="s">
        <v>200</v>
      </c>
      <c r="L55" s="27" t="s">
        <v>200</v>
      </c>
      <c r="M55" s="27" t="s">
        <v>200</v>
      </c>
      <c r="N55" s="27" t="s">
        <v>200</v>
      </c>
      <c r="O55" s="27">
        <v>281.71749999999997</v>
      </c>
      <c r="P55" s="27">
        <v>245.27619999999999</v>
      </c>
      <c r="Q55" s="27">
        <v>229.03200000000001</v>
      </c>
      <c r="R55" s="27">
        <v>219.21289999999999</v>
      </c>
      <c r="S55" s="27">
        <v>209.99520000000001</v>
      </c>
      <c r="T55" s="27">
        <v>199.2045</v>
      </c>
      <c r="U55" s="27">
        <v>198.23179999999999</v>
      </c>
      <c r="V55" s="27">
        <v>196.5257</v>
      </c>
      <c r="W55" s="27" t="s">
        <v>200</v>
      </c>
      <c r="X55" s="27">
        <v>191.8305</v>
      </c>
      <c r="Y55" s="27" t="s">
        <v>200</v>
      </c>
      <c r="Z55" s="27">
        <v>181.9316</v>
      </c>
      <c r="AA55" s="27" t="s">
        <v>200</v>
      </c>
      <c r="AB55" s="27">
        <v>169.4188</v>
      </c>
      <c r="AC55" s="27" t="s">
        <v>200</v>
      </c>
      <c r="AD55" s="27">
        <v>161.95959999999999</v>
      </c>
    </row>
    <row r="56" spans="1:30">
      <c r="A56" s="27" t="s">
        <v>222</v>
      </c>
      <c r="B56" s="27" t="s">
        <v>269</v>
      </c>
      <c r="C56" s="27" t="s">
        <v>198</v>
      </c>
      <c r="D56" s="27" t="s">
        <v>1156</v>
      </c>
      <c r="E56" s="27" t="s">
        <v>71</v>
      </c>
      <c r="F56" s="27" t="s">
        <v>200</v>
      </c>
      <c r="G56" s="27">
        <v>328.53399999999999</v>
      </c>
      <c r="H56" s="27">
        <v>358.7029</v>
      </c>
      <c r="I56" s="27">
        <v>388.63189999999997</v>
      </c>
      <c r="J56" s="27">
        <v>383.44080000000002</v>
      </c>
      <c r="K56" s="27" t="s">
        <v>200</v>
      </c>
      <c r="L56" s="27" t="s">
        <v>200</v>
      </c>
      <c r="M56" s="27" t="s">
        <v>200</v>
      </c>
      <c r="N56" s="27" t="s">
        <v>200</v>
      </c>
      <c r="O56" s="27">
        <v>309.26490000000001</v>
      </c>
      <c r="P56" s="27">
        <v>257.53739999999999</v>
      </c>
      <c r="Q56" s="27">
        <v>231.8673</v>
      </c>
      <c r="R56" s="27">
        <v>218.39449999999999</v>
      </c>
      <c r="S56" s="27">
        <v>207.03479999999999</v>
      </c>
      <c r="T56" s="27">
        <v>196.99440000000001</v>
      </c>
      <c r="U56" s="27">
        <v>196.845</v>
      </c>
      <c r="V56" s="27">
        <v>195.12629999999999</v>
      </c>
      <c r="W56" s="27" t="s">
        <v>200</v>
      </c>
      <c r="X56" s="27">
        <v>190.7379</v>
      </c>
      <c r="Y56" s="27" t="s">
        <v>200</v>
      </c>
      <c r="Z56" s="27">
        <v>181.51820000000001</v>
      </c>
      <c r="AA56" s="27" t="s">
        <v>200</v>
      </c>
      <c r="AB56" s="27">
        <v>169.46289999999999</v>
      </c>
      <c r="AC56" s="27" t="s">
        <v>200</v>
      </c>
      <c r="AD56" s="27">
        <v>162.5703</v>
      </c>
    </row>
    <row r="57" spans="1:30">
      <c r="A57" s="27" t="s">
        <v>231</v>
      </c>
      <c r="B57" s="27" t="s">
        <v>270</v>
      </c>
      <c r="C57" s="27" t="s">
        <v>198</v>
      </c>
      <c r="D57" s="27" t="s">
        <v>1156</v>
      </c>
      <c r="E57" s="27" t="s">
        <v>71</v>
      </c>
      <c r="F57" s="27" t="s">
        <v>200</v>
      </c>
      <c r="G57" s="27">
        <v>299.754269100155</v>
      </c>
      <c r="H57" s="27">
        <v>320.30444569219401</v>
      </c>
      <c r="I57" s="27">
        <v>330.887818227433</v>
      </c>
      <c r="J57" s="27">
        <v>338.62602228113002</v>
      </c>
      <c r="K57" s="27" t="s">
        <v>200</v>
      </c>
      <c r="L57" s="27" t="s">
        <v>200</v>
      </c>
      <c r="M57" s="27" t="s">
        <v>200</v>
      </c>
      <c r="N57" s="27" t="s">
        <v>200</v>
      </c>
      <c r="O57" s="27">
        <v>291.78524257409799</v>
      </c>
      <c r="P57" s="27">
        <v>288.32219075696798</v>
      </c>
      <c r="Q57" s="27">
        <v>277.35256165859602</v>
      </c>
      <c r="R57" s="27">
        <v>274.736869412153</v>
      </c>
      <c r="S57" s="27">
        <v>268.85684984446902</v>
      </c>
      <c r="T57" s="27">
        <v>255.06420640896701</v>
      </c>
      <c r="U57" s="27">
        <v>255.84908600410299</v>
      </c>
      <c r="V57" s="27">
        <v>256.89600858575602</v>
      </c>
      <c r="W57" s="27">
        <v>257.85928279269399</v>
      </c>
      <c r="X57" s="27">
        <v>258.835564100157</v>
      </c>
      <c r="Y57" s="27">
        <v>259.95397330386498</v>
      </c>
      <c r="Z57" s="27">
        <v>260.99361918550397</v>
      </c>
      <c r="AA57" s="27">
        <v>261.48343939684202</v>
      </c>
      <c r="AB57" s="27">
        <v>261.52231051745099</v>
      </c>
      <c r="AC57" s="27">
        <v>261.11618206702701</v>
      </c>
      <c r="AD57" s="27">
        <v>259.85439599313003</v>
      </c>
    </row>
    <row r="58" spans="1:30">
      <c r="A58" s="27" t="s">
        <v>231</v>
      </c>
      <c r="B58" s="27" t="s">
        <v>271</v>
      </c>
      <c r="C58" s="27" t="s">
        <v>198</v>
      </c>
      <c r="D58" s="27" t="s">
        <v>1156</v>
      </c>
      <c r="E58" s="27" t="s">
        <v>71</v>
      </c>
      <c r="F58" s="27" t="s">
        <v>200</v>
      </c>
      <c r="G58" s="27">
        <v>299.754269100155</v>
      </c>
      <c r="H58" s="27">
        <v>320.30444569219401</v>
      </c>
      <c r="I58" s="27">
        <v>330.887818227433</v>
      </c>
      <c r="J58" s="27">
        <v>338.62602228113002</v>
      </c>
      <c r="K58" s="27" t="s">
        <v>200</v>
      </c>
      <c r="L58" s="27" t="s">
        <v>200</v>
      </c>
      <c r="M58" s="27" t="s">
        <v>200</v>
      </c>
      <c r="N58" s="27" t="s">
        <v>200</v>
      </c>
      <c r="O58" s="27">
        <v>263.46892293667202</v>
      </c>
      <c r="P58" s="27">
        <v>244.98577585727801</v>
      </c>
      <c r="Q58" s="27">
        <v>257.73683310136403</v>
      </c>
      <c r="R58" s="27">
        <v>263.74057113029198</v>
      </c>
      <c r="S58" s="27">
        <v>270.705117999425</v>
      </c>
      <c r="T58" s="27">
        <v>277.36316386941002</v>
      </c>
      <c r="U58" s="27">
        <v>280.799860074256</v>
      </c>
      <c r="V58" s="27">
        <v>283.17855144166498</v>
      </c>
      <c r="W58" s="27">
        <v>285.04032646109101</v>
      </c>
      <c r="X58" s="27">
        <v>286.14850635143898</v>
      </c>
      <c r="Y58" s="27">
        <v>286.90032858648999</v>
      </c>
      <c r="Z58" s="27">
        <v>287.98564620307701</v>
      </c>
      <c r="AA58" s="27">
        <v>289.66331232527398</v>
      </c>
      <c r="AB58" s="27">
        <v>290.94727478089902</v>
      </c>
      <c r="AC58" s="27">
        <v>290.74143485044601</v>
      </c>
      <c r="AD58" s="27">
        <v>289.80068740635198</v>
      </c>
    </row>
    <row r="59" spans="1:30">
      <c r="A59" s="27" t="s">
        <v>216</v>
      </c>
      <c r="B59" s="27" t="s">
        <v>272</v>
      </c>
      <c r="C59" s="27" t="s">
        <v>198</v>
      </c>
      <c r="D59" s="27" t="s">
        <v>1156</v>
      </c>
      <c r="E59" s="27" t="s">
        <v>71</v>
      </c>
      <c r="F59" s="27">
        <v>308.99925350927799</v>
      </c>
      <c r="G59" s="27">
        <v>334.381027503827</v>
      </c>
      <c r="H59" s="27">
        <v>333.66154451874701</v>
      </c>
      <c r="I59" s="27">
        <v>343.75284426806599</v>
      </c>
      <c r="J59" s="27">
        <v>342.56425030276699</v>
      </c>
      <c r="K59" s="27">
        <v>309.81341023040801</v>
      </c>
      <c r="L59" s="27">
        <v>293.77682852141498</v>
      </c>
      <c r="M59" s="27">
        <v>282.27617752830503</v>
      </c>
      <c r="N59" s="27">
        <v>271.99180254458201</v>
      </c>
      <c r="O59" s="27">
        <v>265.87551971719398</v>
      </c>
      <c r="P59" s="27">
        <v>222.04709606983201</v>
      </c>
      <c r="Q59" s="27">
        <v>199.13332523829899</v>
      </c>
      <c r="R59" s="27">
        <v>179.29888953318101</v>
      </c>
      <c r="S59" s="27">
        <v>162.54887554986999</v>
      </c>
      <c r="T59" s="27">
        <v>146.81684486280699</v>
      </c>
      <c r="U59" s="27">
        <v>137.91590110075401</v>
      </c>
      <c r="V59" s="27">
        <v>137.19626101266601</v>
      </c>
      <c r="W59" s="27" t="s">
        <v>200</v>
      </c>
      <c r="X59" s="27">
        <v>136.282315512227</v>
      </c>
      <c r="Y59" s="27" t="s">
        <v>200</v>
      </c>
      <c r="Z59" s="27">
        <v>134.05996460114699</v>
      </c>
      <c r="AA59" s="27" t="s">
        <v>200</v>
      </c>
      <c r="AB59" s="27">
        <v>128.17131057040999</v>
      </c>
      <c r="AC59" s="27" t="s">
        <v>200</v>
      </c>
      <c r="AD59" s="27">
        <v>122.63113920370699</v>
      </c>
    </row>
    <row r="60" spans="1:30">
      <c r="A60" s="27" t="s">
        <v>196</v>
      </c>
      <c r="B60" s="27" t="s">
        <v>273</v>
      </c>
      <c r="C60" s="27" t="s">
        <v>198</v>
      </c>
      <c r="D60" s="27" t="s">
        <v>1156</v>
      </c>
      <c r="E60" s="27" t="s">
        <v>71</v>
      </c>
      <c r="F60" s="27" t="s">
        <v>200</v>
      </c>
      <c r="G60" s="27" t="s">
        <v>200</v>
      </c>
      <c r="H60" s="27">
        <v>354.2824</v>
      </c>
      <c r="I60" s="27">
        <v>382.82010000000002</v>
      </c>
      <c r="J60" s="27">
        <v>361.74599999999998</v>
      </c>
      <c r="K60" s="27" t="s">
        <v>200</v>
      </c>
      <c r="L60" s="27" t="s">
        <v>200</v>
      </c>
      <c r="M60" s="27" t="s">
        <v>200</v>
      </c>
      <c r="N60" s="27" t="s">
        <v>200</v>
      </c>
      <c r="O60" s="27">
        <v>298.9898</v>
      </c>
      <c r="P60" s="27">
        <v>252.27449999999999</v>
      </c>
      <c r="Q60" s="27">
        <v>227.12360000000001</v>
      </c>
      <c r="R60" s="27">
        <v>214.0086</v>
      </c>
      <c r="S60" s="27">
        <v>205.03919999999999</v>
      </c>
      <c r="T60" s="27">
        <v>196.40799999999999</v>
      </c>
      <c r="U60" s="27">
        <v>196.31139999999999</v>
      </c>
      <c r="V60" s="27">
        <v>194.81319999999999</v>
      </c>
      <c r="W60" s="27" t="s">
        <v>200</v>
      </c>
      <c r="X60" s="27">
        <v>189.55099999999999</v>
      </c>
      <c r="Y60" s="27" t="s">
        <v>200</v>
      </c>
      <c r="Z60" s="27">
        <v>180.45359999999999</v>
      </c>
      <c r="AA60" s="27" t="s">
        <v>200</v>
      </c>
      <c r="AB60" s="27">
        <v>168.7672</v>
      </c>
      <c r="AC60" s="27" t="s">
        <v>200</v>
      </c>
      <c r="AD60" s="27">
        <v>161.9588</v>
      </c>
    </row>
    <row r="61" spans="1:30">
      <c r="A61" s="27" t="s">
        <v>226</v>
      </c>
      <c r="B61" s="27" t="s">
        <v>274</v>
      </c>
      <c r="C61" s="27" t="s">
        <v>198</v>
      </c>
      <c r="D61" s="27" t="s">
        <v>1156</v>
      </c>
      <c r="E61" s="27" t="s">
        <v>71</v>
      </c>
      <c r="F61" s="27" t="s">
        <v>200</v>
      </c>
      <c r="G61" s="27">
        <v>332.0804</v>
      </c>
      <c r="H61" s="27">
        <v>376.90179999999998</v>
      </c>
      <c r="I61" s="27">
        <v>422.85649999999998</v>
      </c>
      <c r="J61" s="27">
        <v>357.89659999999998</v>
      </c>
      <c r="K61" s="27" t="s">
        <v>200</v>
      </c>
      <c r="L61" s="27" t="s">
        <v>200</v>
      </c>
      <c r="M61" s="27" t="s">
        <v>200</v>
      </c>
      <c r="N61" s="27" t="s">
        <v>200</v>
      </c>
      <c r="O61" s="27">
        <v>306.06509999999997</v>
      </c>
      <c r="P61" s="27">
        <v>286.83260000000001</v>
      </c>
      <c r="Q61" s="27">
        <v>258.37909999999999</v>
      </c>
      <c r="R61" s="27">
        <v>226.9957</v>
      </c>
      <c r="S61" s="27">
        <v>200.70670000000001</v>
      </c>
      <c r="T61" s="27">
        <v>189.77430000000001</v>
      </c>
      <c r="U61" s="27">
        <v>166.60980000000001</v>
      </c>
      <c r="V61" s="27">
        <v>154.33879999999999</v>
      </c>
      <c r="W61" s="27" t="s">
        <v>200</v>
      </c>
      <c r="X61" s="27">
        <v>142.8374</v>
      </c>
      <c r="Y61" s="27" t="s">
        <v>200</v>
      </c>
      <c r="Z61" s="27">
        <v>129.2294</v>
      </c>
      <c r="AA61" s="27" t="s">
        <v>200</v>
      </c>
      <c r="AB61" s="27">
        <v>114.7735</v>
      </c>
      <c r="AC61" s="27" t="s">
        <v>200</v>
      </c>
      <c r="AD61" s="27">
        <v>100.7067</v>
      </c>
    </row>
    <row r="62" spans="1:30">
      <c r="A62" s="27" t="s">
        <v>196</v>
      </c>
      <c r="B62" s="27" t="s">
        <v>275</v>
      </c>
      <c r="C62" s="27" t="s">
        <v>198</v>
      </c>
      <c r="D62" s="27" t="s">
        <v>1156</v>
      </c>
      <c r="E62" s="27" t="s">
        <v>71</v>
      </c>
      <c r="F62" s="27" t="s">
        <v>200</v>
      </c>
      <c r="G62" s="27">
        <v>326.81529999999998</v>
      </c>
      <c r="H62" s="27">
        <v>353.34800000000001</v>
      </c>
      <c r="I62" s="27">
        <v>378.2944</v>
      </c>
      <c r="J62" s="27">
        <v>362.15469999999999</v>
      </c>
      <c r="K62" s="27" t="s">
        <v>200</v>
      </c>
      <c r="L62" s="27" t="s">
        <v>200</v>
      </c>
      <c r="M62" s="27" t="s">
        <v>200</v>
      </c>
      <c r="N62" s="27" t="s">
        <v>200</v>
      </c>
      <c r="O62" s="27">
        <v>289.5727</v>
      </c>
      <c r="P62" s="27">
        <v>254.15610000000001</v>
      </c>
      <c r="Q62" s="27">
        <v>231.6164</v>
      </c>
      <c r="R62" s="27">
        <v>218.64019999999999</v>
      </c>
      <c r="S62" s="27">
        <v>208.6155</v>
      </c>
      <c r="T62" s="27">
        <v>198.0378</v>
      </c>
      <c r="U62" s="27">
        <v>197.9616</v>
      </c>
      <c r="V62" s="27">
        <v>195.64959999999999</v>
      </c>
      <c r="W62" s="27" t="s">
        <v>200</v>
      </c>
      <c r="X62" s="27">
        <v>192.3289</v>
      </c>
      <c r="Y62" s="27" t="s">
        <v>200</v>
      </c>
      <c r="Z62" s="27">
        <v>182.82069999999999</v>
      </c>
      <c r="AA62" s="27" t="s">
        <v>200</v>
      </c>
      <c r="AB62" s="27">
        <v>170.73769999999999</v>
      </c>
      <c r="AC62" s="27" t="s">
        <v>200</v>
      </c>
      <c r="AD62" s="27">
        <v>163.56389999999999</v>
      </c>
    </row>
    <row r="63" spans="1:30">
      <c r="A63" s="27" t="s">
        <v>261</v>
      </c>
      <c r="B63" s="27" t="s">
        <v>276</v>
      </c>
      <c r="C63" s="27" t="s">
        <v>198</v>
      </c>
      <c r="D63" s="27" t="s">
        <v>1156</v>
      </c>
      <c r="E63" s="27" t="s">
        <v>71</v>
      </c>
      <c r="F63" s="27" t="s">
        <v>200</v>
      </c>
      <c r="G63" s="27">
        <v>332.5509033203125</v>
      </c>
      <c r="H63" s="27">
        <v>354.968505859375</v>
      </c>
      <c r="I63" s="27">
        <v>367.15811157226563</v>
      </c>
      <c r="J63" s="27">
        <v>356.16000366210938</v>
      </c>
      <c r="K63" s="27" t="s">
        <v>200</v>
      </c>
      <c r="L63" s="27" t="s">
        <v>200</v>
      </c>
      <c r="M63" s="27" t="s">
        <v>200</v>
      </c>
      <c r="N63" s="27" t="s">
        <v>200</v>
      </c>
      <c r="O63" s="27">
        <v>323.88690185546881</v>
      </c>
      <c r="P63" s="27">
        <v>259.56689453125</v>
      </c>
      <c r="Q63" s="27">
        <v>214.84919738769531</v>
      </c>
      <c r="R63" s="27">
        <v>191.32319641113281</v>
      </c>
      <c r="S63" s="27">
        <v>171.6947937011719</v>
      </c>
      <c r="T63" s="27">
        <v>156.79209899902341</v>
      </c>
      <c r="U63" s="27">
        <v>151.54339599609381</v>
      </c>
      <c r="V63" s="27">
        <v>149.7434997558594</v>
      </c>
      <c r="W63" s="27">
        <v>144.0881042480469</v>
      </c>
      <c r="X63" s="27">
        <v>139.7528076171875</v>
      </c>
      <c r="Y63" s="27">
        <v>136.71330261230469</v>
      </c>
      <c r="Z63" s="27">
        <v>132.3981018066406</v>
      </c>
      <c r="AA63" s="27">
        <v>127.42819976806641</v>
      </c>
      <c r="AB63" s="27">
        <v>123.7843017578125</v>
      </c>
      <c r="AC63" s="27">
        <v>117.867301940918</v>
      </c>
      <c r="AD63" s="27">
        <v>112.56199645996089</v>
      </c>
    </row>
    <row r="64" spans="1:30">
      <c r="A64" s="27" t="s">
        <v>218</v>
      </c>
      <c r="B64" s="27" t="s">
        <v>256</v>
      </c>
      <c r="C64" s="27" t="s">
        <v>198</v>
      </c>
      <c r="D64" s="27" t="s">
        <v>1156</v>
      </c>
      <c r="E64" s="27" t="s">
        <v>71</v>
      </c>
      <c r="F64" s="27" t="s">
        <v>200</v>
      </c>
      <c r="G64" s="27">
        <v>332.02449999999999</v>
      </c>
      <c r="H64" s="27">
        <v>371.62060000000002</v>
      </c>
      <c r="I64" s="27">
        <v>415.5181</v>
      </c>
      <c r="J64" s="27">
        <v>434.53300000000002</v>
      </c>
      <c r="K64" s="27" t="s">
        <v>200</v>
      </c>
      <c r="L64" s="27" t="s">
        <v>200</v>
      </c>
      <c r="M64" s="27" t="s">
        <v>200</v>
      </c>
      <c r="N64" s="27" t="s">
        <v>200</v>
      </c>
      <c r="O64" s="27">
        <v>346.84840000000003</v>
      </c>
      <c r="P64" s="27">
        <v>286.589</v>
      </c>
      <c r="Q64" s="27">
        <v>252.2766</v>
      </c>
      <c r="R64" s="27">
        <v>237.18879999999999</v>
      </c>
      <c r="S64" s="27">
        <v>227.50559999999999</v>
      </c>
      <c r="T64" s="27">
        <v>215.68690000000001</v>
      </c>
      <c r="U64" s="27">
        <v>215.7937</v>
      </c>
      <c r="V64" s="27">
        <v>214.74700000000001</v>
      </c>
      <c r="W64" s="27" t="s">
        <v>200</v>
      </c>
      <c r="X64" s="27">
        <v>210.26599999999999</v>
      </c>
      <c r="Y64" s="27" t="s">
        <v>200</v>
      </c>
      <c r="Z64" s="27">
        <v>204.41669999999999</v>
      </c>
      <c r="AA64" s="27" t="s">
        <v>200</v>
      </c>
      <c r="AB64" s="27">
        <v>194.09880000000001</v>
      </c>
      <c r="AC64" s="27" t="s">
        <v>200</v>
      </c>
      <c r="AD64" s="27">
        <v>177.8057</v>
      </c>
    </row>
    <row r="65" spans="1:30">
      <c r="A65" s="27" t="s">
        <v>203</v>
      </c>
      <c r="B65" s="27" t="s">
        <v>277</v>
      </c>
      <c r="C65" s="27" t="s">
        <v>198</v>
      </c>
      <c r="D65" s="27" t="s">
        <v>1156</v>
      </c>
      <c r="E65" s="27" t="s">
        <v>71</v>
      </c>
      <c r="F65" s="27" t="s">
        <v>200</v>
      </c>
      <c r="G65" s="27">
        <v>326.86959999999999</v>
      </c>
      <c r="H65" s="27">
        <v>352.84070000000003</v>
      </c>
      <c r="I65" s="27">
        <v>379.7047</v>
      </c>
      <c r="J65" s="27">
        <v>363.83260000000001</v>
      </c>
      <c r="K65" s="27" t="s">
        <v>200</v>
      </c>
      <c r="L65" s="27" t="s">
        <v>200</v>
      </c>
      <c r="M65" s="27" t="s">
        <v>200</v>
      </c>
      <c r="N65" s="27" t="s">
        <v>200</v>
      </c>
      <c r="O65" s="27">
        <v>307.50900000000001</v>
      </c>
      <c r="P65" s="27">
        <v>271.94060000000002</v>
      </c>
      <c r="Q65" s="27">
        <v>240.4512</v>
      </c>
      <c r="R65" s="27">
        <v>222.99809999999999</v>
      </c>
      <c r="S65" s="27">
        <v>210.2441</v>
      </c>
      <c r="T65" s="27">
        <v>199.46360000000001</v>
      </c>
      <c r="U65" s="27">
        <v>199.1465</v>
      </c>
      <c r="V65" s="27">
        <v>196.9777</v>
      </c>
      <c r="W65" s="27" t="s">
        <v>200</v>
      </c>
      <c r="X65" s="27">
        <v>191.1688</v>
      </c>
      <c r="Y65" s="27" t="s">
        <v>200</v>
      </c>
      <c r="Z65" s="27">
        <v>181.15989999999999</v>
      </c>
      <c r="AA65" s="27" t="s">
        <v>200</v>
      </c>
      <c r="AB65" s="27">
        <v>168.9795</v>
      </c>
      <c r="AC65" s="27" t="s">
        <v>200</v>
      </c>
      <c r="AD65" s="27">
        <v>162.18610000000001</v>
      </c>
    </row>
    <row r="66" spans="1:30">
      <c r="A66" s="27" t="s">
        <v>203</v>
      </c>
      <c r="B66" s="27" t="s">
        <v>278</v>
      </c>
      <c r="C66" s="27" t="s">
        <v>198</v>
      </c>
      <c r="D66" s="27" t="s">
        <v>1156</v>
      </c>
      <c r="E66" s="27" t="s">
        <v>71</v>
      </c>
      <c r="F66" s="27" t="s">
        <v>200</v>
      </c>
      <c r="G66" s="27">
        <v>326.8073</v>
      </c>
      <c r="H66" s="27">
        <v>353.26440000000002</v>
      </c>
      <c r="I66" s="27">
        <v>379.29219999999998</v>
      </c>
      <c r="J66" s="27">
        <v>362.50900000000001</v>
      </c>
      <c r="K66" s="27" t="s">
        <v>200</v>
      </c>
      <c r="L66" s="27" t="s">
        <v>200</v>
      </c>
      <c r="M66" s="27" t="s">
        <v>200</v>
      </c>
      <c r="N66" s="27" t="s">
        <v>200</v>
      </c>
      <c r="O66" s="27">
        <v>267.73160000000001</v>
      </c>
      <c r="P66" s="27">
        <v>233.00880000000001</v>
      </c>
      <c r="Q66" s="27">
        <v>216.989</v>
      </c>
      <c r="R66" s="27">
        <v>206.88220000000001</v>
      </c>
      <c r="S66" s="27">
        <v>193.77430000000001</v>
      </c>
      <c r="T66" s="27">
        <v>181.23339999999999</v>
      </c>
      <c r="U66" s="27">
        <v>181.45079999999999</v>
      </c>
      <c r="V66" s="27">
        <v>180.0128</v>
      </c>
      <c r="W66" s="27" t="s">
        <v>200</v>
      </c>
      <c r="X66" s="27">
        <v>172.36949999999999</v>
      </c>
      <c r="Y66" s="27" t="s">
        <v>200</v>
      </c>
      <c r="Z66" s="27">
        <v>160.1011</v>
      </c>
      <c r="AA66" s="27" t="s">
        <v>200</v>
      </c>
      <c r="AB66" s="27">
        <v>144.90260000000001</v>
      </c>
      <c r="AC66" s="27" t="s">
        <v>200</v>
      </c>
      <c r="AD66" s="27">
        <v>132.14609999999999</v>
      </c>
    </row>
    <row r="67" spans="1:30">
      <c r="A67" s="27" t="s">
        <v>196</v>
      </c>
      <c r="B67" s="27" t="s">
        <v>279</v>
      </c>
      <c r="C67" s="27" t="s">
        <v>198</v>
      </c>
      <c r="D67" s="27" t="s">
        <v>1156</v>
      </c>
      <c r="E67" s="27" t="s">
        <v>71</v>
      </c>
      <c r="F67" s="27" t="s">
        <v>200</v>
      </c>
      <c r="G67" s="27">
        <v>326.81529999999998</v>
      </c>
      <c r="H67" s="27">
        <v>353.34800000000001</v>
      </c>
      <c r="I67" s="27">
        <v>378.2944</v>
      </c>
      <c r="J67" s="27">
        <v>362.15469999999999</v>
      </c>
      <c r="K67" s="27" t="s">
        <v>200</v>
      </c>
      <c r="L67" s="27" t="s">
        <v>200</v>
      </c>
      <c r="M67" s="27" t="s">
        <v>200</v>
      </c>
      <c r="N67" s="27" t="s">
        <v>200</v>
      </c>
      <c r="O67" s="27">
        <v>265.08280000000002</v>
      </c>
      <c r="P67" s="27">
        <v>229.14009999999999</v>
      </c>
      <c r="Q67" s="27">
        <v>206.43719999999999</v>
      </c>
      <c r="R67" s="27">
        <v>191.8253</v>
      </c>
      <c r="S67" s="27">
        <v>177.73859999999999</v>
      </c>
      <c r="T67" s="27">
        <v>160.33240000000001</v>
      </c>
      <c r="U67" s="27">
        <v>153.67099999999999</v>
      </c>
      <c r="V67" s="27">
        <v>145.73310000000001</v>
      </c>
      <c r="W67" s="27" t="s">
        <v>200</v>
      </c>
      <c r="X67" s="27">
        <v>126.0128</v>
      </c>
      <c r="Y67" s="27" t="s">
        <v>200</v>
      </c>
      <c r="Z67" s="27">
        <v>107.104</v>
      </c>
      <c r="AA67" s="27" t="s">
        <v>200</v>
      </c>
      <c r="AB67" s="27">
        <v>91.182500000000005</v>
      </c>
      <c r="AC67" s="27" t="s">
        <v>200</v>
      </c>
      <c r="AD67" s="27">
        <v>77.569400000000002</v>
      </c>
    </row>
    <row r="68" spans="1:30">
      <c r="A68" s="27" t="s">
        <v>257</v>
      </c>
      <c r="B68" s="27" t="s">
        <v>280</v>
      </c>
      <c r="C68" s="27" t="s">
        <v>198</v>
      </c>
      <c r="D68" s="27" t="s">
        <v>1156</v>
      </c>
      <c r="E68" s="27" t="s">
        <v>71</v>
      </c>
      <c r="F68" s="27" t="s">
        <v>200</v>
      </c>
      <c r="G68" s="27" t="s">
        <v>200</v>
      </c>
      <c r="H68" s="27">
        <v>371.21170000000001</v>
      </c>
      <c r="I68" s="27">
        <v>394.06169999999997</v>
      </c>
      <c r="J68" s="27">
        <v>419.52370000000002</v>
      </c>
      <c r="K68" s="27" t="s">
        <v>200</v>
      </c>
      <c r="L68" s="27" t="s">
        <v>200</v>
      </c>
      <c r="M68" s="27" t="s">
        <v>200</v>
      </c>
      <c r="N68" s="27" t="s">
        <v>200</v>
      </c>
      <c r="O68" s="27">
        <v>291.16520000000003</v>
      </c>
      <c r="P68" s="27">
        <v>236.74170000000001</v>
      </c>
      <c r="Q68" s="27">
        <v>202.113</v>
      </c>
      <c r="R68" s="27">
        <v>186.04740000000001</v>
      </c>
      <c r="S68" s="27">
        <v>176.38409999999999</v>
      </c>
      <c r="T68" s="27">
        <v>161.84970000000001</v>
      </c>
      <c r="U68" s="27">
        <v>168.9451</v>
      </c>
      <c r="V68" s="27">
        <v>174.7621</v>
      </c>
      <c r="W68" s="27">
        <v>179.75069999999999</v>
      </c>
      <c r="X68" s="27">
        <v>184.32429999999999</v>
      </c>
      <c r="Y68" s="27">
        <v>188.34360000000001</v>
      </c>
      <c r="Z68" s="27">
        <v>191.83250000000001</v>
      </c>
      <c r="AA68" s="27">
        <v>194.74719999999999</v>
      </c>
      <c r="AB68" s="27">
        <v>197.17019999999999</v>
      </c>
      <c r="AC68" s="27">
        <v>199.09460000000001</v>
      </c>
      <c r="AD68" s="27">
        <v>200.62530000000001</v>
      </c>
    </row>
    <row r="69" spans="1:30">
      <c r="A69" s="27" t="s">
        <v>211</v>
      </c>
      <c r="B69" s="27" t="s">
        <v>240</v>
      </c>
      <c r="C69" s="27" t="s">
        <v>198</v>
      </c>
      <c r="D69" s="27" t="s">
        <v>1156</v>
      </c>
      <c r="E69" s="27" t="s">
        <v>71</v>
      </c>
      <c r="F69" s="27" t="s">
        <v>200</v>
      </c>
      <c r="G69" s="27">
        <v>334.25941165546288</v>
      </c>
      <c r="H69" s="27">
        <v>325.8025451855446</v>
      </c>
      <c r="I69" s="27" t="s">
        <v>200</v>
      </c>
      <c r="J69" s="27">
        <v>329.65354235073619</v>
      </c>
      <c r="K69" s="27" t="s">
        <v>200</v>
      </c>
      <c r="L69" s="27" t="s">
        <v>200</v>
      </c>
      <c r="M69" s="27" t="s">
        <v>200</v>
      </c>
      <c r="N69" s="27" t="s">
        <v>200</v>
      </c>
      <c r="O69" s="27" t="s">
        <v>200</v>
      </c>
      <c r="P69" s="27">
        <v>267.65751845215561</v>
      </c>
      <c r="Q69" s="27" t="s">
        <v>200</v>
      </c>
      <c r="R69" s="27">
        <v>219.92744892027611</v>
      </c>
      <c r="S69" s="27" t="s">
        <v>200</v>
      </c>
      <c r="T69" s="27">
        <v>192.0422204285567</v>
      </c>
      <c r="U69" s="27" t="s">
        <v>200</v>
      </c>
      <c r="V69" s="27">
        <v>169.06598535625571</v>
      </c>
      <c r="W69" s="27" t="s">
        <v>200</v>
      </c>
      <c r="X69" s="27">
        <v>146.72483793781319</v>
      </c>
      <c r="Y69" s="27" t="s">
        <v>200</v>
      </c>
      <c r="Z69" s="27">
        <v>127.4541507177657</v>
      </c>
      <c r="AA69" s="27" t="s">
        <v>200</v>
      </c>
      <c r="AB69" s="27">
        <v>112.9989254298756</v>
      </c>
      <c r="AC69" s="27" t="s">
        <v>200</v>
      </c>
      <c r="AD69" s="27">
        <v>103.2371542816921</v>
      </c>
    </row>
    <row r="70" spans="1:30">
      <c r="A70" s="27" t="s">
        <v>203</v>
      </c>
      <c r="B70" s="27" t="s">
        <v>281</v>
      </c>
      <c r="C70" s="27" t="s">
        <v>198</v>
      </c>
      <c r="D70" s="27" t="s">
        <v>1156</v>
      </c>
      <c r="E70" s="27" t="s">
        <v>71</v>
      </c>
      <c r="F70" s="27" t="s">
        <v>200</v>
      </c>
      <c r="G70" s="27">
        <v>326.8073</v>
      </c>
      <c r="H70" s="27">
        <v>353.26440000000002</v>
      </c>
      <c r="I70" s="27">
        <v>379.29219999999998</v>
      </c>
      <c r="J70" s="27">
        <v>362.50900000000001</v>
      </c>
      <c r="K70" s="27" t="s">
        <v>200</v>
      </c>
      <c r="L70" s="27" t="s">
        <v>200</v>
      </c>
      <c r="M70" s="27" t="s">
        <v>200</v>
      </c>
      <c r="N70" s="27" t="s">
        <v>200</v>
      </c>
      <c r="O70" s="27">
        <v>293.6182</v>
      </c>
      <c r="P70" s="27">
        <v>255.95089999999999</v>
      </c>
      <c r="Q70" s="27">
        <v>231.9058</v>
      </c>
      <c r="R70" s="27">
        <v>217.9342</v>
      </c>
      <c r="S70" s="27">
        <v>208.15979999999999</v>
      </c>
      <c r="T70" s="27">
        <v>198.07249999999999</v>
      </c>
      <c r="U70" s="27">
        <v>198.1388</v>
      </c>
      <c r="V70" s="27">
        <v>197.04</v>
      </c>
      <c r="W70" s="27" t="s">
        <v>200</v>
      </c>
      <c r="X70" s="27">
        <v>192.43610000000001</v>
      </c>
      <c r="Y70" s="27" t="s">
        <v>200</v>
      </c>
      <c r="Z70" s="27">
        <v>183.41640000000001</v>
      </c>
      <c r="AA70" s="27" t="s">
        <v>200</v>
      </c>
      <c r="AB70" s="27">
        <v>171.5403</v>
      </c>
      <c r="AC70" s="27" t="s">
        <v>200</v>
      </c>
      <c r="AD70" s="27">
        <v>164.32419999999999</v>
      </c>
    </row>
    <row r="71" spans="1:30">
      <c r="A71" s="27" t="s">
        <v>282</v>
      </c>
      <c r="B71" s="27" t="s">
        <v>283</v>
      </c>
      <c r="C71" s="27" t="s">
        <v>198</v>
      </c>
      <c r="D71" s="27" t="s">
        <v>1156</v>
      </c>
      <c r="E71" s="27" t="s">
        <v>71</v>
      </c>
      <c r="F71" s="27" t="s">
        <v>200</v>
      </c>
      <c r="G71" s="27" t="s">
        <v>200</v>
      </c>
      <c r="H71" s="27">
        <v>333.25861715674989</v>
      </c>
      <c r="I71" s="27">
        <v>342.72208211085342</v>
      </c>
      <c r="J71" s="27">
        <v>348.88043716508128</v>
      </c>
      <c r="K71" s="27" t="s">
        <v>200</v>
      </c>
      <c r="L71" s="27" t="s">
        <v>200</v>
      </c>
      <c r="M71" s="27" t="s">
        <v>200</v>
      </c>
      <c r="N71" s="27" t="s">
        <v>200</v>
      </c>
      <c r="O71" s="27" t="s">
        <v>200</v>
      </c>
      <c r="P71" s="27">
        <v>233.06467159277699</v>
      </c>
      <c r="Q71" s="27" t="s">
        <v>200</v>
      </c>
      <c r="R71" s="27">
        <v>186.50560699393401</v>
      </c>
      <c r="S71" s="27" t="s">
        <v>200</v>
      </c>
      <c r="T71" s="27">
        <v>148.96714711205021</v>
      </c>
      <c r="U71" s="27" t="s">
        <v>200</v>
      </c>
      <c r="V71" s="27">
        <v>131.8676507313069</v>
      </c>
      <c r="W71" s="27" t="s">
        <v>200</v>
      </c>
      <c r="X71" s="27">
        <v>121.2119652891984</v>
      </c>
      <c r="Y71" s="27" t="s">
        <v>200</v>
      </c>
      <c r="Z71" s="27">
        <v>112.2166459092596</v>
      </c>
      <c r="AA71" s="27" t="s">
        <v>200</v>
      </c>
      <c r="AB71" s="27">
        <v>108.3496478453458</v>
      </c>
      <c r="AC71" s="27" t="s">
        <v>200</v>
      </c>
      <c r="AD71" s="27">
        <v>103.8953710186433</v>
      </c>
    </row>
    <row r="72" spans="1:30">
      <c r="A72" s="27" t="s">
        <v>203</v>
      </c>
      <c r="B72" s="27" t="s">
        <v>284</v>
      </c>
      <c r="C72" s="27" t="s">
        <v>198</v>
      </c>
      <c r="D72" s="27" t="s">
        <v>1156</v>
      </c>
      <c r="E72" s="27" t="s">
        <v>71</v>
      </c>
      <c r="F72" s="27" t="s">
        <v>200</v>
      </c>
      <c r="G72" s="27">
        <v>326.8073</v>
      </c>
      <c r="H72" s="27">
        <v>353.26440000000002</v>
      </c>
      <c r="I72" s="27">
        <v>379.29219999999998</v>
      </c>
      <c r="J72" s="27">
        <v>362.50900000000001</v>
      </c>
      <c r="K72" s="27" t="s">
        <v>200</v>
      </c>
      <c r="L72" s="27" t="s">
        <v>200</v>
      </c>
      <c r="M72" s="27" t="s">
        <v>200</v>
      </c>
      <c r="N72" s="27" t="s">
        <v>200</v>
      </c>
      <c r="O72" s="27">
        <v>269.18299999999999</v>
      </c>
      <c r="P72" s="27">
        <v>230.35169999999999</v>
      </c>
      <c r="Q72" s="27">
        <v>206.90770000000001</v>
      </c>
      <c r="R72" s="27">
        <v>191.67060000000001</v>
      </c>
      <c r="S72" s="27">
        <v>177.5752</v>
      </c>
      <c r="T72" s="27">
        <v>160.22329999999999</v>
      </c>
      <c r="U72" s="27">
        <v>153.76609999999999</v>
      </c>
      <c r="V72" s="27">
        <v>146.09030000000001</v>
      </c>
      <c r="W72" s="27" t="s">
        <v>200</v>
      </c>
      <c r="X72" s="27">
        <v>126.20950000000001</v>
      </c>
      <c r="Y72" s="27" t="s">
        <v>200</v>
      </c>
      <c r="Z72" s="27">
        <v>107.1695</v>
      </c>
      <c r="AA72" s="27" t="s">
        <v>200</v>
      </c>
      <c r="AB72" s="27">
        <v>91.143900000000002</v>
      </c>
      <c r="AC72" s="27" t="s">
        <v>200</v>
      </c>
      <c r="AD72" s="27">
        <v>77.735900000000001</v>
      </c>
    </row>
    <row r="73" spans="1:30">
      <c r="A73" s="27" t="s">
        <v>203</v>
      </c>
      <c r="B73" s="27" t="s">
        <v>285</v>
      </c>
      <c r="C73" s="27" t="s">
        <v>198</v>
      </c>
      <c r="D73" s="27" t="s">
        <v>1156</v>
      </c>
      <c r="E73" s="27" t="s">
        <v>71</v>
      </c>
      <c r="F73" s="27" t="s">
        <v>200</v>
      </c>
      <c r="G73" s="27">
        <v>326.86959999999999</v>
      </c>
      <c r="H73" s="27">
        <v>352.7962</v>
      </c>
      <c r="I73" s="27">
        <v>379.75749999999999</v>
      </c>
      <c r="J73" s="27">
        <v>363.80009999999999</v>
      </c>
      <c r="K73" s="27" t="s">
        <v>200</v>
      </c>
      <c r="L73" s="27" t="s">
        <v>200</v>
      </c>
      <c r="M73" s="27" t="s">
        <v>200</v>
      </c>
      <c r="N73" s="27" t="s">
        <v>200</v>
      </c>
      <c r="O73" s="27">
        <v>269.96280000000002</v>
      </c>
      <c r="P73" s="27">
        <v>247.97559999999999</v>
      </c>
      <c r="Q73" s="27">
        <v>226.41900000000001</v>
      </c>
      <c r="R73" s="27">
        <v>205.6284</v>
      </c>
      <c r="S73" s="27">
        <v>190.3586</v>
      </c>
      <c r="T73" s="27">
        <v>172.3817</v>
      </c>
      <c r="U73" s="27">
        <v>163.92670000000001</v>
      </c>
      <c r="V73" s="27">
        <v>154.5684</v>
      </c>
      <c r="W73" s="27" t="s">
        <v>200</v>
      </c>
      <c r="X73" s="27">
        <v>132.88499999999999</v>
      </c>
      <c r="Y73" s="27" t="s">
        <v>200</v>
      </c>
      <c r="Z73" s="27">
        <v>111.4863</v>
      </c>
      <c r="AA73" s="27" t="s">
        <v>200</v>
      </c>
      <c r="AB73" s="27">
        <v>94.474999999999994</v>
      </c>
      <c r="AC73" s="27" t="s">
        <v>200</v>
      </c>
      <c r="AD73" s="27">
        <v>80.221699999999998</v>
      </c>
    </row>
    <row r="74" spans="1:30">
      <c r="A74" s="27" t="s">
        <v>196</v>
      </c>
      <c r="B74" s="27" t="s">
        <v>286</v>
      </c>
      <c r="C74" s="27" t="s">
        <v>198</v>
      </c>
      <c r="D74" s="27" t="s">
        <v>1156</v>
      </c>
      <c r="E74" s="27" t="s">
        <v>71</v>
      </c>
      <c r="F74" s="27" t="s">
        <v>200</v>
      </c>
      <c r="G74" s="27">
        <v>326.81529999999998</v>
      </c>
      <c r="H74" s="27">
        <v>353.44600000000003</v>
      </c>
      <c r="I74" s="27">
        <v>378.26949999999999</v>
      </c>
      <c r="J74" s="27">
        <v>362.18650000000002</v>
      </c>
      <c r="K74" s="27" t="s">
        <v>200</v>
      </c>
      <c r="L74" s="27" t="s">
        <v>200</v>
      </c>
      <c r="M74" s="27" t="s">
        <v>200</v>
      </c>
      <c r="N74" s="27" t="s">
        <v>200</v>
      </c>
      <c r="O74" s="27">
        <v>260.39569999999998</v>
      </c>
      <c r="P74" s="27">
        <v>227.0652</v>
      </c>
      <c r="Q74" s="27">
        <v>216.82339999999999</v>
      </c>
      <c r="R74" s="27">
        <v>208.89250000000001</v>
      </c>
      <c r="S74" s="27">
        <v>203.59010000000001</v>
      </c>
      <c r="T74" s="27">
        <v>197.15199999999999</v>
      </c>
      <c r="U74" s="27">
        <v>198.76329999999999</v>
      </c>
      <c r="V74" s="27">
        <v>198.20240000000001</v>
      </c>
      <c r="W74" s="27" t="s">
        <v>200</v>
      </c>
      <c r="X74" s="27">
        <v>194.74639999999999</v>
      </c>
      <c r="Y74" s="27" t="s">
        <v>200</v>
      </c>
      <c r="Z74" s="27">
        <v>185.3081</v>
      </c>
      <c r="AA74" s="27" t="s">
        <v>200</v>
      </c>
      <c r="AB74" s="27">
        <v>173.054</v>
      </c>
      <c r="AC74" s="27" t="s">
        <v>200</v>
      </c>
      <c r="AD74" s="27">
        <v>165.39510000000001</v>
      </c>
    </row>
    <row r="75" spans="1:30">
      <c r="A75" s="27" t="s">
        <v>282</v>
      </c>
      <c r="B75" s="27" t="s">
        <v>243</v>
      </c>
      <c r="C75" s="27" t="s">
        <v>198</v>
      </c>
      <c r="D75" s="27" t="s">
        <v>1156</v>
      </c>
      <c r="E75" s="27" t="s">
        <v>71</v>
      </c>
      <c r="F75" s="27">
        <v>309.87015753380899</v>
      </c>
      <c r="G75" s="27">
        <v>334.57317470534701</v>
      </c>
      <c r="H75" s="27">
        <v>327.919060585929</v>
      </c>
      <c r="I75" s="27" t="s">
        <v>200</v>
      </c>
      <c r="J75" s="27">
        <v>332.91385266993001</v>
      </c>
      <c r="K75" s="27" t="s">
        <v>200</v>
      </c>
      <c r="L75" s="27" t="s">
        <v>200</v>
      </c>
      <c r="M75" s="27" t="s">
        <v>200</v>
      </c>
      <c r="N75" s="27" t="s">
        <v>200</v>
      </c>
      <c r="O75" s="27" t="s">
        <v>200</v>
      </c>
      <c r="P75" s="27">
        <v>264.3574061228</v>
      </c>
      <c r="Q75" s="27" t="s">
        <v>200</v>
      </c>
      <c r="R75" s="27">
        <v>220.08477115719401</v>
      </c>
      <c r="S75" s="27" t="s">
        <v>200</v>
      </c>
      <c r="T75" s="27">
        <v>181.41218380418599</v>
      </c>
      <c r="U75" s="27" t="s">
        <v>200</v>
      </c>
      <c r="V75" s="27">
        <v>153.88496937473599</v>
      </c>
      <c r="W75" s="27" t="s">
        <v>200</v>
      </c>
      <c r="X75" s="27">
        <v>128.69165689784001</v>
      </c>
      <c r="Y75" s="27" t="s">
        <v>200</v>
      </c>
      <c r="Z75" s="27">
        <v>110.85518089024499</v>
      </c>
      <c r="AA75" s="27" t="s">
        <v>200</v>
      </c>
      <c r="AB75" s="27">
        <v>98.000984167666601</v>
      </c>
      <c r="AC75" s="27" t="s">
        <v>200</v>
      </c>
      <c r="AD75" s="27">
        <v>88.801828687855306</v>
      </c>
    </row>
    <row r="76" spans="1:30">
      <c r="A76" s="27" t="s">
        <v>207</v>
      </c>
      <c r="B76" s="27" t="s">
        <v>202</v>
      </c>
      <c r="C76" s="27" t="s">
        <v>198</v>
      </c>
      <c r="D76" s="27" t="s">
        <v>1156</v>
      </c>
      <c r="E76" s="27" t="s">
        <v>71</v>
      </c>
      <c r="F76" s="27">
        <v>308.99925350927839</v>
      </c>
      <c r="G76" s="27">
        <v>334.38102750382672</v>
      </c>
      <c r="H76" s="27">
        <v>333.66154451874712</v>
      </c>
      <c r="I76" s="27">
        <v>343.75284426806581</v>
      </c>
      <c r="J76" s="27">
        <v>343.92780328746659</v>
      </c>
      <c r="K76" s="27" t="s">
        <v>200</v>
      </c>
      <c r="L76" s="27" t="s">
        <v>200</v>
      </c>
      <c r="M76" s="27" t="s">
        <v>200</v>
      </c>
      <c r="N76" s="27" t="s">
        <v>200</v>
      </c>
      <c r="O76" s="27">
        <v>268.83230074609469</v>
      </c>
      <c r="P76" s="27">
        <v>229.1137002175964</v>
      </c>
      <c r="Q76" s="27">
        <v>208.2582804055983</v>
      </c>
      <c r="R76" s="27">
        <v>185.49176428300291</v>
      </c>
      <c r="S76" s="27">
        <v>166.5513386105832</v>
      </c>
      <c r="T76" s="27">
        <v>148.7151712684323</v>
      </c>
      <c r="U76" s="27">
        <v>139.04652555641579</v>
      </c>
      <c r="V76" s="27">
        <v>133.18475131545259</v>
      </c>
      <c r="W76" s="27" t="s">
        <v>200</v>
      </c>
      <c r="X76" s="27">
        <v>136.1695968941396</v>
      </c>
      <c r="Y76" s="27" t="s">
        <v>200</v>
      </c>
      <c r="Z76" s="27">
        <v>138.9535072442653</v>
      </c>
      <c r="AA76" s="27" t="s">
        <v>200</v>
      </c>
      <c r="AB76" s="27">
        <v>134.28096912807169</v>
      </c>
      <c r="AC76" s="27" t="s">
        <v>200</v>
      </c>
      <c r="AD76" s="27">
        <v>126.5999456527372</v>
      </c>
    </row>
    <row r="77" spans="1:30">
      <c r="A77" s="27" t="s">
        <v>216</v>
      </c>
      <c r="B77" s="27" t="s">
        <v>287</v>
      </c>
      <c r="C77" s="27" t="s">
        <v>198</v>
      </c>
      <c r="D77" s="27" t="s">
        <v>1156</v>
      </c>
      <c r="E77" s="27" t="s">
        <v>71</v>
      </c>
      <c r="F77" s="27">
        <v>308.99925350927799</v>
      </c>
      <c r="G77" s="27">
        <v>334.381027503827</v>
      </c>
      <c r="H77" s="27">
        <v>333.66154451874701</v>
      </c>
      <c r="I77" s="27">
        <v>343.75284426806599</v>
      </c>
      <c r="J77" s="27">
        <v>343.08840008530598</v>
      </c>
      <c r="K77" s="27">
        <v>311.52172706826201</v>
      </c>
      <c r="L77" s="27">
        <v>294.617998937143</v>
      </c>
      <c r="M77" s="27">
        <v>282.45746009413898</v>
      </c>
      <c r="N77" s="27">
        <v>272.461805165339</v>
      </c>
      <c r="O77" s="27">
        <v>265.82380870822902</v>
      </c>
      <c r="P77" s="27">
        <v>217.726393502956</v>
      </c>
      <c r="Q77" s="27">
        <v>197.19281567650799</v>
      </c>
      <c r="R77" s="27">
        <v>178.27213672187401</v>
      </c>
      <c r="S77" s="27">
        <v>161.11261217059001</v>
      </c>
      <c r="T77" s="27">
        <v>146.14692693212399</v>
      </c>
      <c r="U77" s="27">
        <v>137.76122231972701</v>
      </c>
      <c r="V77" s="27">
        <v>137.36535252726699</v>
      </c>
      <c r="W77" s="27" t="s">
        <v>200</v>
      </c>
      <c r="X77" s="27">
        <v>137.124423492196</v>
      </c>
      <c r="Y77" s="27" t="s">
        <v>200</v>
      </c>
      <c r="Z77" s="27">
        <v>135.50604824112199</v>
      </c>
      <c r="AA77" s="27" t="s">
        <v>200</v>
      </c>
      <c r="AB77" s="27">
        <v>130.07778574279899</v>
      </c>
      <c r="AC77" s="27" t="s">
        <v>200</v>
      </c>
      <c r="AD77" s="27">
        <v>125.304862407972</v>
      </c>
    </row>
    <row r="78" spans="1:30">
      <c r="A78" s="27" t="s">
        <v>207</v>
      </c>
      <c r="B78" s="27" t="s">
        <v>273</v>
      </c>
      <c r="C78" s="27" t="s">
        <v>198</v>
      </c>
      <c r="D78" s="27" t="s">
        <v>1156</v>
      </c>
      <c r="E78" s="27" t="s">
        <v>71</v>
      </c>
      <c r="F78" s="27" t="s">
        <v>200</v>
      </c>
      <c r="G78" s="27" t="s">
        <v>200</v>
      </c>
      <c r="H78" s="27">
        <v>333.66154449999999</v>
      </c>
      <c r="I78" s="27">
        <v>343.75284429999999</v>
      </c>
      <c r="J78" s="27">
        <v>343.92780329999999</v>
      </c>
      <c r="K78" s="27" t="s">
        <v>200</v>
      </c>
      <c r="L78" s="27" t="s">
        <v>200</v>
      </c>
      <c r="M78" s="27" t="s">
        <v>200</v>
      </c>
      <c r="N78" s="27" t="s">
        <v>200</v>
      </c>
      <c r="O78" s="27">
        <v>269.7948361</v>
      </c>
      <c r="P78" s="27">
        <v>230.36631589999999</v>
      </c>
      <c r="Q78" s="27">
        <v>206.91664879999999</v>
      </c>
      <c r="R78" s="27">
        <v>183.3245642</v>
      </c>
      <c r="S78" s="27">
        <v>164.00312489999999</v>
      </c>
      <c r="T78" s="27">
        <v>145.56037620000001</v>
      </c>
      <c r="U78" s="27">
        <v>134.29886350000001</v>
      </c>
      <c r="V78" s="27">
        <v>128.31878610000001</v>
      </c>
      <c r="W78" s="27" t="s">
        <v>200</v>
      </c>
      <c r="X78" s="27">
        <v>129.123051</v>
      </c>
      <c r="Y78" s="27" t="s">
        <v>200</v>
      </c>
      <c r="Z78" s="27">
        <v>128.7091681</v>
      </c>
      <c r="AA78" s="27" t="s">
        <v>200</v>
      </c>
      <c r="AB78" s="27">
        <v>122.93250810000001</v>
      </c>
      <c r="AC78" s="27" t="s">
        <v>200</v>
      </c>
      <c r="AD78" s="27">
        <v>118.6687608</v>
      </c>
    </row>
    <row r="79" spans="1:30">
      <c r="A79" s="27" t="s">
        <v>247</v>
      </c>
      <c r="B79" s="27" t="s">
        <v>288</v>
      </c>
      <c r="C79" s="27" t="s">
        <v>198</v>
      </c>
      <c r="D79" s="27" t="s">
        <v>1156</v>
      </c>
      <c r="E79" s="27" t="s">
        <v>71</v>
      </c>
      <c r="F79" s="27">
        <v>284.25949096679699</v>
      </c>
      <c r="G79" s="27">
        <v>314.13845825195301</v>
      </c>
      <c r="H79" s="27">
        <v>343.89163208007801</v>
      </c>
      <c r="I79" s="27" t="s">
        <v>200</v>
      </c>
      <c r="J79" s="27">
        <v>375.40768432617199</v>
      </c>
      <c r="K79" s="27" t="s">
        <v>200</v>
      </c>
      <c r="L79" s="27" t="s">
        <v>200</v>
      </c>
      <c r="M79" s="27" t="s">
        <v>200</v>
      </c>
      <c r="N79" s="27" t="s">
        <v>200</v>
      </c>
      <c r="O79" s="27" t="s">
        <v>200</v>
      </c>
      <c r="P79" s="27">
        <v>173.76255798339801</v>
      </c>
      <c r="Q79" s="27" t="s">
        <v>200</v>
      </c>
      <c r="R79" s="27">
        <v>137.256591796875</v>
      </c>
      <c r="S79" s="27" t="s">
        <v>200</v>
      </c>
      <c r="T79" s="27">
        <v>111.044158935547</v>
      </c>
      <c r="U79" s="27" t="s">
        <v>200</v>
      </c>
      <c r="V79" s="27">
        <v>90.278656005859418</v>
      </c>
      <c r="W79" s="27" t="s">
        <v>200</v>
      </c>
      <c r="X79" s="27">
        <v>73.654350280761705</v>
      </c>
      <c r="Y79" s="27" t="s">
        <v>200</v>
      </c>
      <c r="Z79" s="27">
        <v>66.308303833007798</v>
      </c>
      <c r="AA79" s="27" t="s">
        <v>200</v>
      </c>
      <c r="AB79" s="27">
        <v>60.969879150390597</v>
      </c>
      <c r="AC79" s="27" t="s">
        <v>200</v>
      </c>
      <c r="AD79" s="27">
        <v>56.373737335205099</v>
      </c>
    </row>
    <row r="80" spans="1:30">
      <c r="A80" s="27" t="s">
        <v>211</v>
      </c>
      <c r="B80" s="27" t="s">
        <v>256</v>
      </c>
      <c r="C80" s="27" t="s">
        <v>198</v>
      </c>
      <c r="D80" s="27" t="s">
        <v>1156</v>
      </c>
      <c r="E80" s="27" t="s">
        <v>71</v>
      </c>
      <c r="F80" s="27" t="s">
        <v>200</v>
      </c>
      <c r="G80" s="27">
        <v>334.35930130000003</v>
      </c>
      <c r="H80" s="27">
        <v>325.28741220000001</v>
      </c>
      <c r="I80" s="27" t="s">
        <v>200</v>
      </c>
      <c r="J80" s="27">
        <v>328.08740219999999</v>
      </c>
      <c r="K80" s="27" t="s">
        <v>200</v>
      </c>
      <c r="L80" s="27" t="s">
        <v>200</v>
      </c>
      <c r="M80" s="27" t="s">
        <v>200</v>
      </c>
      <c r="N80" s="27" t="s">
        <v>200</v>
      </c>
      <c r="O80" s="27" t="s">
        <v>200</v>
      </c>
      <c r="P80" s="27">
        <v>238.41591080000001</v>
      </c>
      <c r="Q80" s="27" t="s">
        <v>200</v>
      </c>
      <c r="R80" s="27">
        <v>198.3838002</v>
      </c>
      <c r="S80" s="27" t="s">
        <v>200</v>
      </c>
      <c r="T80" s="27">
        <v>169.9635342</v>
      </c>
      <c r="U80" s="27" t="s">
        <v>200</v>
      </c>
      <c r="V80" s="27">
        <v>147.54687730000001</v>
      </c>
      <c r="W80" s="27" t="s">
        <v>200</v>
      </c>
      <c r="X80" s="27">
        <v>128.93450150000001</v>
      </c>
      <c r="Y80" s="27" t="s">
        <v>200</v>
      </c>
      <c r="Z80" s="27">
        <v>115.8014905</v>
      </c>
      <c r="AA80" s="27" t="s">
        <v>200</v>
      </c>
      <c r="AB80" s="27">
        <v>106.1449909</v>
      </c>
      <c r="AC80" s="27" t="s">
        <v>200</v>
      </c>
      <c r="AD80" s="27">
        <v>100.15275219999999</v>
      </c>
    </row>
    <row r="81" spans="1:30">
      <c r="A81" s="27" t="s">
        <v>196</v>
      </c>
      <c r="B81" s="27" t="s">
        <v>267</v>
      </c>
      <c r="C81" s="27" t="s">
        <v>198</v>
      </c>
      <c r="D81" s="27" t="s">
        <v>1156</v>
      </c>
      <c r="E81" s="27" t="s">
        <v>71</v>
      </c>
      <c r="F81" s="27" t="s">
        <v>200</v>
      </c>
      <c r="G81" s="27">
        <v>326.81529999999998</v>
      </c>
      <c r="H81" s="27">
        <v>353.44600000000003</v>
      </c>
      <c r="I81" s="27">
        <v>378.26949999999999</v>
      </c>
      <c r="J81" s="27">
        <v>362.18650000000002</v>
      </c>
      <c r="K81" s="27" t="s">
        <v>200</v>
      </c>
      <c r="L81" s="27" t="s">
        <v>200</v>
      </c>
      <c r="M81" s="27" t="s">
        <v>200</v>
      </c>
      <c r="N81" s="27" t="s">
        <v>200</v>
      </c>
      <c r="O81" s="27">
        <v>272.61040000000003</v>
      </c>
      <c r="P81" s="27">
        <v>236.7655</v>
      </c>
      <c r="Q81" s="27">
        <v>223.12809999999999</v>
      </c>
      <c r="R81" s="27">
        <v>214.1146</v>
      </c>
      <c r="S81" s="27">
        <v>205.8922</v>
      </c>
      <c r="T81" s="27">
        <v>197.2893</v>
      </c>
      <c r="U81" s="27">
        <v>198.20230000000001</v>
      </c>
      <c r="V81" s="27">
        <v>198.12029999999999</v>
      </c>
      <c r="W81" s="27" t="s">
        <v>200</v>
      </c>
      <c r="X81" s="27">
        <v>194.40389999999999</v>
      </c>
      <c r="Y81" s="27" t="s">
        <v>200</v>
      </c>
      <c r="Z81" s="27">
        <v>184.97460000000001</v>
      </c>
      <c r="AA81" s="27" t="s">
        <v>200</v>
      </c>
      <c r="AB81" s="27">
        <v>172.52600000000001</v>
      </c>
      <c r="AC81" s="27" t="s">
        <v>200</v>
      </c>
      <c r="AD81" s="27">
        <v>165.0121</v>
      </c>
    </row>
    <row r="82" spans="1:30">
      <c r="A82" s="27" t="s">
        <v>207</v>
      </c>
      <c r="B82" s="27" t="s">
        <v>201</v>
      </c>
      <c r="C82" s="27" t="s">
        <v>198</v>
      </c>
      <c r="D82" s="27" t="s">
        <v>1156</v>
      </c>
      <c r="E82" s="27" t="s">
        <v>71</v>
      </c>
      <c r="F82" s="27" t="s">
        <v>200</v>
      </c>
      <c r="G82" s="27" t="s">
        <v>200</v>
      </c>
      <c r="H82" s="27">
        <v>333.66154449999999</v>
      </c>
      <c r="I82" s="27">
        <v>343.75284429999999</v>
      </c>
      <c r="J82" s="27">
        <v>343.92780329999999</v>
      </c>
      <c r="K82" s="27" t="s">
        <v>200</v>
      </c>
      <c r="L82" s="27" t="s">
        <v>200</v>
      </c>
      <c r="M82" s="27" t="s">
        <v>200</v>
      </c>
      <c r="N82" s="27" t="s">
        <v>200</v>
      </c>
      <c r="O82" s="27">
        <v>269.25348489999999</v>
      </c>
      <c r="P82" s="27">
        <v>230.17253909999999</v>
      </c>
      <c r="Q82" s="27">
        <v>208.8604545</v>
      </c>
      <c r="R82" s="27">
        <v>186.06648329999999</v>
      </c>
      <c r="S82" s="27">
        <v>166.3080358</v>
      </c>
      <c r="T82" s="27">
        <v>147.7310258</v>
      </c>
      <c r="U82" s="27">
        <v>136.75208309999999</v>
      </c>
      <c r="V82" s="27">
        <v>131.69692939999999</v>
      </c>
      <c r="W82" s="27" t="s">
        <v>200</v>
      </c>
      <c r="X82" s="27">
        <v>133.13657799999999</v>
      </c>
      <c r="Y82" s="27" t="s">
        <v>200</v>
      </c>
      <c r="Z82" s="27">
        <v>134.32671060000001</v>
      </c>
      <c r="AA82" s="27" t="s">
        <v>200</v>
      </c>
      <c r="AB82" s="27">
        <v>129.75320489999999</v>
      </c>
      <c r="AC82" s="27" t="s">
        <v>200</v>
      </c>
      <c r="AD82" s="27">
        <v>126.3740811</v>
      </c>
    </row>
    <row r="83" spans="1:30">
      <c r="A83" s="27" t="s">
        <v>196</v>
      </c>
      <c r="B83" s="27" t="s">
        <v>289</v>
      </c>
      <c r="C83" s="27" t="s">
        <v>198</v>
      </c>
      <c r="D83" s="27" t="s">
        <v>1156</v>
      </c>
      <c r="E83" s="27" t="s">
        <v>71</v>
      </c>
      <c r="F83" s="27" t="s">
        <v>200</v>
      </c>
      <c r="G83" s="27">
        <v>327.61509999999998</v>
      </c>
      <c r="H83" s="27">
        <v>358.92090000000002</v>
      </c>
      <c r="I83" s="27">
        <v>372.18079999999998</v>
      </c>
      <c r="J83" s="27">
        <v>354.85899999999998</v>
      </c>
      <c r="K83" s="27" t="s">
        <v>200</v>
      </c>
      <c r="L83" s="27" t="s">
        <v>200</v>
      </c>
      <c r="M83" s="27" t="s">
        <v>200</v>
      </c>
      <c r="N83" s="27" t="s">
        <v>200</v>
      </c>
      <c r="O83" s="27">
        <v>266.32209999999998</v>
      </c>
      <c r="P83" s="27">
        <v>222.73830000000001</v>
      </c>
      <c r="Q83" s="27">
        <v>200.03720000000001</v>
      </c>
      <c r="R83" s="27">
        <v>183.3776</v>
      </c>
      <c r="S83" s="27">
        <v>171.09389999999999</v>
      </c>
      <c r="T83" s="27">
        <v>156.25989999999999</v>
      </c>
      <c r="U83" s="27">
        <v>150.87479999999999</v>
      </c>
      <c r="V83" s="27">
        <v>144.01929999999999</v>
      </c>
      <c r="W83" s="27" t="s">
        <v>200</v>
      </c>
      <c r="X83" s="27">
        <v>124.8302</v>
      </c>
      <c r="Y83" s="27" t="s">
        <v>200</v>
      </c>
      <c r="Z83" s="27">
        <v>106.39230000000001</v>
      </c>
      <c r="AA83" s="27" t="s">
        <v>200</v>
      </c>
      <c r="AB83" s="27">
        <v>90.7303</v>
      </c>
      <c r="AC83" s="27" t="s">
        <v>200</v>
      </c>
      <c r="AD83" s="27">
        <v>77.387200000000007</v>
      </c>
    </row>
    <row r="84" spans="1:30">
      <c r="A84" s="27" t="s">
        <v>233</v>
      </c>
      <c r="B84" s="27" t="s">
        <v>230</v>
      </c>
      <c r="C84" s="27" t="s">
        <v>198</v>
      </c>
      <c r="D84" s="27" t="s">
        <v>1156</v>
      </c>
      <c r="E84" s="27" t="s">
        <v>71</v>
      </c>
      <c r="F84" s="27" t="s">
        <v>200</v>
      </c>
      <c r="G84" s="27" t="s">
        <v>200</v>
      </c>
      <c r="H84" s="27">
        <v>368.86917837439239</v>
      </c>
      <c r="I84" s="27">
        <v>372.66363645180007</v>
      </c>
      <c r="J84" s="27">
        <v>383.56181176362583</v>
      </c>
      <c r="K84" s="27" t="s">
        <v>200</v>
      </c>
      <c r="L84" s="27" t="s">
        <v>200</v>
      </c>
      <c r="M84" s="27" t="s">
        <v>200</v>
      </c>
      <c r="N84" s="27" t="s">
        <v>200</v>
      </c>
      <c r="O84" s="27">
        <v>171.75218268721591</v>
      </c>
      <c r="P84" s="27">
        <v>149.95620270878339</v>
      </c>
      <c r="Q84" s="27">
        <v>144.672475968084</v>
      </c>
      <c r="R84" s="27">
        <v>141.16529889708289</v>
      </c>
      <c r="S84" s="27">
        <v>138.95251138440051</v>
      </c>
      <c r="T84" s="27">
        <v>137.18823906997989</v>
      </c>
      <c r="U84" s="27">
        <v>137.0130631439074</v>
      </c>
      <c r="V84" s="27">
        <v>137.31421042392469</v>
      </c>
      <c r="W84" s="27">
        <v>137.1978030557695</v>
      </c>
      <c r="X84" s="27">
        <v>136.8474391748687</v>
      </c>
      <c r="Y84" s="27">
        <v>135.5337112927742</v>
      </c>
      <c r="Z84" s="27">
        <v>133.74890688200639</v>
      </c>
      <c r="AA84" s="27">
        <v>131.15474890555009</v>
      </c>
      <c r="AB84" s="27">
        <v>128.2359436767903</v>
      </c>
      <c r="AC84" s="27">
        <v>125.36697655179481</v>
      </c>
      <c r="AD84" s="27">
        <v>122.4446705855523</v>
      </c>
    </row>
    <row r="85" spans="1:30">
      <c r="A85" s="27" t="s">
        <v>211</v>
      </c>
      <c r="B85" s="27" t="s">
        <v>290</v>
      </c>
      <c r="C85" s="27" t="s">
        <v>198</v>
      </c>
      <c r="D85" s="27" t="s">
        <v>1156</v>
      </c>
      <c r="E85" s="27" t="s">
        <v>71</v>
      </c>
      <c r="F85" s="27">
        <v>309.86757496938401</v>
      </c>
      <c r="G85" s="27">
        <v>333.83543347117399</v>
      </c>
      <c r="H85" s="27">
        <v>326.44555473970502</v>
      </c>
      <c r="I85" s="27" t="s">
        <v>200</v>
      </c>
      <c r="J85" s="27">
        <v>331.48782389406898</v>
      </c>
      <c r="K85" s="27" t="s">
        <v>200</v>
      </c>
      <c r="L85" s="27" t="s">
        <v>200</v>
      </c>
      <c r="M85" s="27" t="s">
        <v>200</v>
      </c>
      <c r="N85" s="27" t="s">
        <v>200</v>
      </c>
      <c r="O85" s="27" t="s">
        <v>200</v>
      </c>
      <c r="P85" s="27">
        <v>223.90337335226499</v>
      </c>
      <c r="Q85" s="27" t="s">
        <v>200</v>
      </c>
      <c r="R85" s="27">
        <v>196.95440848683501</v>
      </c>
      <c r="S85" s="27" t="s">
        <v>200</v>
      </c>
      <c r="T85" s="27">
        <v>168.31473987892701</v>
      </c>
      <c r="U85" s="27" t="s">
        <v>200</v>
      </c>
      <c r="V85" s="27">
        <v>142.84312400900399</v>
      </c>
      <c r="W85" s="27" t="s">
        <v>200</v>
      </c>
      <c r="X85" s="27">
        <v>126.79813854424999</v>
      </c>
      <c r="Y85" s="27" t="s">
        <v>200</v>
      </c>
      <c r="Z85" s="27">
        <v>114.707028457804</v>
      </c>
      <c r="AA85" s="27" t="s">
        <v>200</v>
      </c>
      <c r="AB85" s="27">
        <v>105.697422852118</v>
      </c>
      <c r="AC85" s="27" t="s">
        <v>200</v>
      </c>
      <c r="AD85" s="27">
        <v>99.496155532592198</v>
      </c>
    </row>
    <row r="86" spans="1:30">
      <c r="A86" s="27" t="s">
        <v>226</v>
      </c>
      <c r="B86" s="27" t="s">
        <v>291</v>
      </c>
      <c r="C86" s="27" t="s">
        <v>198</v>
      </c>
      <c r="D86" s="27" t="s">
        <v>1156</v>
      </c>
      <c r="E86" s="27" t="s">
        <v>71</v>
      </c>
      <c r="F86" s="27" t="s">
        <v>200</v>
      </c>
      <c r="G86" s="27">
        <v>329.267</v>
      </c>
      <c r="H86" s="27">
        <v>364.07639999999998</v>
      </c>
      <c r="I86" s="27">
        <v>406.61130000000003</v>
      </c>
      <c r="J86" s="27">
        <v>413.41419999999999</v>
      </c>
      <c r="K86" s="27" t="s">
        <v>200</v>
      </c>
      <c r="L86" s="27" t="s">
        <v>200</v>
      </c>
      <c r="M86" s="27" t="s">
        <v>200</v>
      </c>
      <c r="N86" s="27" t="s">
        <v>200</v>
      </c>
      <c r="O86" s="27">
        <v>325.01859999999999</v>
      </c>
      <c r="P86" s="27">
        <v>270.65589999999997</v>
      </c>
      <c r="Q86" s="27">
        <v>236.49039999999999</v>
      </c>
      <c r="R86" s="27">
        <v>231.85149999999999</v>
      </c>
      <c r="S86" s="27">
        <v>213.14789999999999</v>
      </c>
      <c r="T86" s="27">
        <v>209.8827</v>
      </c>
      <c r="U86" s="27">
        <v>201.6352</v>
      </c>
      <c r="V86" s="27">
        <v>202.4034</v>
      </c>
      <c r="W86" s="27" t="s">
        <v>200</v>
      </c>
      <c r="X86" s="27">
        <v>199.7081</v>
      </c>
      <c r="Y86" s="27" t="s">
        <v>200</v>
      </c>
      <c r="Z86" s="27">
        <v>194.58760000000001</v>
      </c>
      <c r="AA86" s="27" t="s">
        <v>200</v>
      </c>
      <c r="AB86" s="27">
        <v>182.67869999999999</v>
      </c>
      <c r="AC86" s="27" t="s">
        <v>200</v>
      </c>
      <c r="AD86" s="27">
        <v>166.98750000000001</v>
      </c>
    </row>
    <row r="87" spans="1:30">
      <c r="A87" s="27" t="s">
        <v>261</v>
      </c>
      <c r="B87" s="27" t="s">
        <v>292</v>
      </c>
      <c r="C87" s="27" t="s">
        <v>198</v>
      </c>
      <c r="D87" s="27" t="s">
        <v>1156</v>
      </c>
      <c r="E87" s="27" t="s">
        <v>71</v>
      </c>
      <c r="F87" s="27" t="s">
        <v>200</v>
      </c>
      <c r="G87" s="27">
        <v>332.55081176757813</v>
      </c>
      <c r="H87" s="27">
        <v>354.968505859375</v>
      </c>
      <c r="I87" s="27">
        <v>367.15850830078119</v>
      </c>
      <c r="J87" s="27">
        <v>356.11029052734381</v>
      </c>
      <c r="K87" s="27" t="s">
        <v>200</v>
      </c>
      <c r="L87" s="27" t="s">
        <v>200</v>
      </c>
      <c r="M87" s="27" t="s">
        <v>200</v>
      </c>
      <c r="N87" s="27" t="s">
        <v>200</v>
      </c>
      <c r="O87" s="27">
        <v>321.90679931640619</v>
      </c>
      <c r="P87" s="27">
        <v>249.45820617675781</v>
      </c>
      <c r="Q87" s="27">
        <v>203.38240051269531</v>
      </c>
      <c r="R87" s="27">
        <v>180.79710388183591</v>
      </c>
      <c r="S87" s="27">
        <v>160.5021057128906</v>
      </c>
      <c r="T87" s="27">
        <v>144.76649475097659</v>
      </c>
      <c r="U87" s="27">
        <v>141.55430603027341</v>
      </c>
      <c r="V87" s="27">
        <v>138.49330139160159</v>
      </c>
      <c r="W87" s="27">
        <v>131.2294006347656</v>
      </c>
      <c r="X87" s="27">
        <v>126.6704025268555</v>
      </c>
      <c r="Y87" s="27">
        <v>122.0839004516602</v>
      </c>
      <c r="Z87" s="27">
        <v>116.5169982910156</v>
      </c>
      <c r="AA87" s="27">
        <v>110.5700988769531</v>
      </c>
      <c r="AB87" s="27">
        <v>105.318603515625</v>
      </c>
      <c r="AC87" s="27">
        <v>99.059562683105483</v>
      </c>
      <c r="AD87" s="27">
        <v>93.721900939941406</v>
      </c>
    </row>
    <row r="88" spans="1:30">
      <c r="A88" s="27" t="s">
        <v>261</v>
      </c>
      <c r="B88" s="27" t="s">
        <v>293</v>
      </c>
      <c r="C88" s="27" t="s">
        <v>198</v>
      </c>
      <c r="D88" s="27" t="s">
        <v>1156</v>
      </c>
      <c r="E88" s="27" t="s">
        <v>71</v>
      </c>
      <c r="F88" s="27" t="s">
        <v>200</v>
      </c>
      <c r="G88" s="27">
        <v>332.58059692382813</v>
      </c>
      <c r="H88" s="27">
        <v>355.24411010742188</v>
      </c>
      <c r="I88" s="27">
        <v>367.54769897460938</v>
      </c>
      <c r="J88" s="27">
        <v>357.10861206054688</v>
      </c>
      <c r="K88" s="27" t="s">
        <v>200</v>
      </c>
      <c r="L88" s="27" t="s">
        <v>200</v>
      </c>
      <c r="M88" s="27" t="s">
        <v>200</v>
      </c>
      <c r="N88" s="27" t="s">
        <v>200</v>
      </c>
      <c r="O88" s="27">
        <v>327.34100341796881</v>
      </c>
      <c r="P88" s="27">
        <v>258.21890258789063</v>
      </c>
      <c r="Q88" s="27">
        <v>217.69779968261719</v>
      </c>
      <c r="R88" s="27">
        <v>192.3464050292969</v>
      </c>
      <c r="S88" s="27">
        <v>175.92680358886719</v>
      </c>
      <c r="T88" s="27">
        <v>158.7789001464844</v>
      </c>
      <c r="U88" s="27">
        <v>156.12060546875</v>
      </c>
      <c r="V88" s="27">
        <v>155.45379638671881</v>
      </c>
      <c r="W88" s="27">
        <v>151.2322998046875</v>
      </c>
      <c r="X88" s="27">
        <v>145.4454040527344</v>
      </c>
      <c r="Y88" s="27">
        <v>139.7973937988281</v>
      </c>
      <c r="Z88" s="27">
        <v>132.6278076171875</v>
      </c>
      <c r="AA88" s="27">
        <v>125.7333984375</v>
      </c>
      <c r="AB88" s="27">
        <v>118.7544021606445</v>
      </c>
      <c r="AC88" s="27">
        <v>111.4497985839844</v>
      </c>
      <c r="AD88" s="27">
        <v>104.7932968139648</v>
      </c>
    </row>
    <row r="89" spans="1:30">
      <c r="A89" s="27" t="s">
        <v>196</v>
      </c>
      <c r="B89" s="27" t="s">
        <v>280</v>
      </c>
      <c r="C89" s="27" t="s">
        <v>198</v>
      </c>
      <c r="D89" s="27" t="s">
        <v>1156</v>
      </c>
      <c r="E89" s="27" t="s">
        <v>71</v>
      </c>
      <c r="F89" s="27" t="s">
        <v>200</v>
      </c>
      <c r="G89" s="27">
        <v>326.81529999999998</v>
      </c>
      <c r="H89" s="27">
        <v>353.44600000000003</v>
      </c>
      <c r="I89" s="27">
        <v>378.26949999999999</v>
      </c>
      <c r="J89" s="27">
        <v>362.18650000000002</v>
      </c>
      <c r="K89" s="27" t="s">
        <v>200</v>
      </c>
      <c r="L89" s="27" t="s">
        <v>200</v>
      </c>
      <c r="M89" s="27" t="s">
        <v>200</v>
      </c>
      <c r="N89" s="27" t="s">
        <v>200</v>
      </c>
      <c r="O89" s="27">
        <v>280.90280000000001</v>
      </c>
      <c r="P89" s="27">
        <v>243.8656</v>
      </c>
      <c r="Q89" s="27">
        <v>228.0368</v>
      </c>
      <c r="R89" s="27">
        <v>218.36539999999999</v>
      </c>
      <c r="S89" s="27">
        <v>209.3571</v>
      </c>
      <c r="T89" s="27">
        <v>198.69820000000001</v>
      </c>
      <c r="U89" s="27">
        <v>197.91370000000001</v>
      </c>
      <c r="V89" s="27">
        <v>197.30539999999999</v>
      </c>
      <c r="W89" s="27" t="s">
        <v>200</v>
      </c>
      <c r="X89" s="27">
        <v>194.06129999999999</v>
      </c>
      <c r="Y89" s="27" t="s">
        <v>200</v>
      </c>
      <c r="Z89" s="27">
        <v>184.88300000000001</v>
      </c>
      <c r="AA89" s="27" t="s">
        <v>200</v>
      </c>
      <c r="AB89" s="27">
        <v>172.35300000000001</v>
      </c>
      <c r="AC89" s="27" t="s">
        <v>200</v>
      </c>
      <c r="AD89" s="27">
        <v>164.78630000000001</v>
      </c>
    </row>
    <row r="90" spans="1:30">
      <c r="A90" s="27" t="s">
        <v>218</v>
      </c>
      <c r="B90" s="27" t="s">
        <v>294</v>
      </c>
      <c r="C90" s="27" t="s">
        <v>198</v>
      </c>
      <c r="D90" s="27" t="s">
        <v>1156</v>
      </c>
      <c r="E90" s="27" t="s">
        <v>71</v>
      </c>
      <c r="F90" s="27" t="s">
        <v>200</v>
      </c>
      <c r="G90" s="27">
        <v>332.02449999999999</v>
      </c>
      <c r="H90" s="27">
        <v>377.02260000000001</v>
      </c>
      <c r="I90" s="27">
        <v>424.96280000000002</v>
      </c>
      <c r="J90" s="27">
        <v>404.22829999999999</v>
      </c>
      <c r="K90" s="27" t="s">
        <v>200</v>
      </c>
      <c r="L90" s="27" t="s">
        <v>200</v>
      </c>
      <c r="M90" s="27" t="s">
        <v>200</v>
      </c>
      <c r="N90" s="27" t="s">
        <v>200</v>
      </c>
      <c r="O90" s="27">
        <v>309.11130000000003</v>
      </c>
      <c r="P90" s="27">
        <v>252.50659999999999</v>
      </c>
      <c r="Q90" s="27">
        <v>230.00360000000001</v>
      </c>
      <c r="R90" s="27">
        <v>222.0668</v>
      </c>
      <c r="S90" s="27">
        <v>215.8972</v>
      </c>
      <c r="T90" s="27">
        <v>206.7149</v>
      </c>
      <c r="U90" s="27">
        <v>208.65520000000001</v>
      </c>
      <c r="V90" s="27">
        <v>208.67310000000001</v>
      </c>
      <c r="W90" s="27" t="s">
        <v>200</v>
      </c>
      <c r="X90" s="27">
        <v>205.45609999999999</v>
      </c>
      <c r="Y90" s="27" t="s">
        <v>200</v>
      </c>
      <c r="Z90" s="27">
        <v>199.9974</v>
      </c>
      <c r="AA90" s="27" t="s">
        <v>200</v>
      </c>
      <c r="AB90" s="27">
        <v>190.57679999999999</v>
      </c>
      <c r="AC90" s="27" t="s">
        <v>200</v>
      </c>
      <c r="AD90" s="27">
        <v>175.33840000000001</v>
      </c>
    </row>
    <row r="91" spans="1:30">
      <c r="A91" s="27" t="s">
        <v>261</v>
      </c>
      <c r="B91" s="27" t="s">
        <v>295</v>
      </c>
      <c r="C91" s="27" t="s">
        <v>198</v>
      </c>
      <c r="D91" s="27" t="s">
        <v>1156</v>
      </c>
      <c r="E91" s="27" t="s">
        <v>71</v>
      </c>
      <c r="F91" s="27" t="s">
        <v>200</v>
      </c>
      <c r="G91" s="27">
        <v>332.58871459960938</v>
      </c>
      <c r="H91" s="27">
        <v>355.21881103515619</v>
      </c>
      <c r="I91" s="27">
        <v>367.55868530273438</v>
      </c>
      <c r="J91" s="27">
        <v>357.26638793945313</v>
      </c>
      <c r="K91" s="27" t="s">
        <v>200</v>
      </c>
      <c r="L91" s="27" t="s">
        <v>200</v>
      </c>
      <c r="M91" s="27" t="s">
        <v>200</v>
      </c>
      <c r="N91" s="27" t="s">
        <v>200</v>
      </c>
      <c r="O91" s="27">
        <v>335.92388916015619</v>
      </c>
      <c r="P91" s="27">
        <v>283.98831176757813</v>
      </c>
      <c r="Q91" s="27">
        <v>246.8883056640625</v>
      </c>
      <c r="R91" s="27">
        <v>226.0697021484375</v>
      </c>
      <c r="S91" s="27">
        <v>213.2691955566406</v>
      </c>
      <c r="T91" s="27">
        <v>201.5603942871094</v>
      </c>
      <c r="U91" s="27">
        <v>201.62190246582031</v>
      </c>
      <c r="V91" s="27">
        <v>201.99339294433591</v>
      </c>
      <c r="W91" s="27">
        <v>200.0411071777344</v>
      </c>
      <c r="X91" s="27">
        <v>196.29780578613281</v>
      </c>
      <c r="Y91" s="27">
        <v>193.49169921875</v>
      </c>
      <c r="Z91" s="27">
        <v>189.2984924316406</v>
      </c>
      <c r="AA91" s="27">
        <v>186.0021057128906</v>
      </c>
      <c r="AB91" s="27">
        <v>178.8450927734375</v>
      </c>
      <c r="AC91" s="27">
        <v>173.30299377441409</v>
      </c>
      <c r="AD91" s="27">
        <v>165.46440124511719</v>
      </c>
    </row>
    <row r="92" spans="1:30">
      <c r="A92" s="27" t="s">
        <v>1152</v>
      </c>
      <c r="B92" s="27" t="s">
        <v>286</v>
      </c>
      <c r="C92" s="27" t="s">
        <v>198</v>
      </c>
      <c r="D92" s="27" t="s">
        <v>1156</v>
      </c>
      <c r="E92" s="27" t="s">
        <v>71</v>
      </c>
      <c r="F92" s="27" t="s">
        <v>200</v>
      </c>
      <c r="G92" s="27" t="s">
        <v>200</v>
      </c>
      <c r="H92" s="27">
        <v>334.89239121335731</v>
      </c>
      <c r="I92" s="27">
        <v>357.92530791906847</v>
      </c>
      <c r="J92" s="27">
        <v>374.07466854525092</v>
      </c>
      <c r="K92" s="27" t="s">
        <v>200</v>
      </c>
      <c r="L92" s="27" t="s">
        <v>200</v>
      </c>
      <c r="M92" s="27" t="s">
        <v>200</v>
      </c>
      <c r="N92" s="27" t="s">
        <v>200</v>
      </c>
      <c r="O92" s="27">
        <v>336.18630368058882</v>
      </c>
      <c r="P92" s="27">
        <v>307.41879181616582</v>
      </c>
      <c r="Q92" s="27">
        <v>267.09338393957358</v>
      </c>
      <c r="R92" s="27">
        <v>263.01857416568077</v>
      </c>
      <c r="S92" s="27">
        <v>255.2990890114817</v>
      </c>
      <c r="T92" s="27">
        <v>239.35607479318011</v>
      </c>
      <c r="U92" s="27" t="s">
        <v>200</v>
      </c>
      <c r="V92" s="27">
        <v>225.57286577603489</v>
      </c>
      <c r="W92" s="27" t="s">
        <v>200</v>
      </c>
      <c r="X92" s="27">
        <v>211.7278505249744</v>
      </c>
      <c r="Y92" s="27" t="s">
        <v>200</v>
      </c>
      <c r="Z92" s="27">
        <v>196.3163715443259</v>
      </c>
      <c r="AA92" s="27" t="s">
        <v>200</v>
      </c>
      <c r="AB92" s="27">
        <v>183.88974234873811</v>
      </c>
      <c r="AC92" s="27" t="s">
        <v>200</v>
      </c>
      <c r="AD92" s="27">
        <v>171.96151670663841</v>
      </c>
    </row>
    <row r="93" spans="1:30">
      <c r="A93" s="27" t="s">
        <v>196</v>
      </c>
      <c r="B93" s="27" t="s">
        <v>296</v>
      </c>
      <c r="C93" s="27" t="s">
        <v>198</v>
      </c>
      <c r="D93" s="27" t="s">
        <v>1156</v>
      </c>
      <c r="E93" s="27" t="s">
        <v>71</v>
      </c>
      <c r="F93" s="27" t="s">
        <v>200</v>
      </c>
      <c r="G93" s="27">
        <v>326.86169999999998</v>
      </c>
      <c r="H93" s="27">
        <v>353.5317</v>
      </c>
      <c r="I93" s="27">
        <v>379.28280000000001</v>
      </c>
      <c r="J93" s="27">
        <v>362.92439999999999</v>
      </c>
      <c r="K93" s="27" t="s">
        <v>200</v>
      </c>
      <c r="L93" s="27" t="s">
        <v>200</v>
      </c>
      <c r="M93" s="27" t="s">
        <v>200</v>
      </c>
      <c r="N93" s="27" t="s">
        <v>200</v>
      </c>
      <c r="O93" s="27">
        <v>283.48869999999999</v>
      </c>
      <c r="P93" s="27">
        <v>237.85669999999999</v>
      </c>
      <c r="Q93" s="27">
        <v>218.27449999999999</v>
      </c>
      <c r="R93" s="27">
        <v>206.65350000000001</v>
      </c>
      <c r="S93" s="27">
        <v>200.22069999999999</v>
      </c>
      <c r="T93" s="27">
        <v>192.56180000000001</v>
      </c>
      <c r="U93" s="27">
        <v>192.48699999999999</v>
      </c>
      <c r="V93" s="27">
        <v>191.4135</v>
      </c>
      <c r="W93" s="27" t="s">
        <v>200</v>
      </c>
      <c r="X93" s="27">
        <v>187.74770000000001</v>
      </c>
      <c r="Y93" s="27" t="s">
        <v>200</v>
      </c>
      <c r="Z93" s="27">
        <v>179.3152</v>
      </c>
      <c r="AA93" s="27" t="s">
        <v>200</v>
      </c>
      <c r="AB93" s="27">
        <v>167.9256</v>
      </c>
      <c r="AC93" s="27" t="s">
        <v>200</v>
      </c>
      <c r="AD93" s="27">
        <v>161.297</v>
      </c>
    </row>
    <row r="94" spans="1:30">
      <c r="A94" s="27" t="s">
        <v>196</v>
      </c>
      <c r="B94" s="27" t="s">
        <v>297</v>
      </c>
      <c r="C94" s="27" t="s">
        <v>198</v>
      </c>
      <c r="D94" s="27" t="s">
        <v>1156</v>
      </c>
      <c r="E94" s="27" t="s">
        <v>71</v>
      </c>
      <c r="F94" s="27" t="s">
        <v>200</v>
      </c>
      <c r="G94" s="27" t="s">
        <v>200</v>
      </c>
      <c r="H94" s="27">
        <v>354.2799</v>
      </c>
      <c r="I94" s="27">
        <v>382.77030000000002</v>
      </c>
      <c r="J94" s="27">
        <v>361.55950000000001</v>
      </c>
      <c r="K94" s="27" t="s">
        <v>200</v>
      </c>
      <c r="L94" s="27" t="s">
        <v>200</v>
      </c>
      <c r="M94" s="27" t="s">
        <v>200</v>
      </c>
      <c r="N94" s="27" t="s">
        <v>200</v>
      </c>
      <c r="O94" s="27">
        <v>267.87139999999999</v>
      </c>
      <c r="P94" s="27">
        <v>239.74170000000001</v>
      </c>
      <c r="Q94" s="27">
        <v>223.2304</v>
      </c>
      <c r="R94" s="27">
        <v>213.64259999999999</v>
      </c>
      <c r="S94" s="27">
        <v>205.46799999999999</v>
      </c>
      <c r="T94" s="27">
        <v>196.59010000000001</v>
      </c>
      <c r="U94" s="27">
        <v>196.72909999999999</v>
      </c>
      <c r="V94" s="27">
        <v>195.93680000000001</v>
      </c>
      <c r="W94" s="27" t="s">
        <v>200</v>
      </c>
      <c r="X94" s="27">
        <v>191.6979</v>
      </c>
      <c r="Y94" s="27" t="s">
        <v>200</v>
      </c>
      <c r="Z94" s="27">
        <v>182.75890000000001</v>
      </c>
      <c r="AA94" s="27" t="s">
        <v>200</v>
      </c>
      <c r="AB94" s="27">
        <v>170.60470000000001</v>
      </c>
      <c r="AC94" s="27" t="s">
        <v>200</v>
      </c>
      <c r="AD94" s="27">
        <v>163.19569999999999</v>
      </c>
    </row>
    <row r="95" spans="1:30">
      <c r="A95" s="27" t="s">
        <v>244</v>
      </c>
      <c r="B95" s="27" t="s">
        <v>267</v>
      </c>
      <c r="C95" s="27" t="s">
        <v>198</v>
      </c>
      <c r="D95" s="27" t="s">
        <v>1156</v>
      </c>
      <c r="E95" s="27" t="s">
        <v>71</v>
      </c>
      <c r="F95" s="27" t="s">
        <v>200</v>
      </c>
      <c r="G95" s="27" t="s">
        <v>200</v>
      </c>
      <c r="H95" s="27" t="s">
        <v>200</v>
      </c>
      <c r="I95" s="27">
        <v>375.22259951814982</v>
      </c>
      <c r="J95" s="27">
        <v>414.14845576134587</v>
      </c>
      <c r="K95" s="27" t="s">
        <v>200</v>
      </c>
      <c r="L95" s="27" t="s">
        <v>200</v>
      </c>
      <c r="M95" s="27" t="s">
        <v>200</v>
      </c>
      <c r="N95" s="27" t="s">
        <v>200</v>
      </c>
      <c r="O95" s="27">
        <v>318.27873850399419</v>
      </c>
      <c r="P95" s="27">
        <v>273.24356738750453</v>
      </c>
      <c r="Q95" s="27">
        <v>198.28795114566441</v>
      </c>
      <c r="R95" s="27">
        <v>159.53061458524519</v>
      </c>
      <c r="S95" s="27">
        <v>134.57296124042071</v>
      </c>
      <c r="T95" s="27">
        <v>147.42822220692079</v>
      </c>
      <c r="U95" s="27">
        <v>157.21218584049561</v>
      </c>
      <c r="V95" s="27">
        <v>166.67767826946351</v>
      </c>
      <c r="W95" s="27">
        <v>171.07320147193801</v>
      </c>
      <c r="X95" s="27">
        <v>178.72181052448681</v>
      </c>
      <c r="Y95" s="27">
        <v>186.157734511386</v>
      </c>
      <c r="Z95" s="27">
        <v>189.1937055346271</v>
      </c>
      <c r="AA95" s="27">
        <v>191.63395211816049</v>
      </c>
      <c r="AB95" s="27">
        <v>192.6379608628412</v>
      </c>
      <c r="AC95" s="27">
        <v>195.44246564426609</v>
      </c>
      <c r="AD95" s="27">
        <v>197.8653404022526</v>
      </c>
    </row>
    <row r="96" spans="1:30">
      <c r="A96" s="27" t="s">
        <v>261</v>
      </c>
      <c r="B96" s="27" t="s">
        <v>298</v>
      </c>
      <c r="C96" s="27" t="s">
        <v>198</v>
      </c>
      <c r="D96" s="27" t="s">
        <v>1156</v>
      </c>
      <c r="E96" s="27" t="s">
        <v>71</v>
      </c>
      <c r="F96" s="27" t="s">
        <v>200</v>
      </c>
      <c r="G96" s="27">
        <v>332.55731201171881</v>
      </c>
      <c r="H96" s="27">
        <v>355.05459594726563</v>
      </c>
      <c r="I96" s="27">
        <v>367.16128540039063</v>
      </c>
      <c r="J96" s="27">
        <v>356.54470825195313</v>
      </c>
      <c r="K96" s="27" t="s">
        <v>200</v>
      </c>
      <c r="L96" s="27" t="s">
        <v>200</v>
      </c>
      <c r="M96" s="27" t="s">
        <v>200</v>
      </c>
      <c r="N96" s="27" t="s">
        <v>200</v>
      </c>
      <c r="O96" s="27">
        <v>327.339599609375</v>
      </c>
      <c r="P96" s="27">
        <v>257.50140380859381</v>
      </c>
      <c r="Q96" s="27">
        <v>215.94929504394531</v>
      </c>
      <c r="R96" s="27">
        <v>191.05999755859381</v>
      </c>
      <c r="S96" s="27">
        <v>174.3161926269531</v>
      </c>
      <c r="T96" s="27">
        <v>157.85310363769531</v>
      </c>
      <c r="U96" s="27">
        <v>153.67059326171881</v>
      </c>
      <c r="V96" s="27">
        <v>151.19580078125</v>
      </c>
      <c r="W96" s="27">
        <v>146.4815979003906</v>
      </c>
      <c r="X96" s="27">
        <v>141.2008972167969</v>
      </c>
      <c r="Y96" s="27">
        <v>136.3374938964844</v>
      </c>
      <c r="Z96" s="27">
        <v>128.30149841308591</v>
      </c>
      <c r="AA96" s="27">
        <v>121.4393005371094</v>
      </c>
      <c r="AB96" s="27">
        <v>114.820198059082</v>
      </c>
      <c r="AC96" s="27">
        <v>107.86569976806641</v>
      </c>
      <c r="AD96" s="27">
        <v>101.3212966918945</v>
      </c>
    </row>
    <row r="97" spans="1:30">
      <c r="A97" s="27" t="s">
        <v>261</v>
      </c>
      <c r="B97" s="27" t="s">
        <v>299</v>
      </c>
      <c r="C97" s="27" t="s">
        <v>198</v>
      </c>
      <c r="D97" s="27" t="s">
        <v>1156</v>
      </c>
      <c r="E97" s="27" t="s">
        <v>71</v>
      </c>
      <c r="F97" s="27" t="s">
        <v>200</v>
      </c>
      <c r="G97" s="27">
        <v>332.5509033203125</v>
      </c>
      <c r="H97" s="27">
        <v>354.968505859375</v>
      </c>
      <c r="I97" s="27">
        <v>367.15811157226563</v>
      </c>
      <c r="J97" s="27">
        <v>356.1553955078125</v>
      </c>
      <c r="K97" s="27" t="s">
        <v>200</v>
      </c>
      <c r="L97" s="27" t="s">
        <v>200</v>
      </c>
      <c r="M97" s="27" t="s">
        <v>200</v>
      </c>
      <c r="N97" s="27" t="s">
        <v>200</v>
      </c>
      <c r="O97" s="27">
        <v>329.9619140625</v>
      </c>
      <c r="P97" s="27">
        <v>317.15591430664063</v>
      </c>
      <c r="Q97" s="27">
        <v>277.71148681640619</v>
      </c>
      <c r="R97" s="27">
        <v>210.99290466308599</v>
      </c>
      <c r="S97" s="27">
        <v>181.38780212402341</v>
      </c>
      <c r="T97" s="27">
        <v>164.11140441894531</v>
      </c>
      <c r="U97" s="27">
        <v>154.4678039550781</v>
      </c>
      <c r="V97" s="27">
        <v>152.14799499511719</v>
      </c>
      <c r="W97" s="27">
        <v>151.3056945800781</v>
      </c>
      <c r="X97" s="27">
        <v>147.97950744628909</v>
      </c>
      <c r="Y97" s="27">
        <v>145.4324035644531</v>
      </c>
      <c r="Z97" s="27">
        <v>140.6882019042969</v>
      </c>
      <c r="AA97" s="27">
        <v>136.61090087890619</v>
      </c>
      <c r="AB97" s="27">
        <v>131.1224060058594</v>
      </c>
      <c r="AC97" s="27">
        <v>125.29319763183589</v>
      </c>
      <c r="AD97" s="27">
        <v>119.8107986450195</v>
      </c>
    </row>
    <row r="98" spans="1:30">
      <c r="A98" s="27" t="s">
        <v>207</v>
      </c>
      <c r="B98" s="27" t="s">
        <v>267</v>
      </c>
      <c r="C98" s="27" t="s">
        <v>198</v>
      </c>
      <c r="D98" s="27" t="s">
        <v>1156</v>
      </c>
      <c r="E98" s="27" t="s">
        <v>71</v>
      </c>
      <c r="F98" s="27">
        <v>308.99925350927839</v>
      </c>
      <c r="G98" s="27">
        <v>334.38102750382672</v>
      </c>
      <c r="H98" s="27">
        <v>333.66154451874712</v>
      </c>
      <c r="I98" s="27">
        <v>343.75284426806581</v>
      </c>
      <c r="J98" s="27">
        <v>352.18172521728991</v>
      </c>
      <c r="K98" s="27" t="s">
        <v>200</v>
      </c>
      <c r="L98" s="27" t="s">
        <v>200</v>
      </c>
      <c r="M98" s="27" t="s">
        <v>200</v>
      </c>
      <c r="N98" s="27" t="s">
        <v>200</v>
      </c>
      <c r="O98" s="27">
        <v>265.98222895167152</v>
      </c>
      <c r="P98" s="27">
        <v>214.77311073595581</v>
      </c>
      <c r="Q98" s="27">
        <v>192.29907303141891</v>
      </c>
      <c r="R98" s="27">
        <v>172.12899877137451</v>
      </c>
      <c r="S98" s="27">
        <v>153.60538385173771</v>
      </c>
      <c r="T98" s="27">
        <v>138.98587708058571</v>
      </c>
      <c r="U98" s="27">
        <v>132.8799699076678</v>
      </c>
      <c r="V98" s="27">
        <v>133.04859223237659</v>
      </c>
      <c r="W98" s="27" t="s">
        <v>200</v>
      </c>
      <c r="X98" s="27">
        <v>137.34206931760349</v>
      </c>
      <c r="Y98" s="27" t="s">
        <v>200</v>
      </c>
      <c r="Z98" s="27">
        <v>138.71764347925381</v>
      </c>
      <c r="AA98" s="27" t="s">
        <v>200</v>
      </c>
      <c r="AB98" s="27">
        <v>132.62459412700969</v>
      </c>
      <c r="AC98" s="27" t="s">
        <v>200</v>
      </c>
      <c r="AD98" s="27">
        <v>127.0133732482458</v>
      </c>
    </row>
    <row r="100" spans="1:30">
      <c r="A100" s="27">
        <v>17</v>
      </c>
      <c r="C100" s="3" t="s">
        <v>69</v>
      </c>
      <c r="F100" s="27">
        <f>MEDIAN(F2:F98)</f>
        <v>308.99925350927839</v>
      </c>
      <c r="G100" s="27">
        <f t="shared" ref="G100:AD100" si="0">MEDIAN(G2:G98)</f>
        <v>332.02449999999999</v>
      </c>
      <c r="H100" s="27">
        <f t="shared" si="0"/>
        <v>353.44600000000003</v>
      </c>
      <c r="I100" s="27">
        <f t="shared" si="0"/>
        <v>375.22259951814982</v>
      </c>
      <c r="J100" s="27">
        <f t="shared" si="0"/>
        <v>362.15469999999999</v>
      </c>
      <c r="K100" s="27">
        <f t="shared" si="0"/>
        <v>311.37603816464502</v>
      </c>
      <c r="L100" s="27">
        <f t="shared" si="0"/>
        <v>294.33215182948902</v>
      </c>
      <c r="M100" s="27">
        <f t="shared" si="0"/>
        <v>282.45746009413898</v>
      </c>
      <c r="N100" s="27">
        <f t="shared" si="0"/>
        <v>272.461805165339</v>
      </c>
      <c r="O100" s="27">
        <f t="shared" si="0"/>
        <v>283.35410000000002</v>
      </c>
      <c r="P100" s="27">
        <f t="shared" si="0"/>
        <v>244.98577585727801</v>
      </c>
      <c r="Q100" s="27">
        <f t="shared" si="0"/>
        <v>223.17925</v>
      </c>
      <c r="R100" s="27">
        <f t="shared" si="0"/>
        <v>206.88220000000001</v>
      </c>
      <c r="S100" s="27">
        <f t="shared" si="0"/>
        <v>201.75155000000001</v>
      </c>
      <c r="T100" s="27">
        <f t="shared" si="0"/>
        <v>181.23339999999999</v>
      </c>
      <c r="U100" s="27">
        <f t="shared" si="0"/>
        <v>184.55799999999999</v>
      </c>
      <c r="V100" s="27">
        <f t="shared" si="0"/>
        <v>166.67767826946351</v>
      </c>
      <c r="W100" s="27">
        <f t="shared" si="0"/>
        <v>153.6476137902842</v>
      </c>
      <c r="X100" s="27">
        <f t="shared" si="0"/>
        <v>158.935</v>
      </c>
      <c r="Y100" s="27">
        <f t="shared" si="0"/>
        <v>148.25299999999999</v>
      </c>
      <c r="Z100" s="27">
        <f t="shared" si="0"/>
        <v>140.6882019042969</v>
      </c>
      <c r="AA100" s="27">
        <f t="shared" si="0"/>
        <v>133.613</v>
      </c>
      <c r="AB100" s="27">
        <f t="shared" si="0"/>
        <v>134.28096912807169</v>
      </c>
      <c r="AC100" s="27">
        <f t="shared" si="0"/>
        <v>126.5353525167593</v>
      </c>
      <c r="AD100" s="27">
        <f t="shared" si="0"/>
        <v>127.578845080596</v>
      </c>
    </row>
    <row r="101" spans="1:30">
      <c r="C101" s="3" t="s">
        <v>72</v>
      </c>
      <c r="F101" s="27">
        <f>_xlfn.PERCENTILE.INC(F2:F98,0.25)</f>
        <v>308.99925350927799</v>
      </c>
      <c r="G101" s="27">
        <f t="shared" ref="G101:AD101" si="1">_xlfn.PERCENTILE.INC(G2:G98,0.25)</f>
        <v>326.81529999999998</v>
      </c>
      <c r="H101" s="27">
        <f t="shared" si="1"/>
        <v>333.66154451874712</v>
      </c>
      <c r="I101" s="27">
        <f t="shared" si="1"/>
        <v>345.88800000000009</v>
      </c>
      <c r="J101" s="27">
        <f t="shared" si="1"/>
        <v>352.18172521728991</v>
      </c>
      <c r="K101" s="27">
        <f t="shared" si="1"/>
        <v>311.15460281548701</v>
      </c>
      <c r="L101" s="27">
        <f t="shared" si="1"/>
        <v>294.27856884415797</v>
      </c>
      <c r="M101" s="27">
        <f t="shared" si="1"/>
        <v>282.27617752830503</v>
      </c>
      <c r="N101" s="27">
        <f t="shared" si="1"/>
        <v>272.17493138569802</v>
      </c>
      <c r="O101" s="27">
        <f t="shared" si="1"/>
        <v>266.31899999999996</v>
      </c>
      <c r="P101" s="27">
        <f t="shared" si="1"/>
        <v>224.578005379769</v>
      </c>
      <c r="Q101" s="27">
        <f t="shared" si="1"/>
        <v>203.0650503845215</v>
      </c>
      <c r="R101" s="27">
        <f t="shared" si="1"/>
        <v>180.79710388183591</v>
      </c>
      <c r="S101" s="27">
        <f t="shared" si="1"/>
        <v>163.63956256246749</v>
      </c>
      <c r="T101" s="27">
        <f t="shared" si="1"/>
        <v>146.81684486280699</v>
      </c>
      <c r="U101" s="27">
        <f t="shared" si="1"/>
        <v>142.1708929271482</v>
      </c>
      <c r="V101" s="27">
        <f t="shared" si="1"/>
        <v>138.27778084646721</v>
      </c>
      <c r="W101" s="27">
        <f t="shared" si="1"/>
        <v>137.6391504701875</v>
      </c>
      <c r="X101" s="27">
        <f t="shared" si="1"/>
        <v>136.1695968941396</v>
      </c>
      <c r="Y101" s="27">
        <f t="shared" si="1"/>
        <v>135.9356025946293</v>
      </c>
      <c r="Z101" s="27">
        <f t="shared" si="1"/>
        <v>129.5205</v>
      </c>
      <c r="AA101" s="27">
        <f t="shared" si="1"/>
        <v>129.06102440920435</v>
      </c>
      <c r="AB101" s="27">
        <f t="shared" si="1"/>
        <v>122.93250810000001</v>
      </c>
      <c r="AC101" s="27">
        <f t="shared" si="1"/>
        <v>123.8018521052621</v>
      </c>
      <c r="AD101" s="27">
        <f t="shared" si="1"/>
        <v>112.56199645996089</v>
      </c>
    </row>
    <row r="102" spans="1:30">
      <c r="C102" s="3" t="s">
        <v>73</v>
      </c>
      <c r="F102" s="27">
        <f>_xlfn.PERCENTILE.INC(F2:F98,0.75)</f>
        <v>308.99925350927839</v>
      </c>
      <c r="G102" s="27">
        <f t="shared" ref="G102:AD102" si="2">_xlfn.PERCENTILE.INC(G2:G98,0.75)</f>
        <v>334.30935647773146</v>
      </c>
      <c r="H102" s="27">
        <f t="shared" si="2"/>
        <v>361.49865</v>
      </c>
      <c r="I102" s="27">
        <f t="shared" si="2"/>
        <v>379.7047</v>
      </c>
      <c r="J102" s="27">
        <f t="shared" si="2"/>
        <v>383.44080000000002</v>
      </c>
      <c r="K102" s="27">
        <f t="shared" si="2"/>
        <v>311.52172706826201</v>
      </c>
      <c r="L102" s="27">
        <f t="shared" si="2"/>
        <v>294.617998937143</v>
      </c>
      <c r="M102" s="27">
        <f t="shared" si="2"/>
        <v>282.646097506106</v>
      </c>
      <c r="N102" s="27">
        <f t="shared" si="2"/>
        <v>272.49281073340399</v>
      </c>
      <c r="O102" s="27">
        <f t="shared" si="2"/>
        <v>309.14970000000005</v>
      </c>
      <c r="P102" s="27">
        <f t="shared" si="2"/>
        <v>263.12630000000001</v>
      </c>
      <c r="Q102" s="27">
        <f t="shared" si="2"/>
        <v>239.18627499999999</v>
      </c>
      <c r="R102" s="27">
        <f t="shared" si="2"/>
        <v>221.3143</v>
      </c>
      <c r="S102" s="27">
        <f t="shared" si="2"/>
        <v>210.26465000000002</v>
      </c>
      <c r="T102" s="27">
        <f t="shared" si="2"/>
        <v>199.23050000000001</v>
      </c>
      <c r="U102" s="27">
        <f t="shared" si="2"/>
        <v>199.1465</v>
      </c>
      <c r="V102" s="27">
        <f t="shared" si="2"/>
        <v>197.04</v>
      </c>
      <c r="W102" s="27">
        <f t="shared" si="2"/>
        <v>182.54759884033206</v>
      </c>
      <c r="X102" s="27">
        <f t="shared" si="2"/>
        <v>192.52789999999999</v>
      </c>
      <c r="Y102" s="27">
        <f t="shared" si="2"/>
        <v>187.250667255693</v>
      </c>
      <c r="Z102" s="27">
        <f t="shared" si="2"/>
        <v>183.41640000000001</v>
      </c>
      <c r="AA102" s="27">
        <f t="shared" si="2"/>
        <v>188.81802891552553</v>
      </c>
      <c r="AB102" s="27">
        <f t="shared" si="2"/>
        <v>171.74789999999999</v>
      </c>
      <c r="AC102" s="27">
        <f t="shared" si="2"/>
        <v>187.12193282213303</v>
      </c>
      <c r="AD102" s="27">
        <f t="shared" si="2"/>
        <v>163.56389999999999</v>
      </c>
    </row>
    <row r="104" spans="1:30">
      <c r="F104" s="27">
        <f>MAX(F$2:F$98)</f>
        <v>309.87015753380899</v>
      </c>
      <c r="G104" s="27">
        <f t="shared" ref="G104:AD104" si="3">MAX(G$2:G$98)</f>
        <v>347.23661825993798</v>
      </c>
      <c r="H104" s="27">
        <f t="shared" si="3"/>
        <v>377.02260000000001</v>
      </c>
      <c r="I104" s="27">
        <f t="shared" si="3"/>
        <v>424.96280000000002</v>
      </c>
      <c r="J104" s="27">
        <f t="shared" si="3"/>
        <v>434.53300000000002</v>
      </c>
      <c r="K104" s="27">
        <f t="shared" si="3"/>
        <v>317.75187059064001</v>
      </c>
      <c r="L104" s="27">
        <f t="shared" si="3"/>
        <v>302.144473792187</v>
      </c>
      <c r="M104" s="27">
        <f t="shared" si="3"/>
        <v>289.467886753605</v>
      </c>
      <c r="N104" s="27">
        <f t="shared" si="3"/>
        <v>279.94059339027001</v>
      </c>
      <c r="O104" s="27">
        <f t="shared" si="3"/>
        <v>351.86400000000009</v>
      </c>
      <c r="P104" s="27">
        <f t="shared" si="3"/>
        <v>317.15591430664063</v>
      </c>
      <c r="Q104" s="27">
        <f t="shared" si="3"/>
        <v>277.71148681640619</v>
      </c>
      <c r="R104" s="27">
        <f t="shared" si="3"/>
        <v>274.736869412153</v>
      </c>
      <c r="S104" s="27">
        <f t="shared" si="3"/>
        <v>270.705117999425</v>
      </c>
      <c r="T104" s="27">
        <f t="shared" si="3"/>
        <v>277.36316386941002</v>
      </c>
      <c r="U104" s="27">
        <f t="shared" si="3"/>
        <v>280.799860074256</v>
      </c>
      <c r="V104" s="27">
        <f t="shared" si="3"/>
        <v>283.17855144166498</v>
      </c>
      <c r="W104" s="27">
        <f t="shared" si="3"/>
        <v>285.04032646109101</v>
      </c>
      <c r="X104" s="27">
        <f t="shared" si="3"/>
        <v>286.14850635143898</v>
      </c>
      <c r="Y104" s="27">
        <f t="shared" si="3"/>
        <v>286.90032858648999</v>
      </c>
      <c r="Z104" s="27">
        <f t="shared" si="3"/>
        <v>287.98564620307701</v>
      </c>
      <c r="AA104" s="27">
        <f t="shared" si="3"/>
        <v>289.66331232527398</v>
      </c>
      <c r="AB104" s="27">
        <f t="shared" si="3"/>
        <v>290.94727478089902</v>
      </c>
      <c r="AC104" s="27">
        <f t="shared" si="3"/>
        <v>290.74143485044601</v>
      </c>
      <c r="AD104" s="27">
        <f t="shared" si="3"/>
        <v>289.80068740635198</v>
      </c>
    </row>
    <row r="105" spans="1:30">
      <c r="F105" s="27">
        <f>MEDIAN(F$2:F$98)</f>
        <v>308.99925350927839</v>
      </c>
      <c r="G105" s="27">
        <f t="shared" ref="G105:AD105" si="4">MEDIAN(G$2:G$98)</f>
        <v>332.02449999999999</v>
      </c>
      <c r="H105" s="27">
        <f t="shared" si="4"/>
        <v>353.44600000000003</v>
      </c>
      <c r="I105" s="27">
        <f t="shared" si="4"/>
        <v>375.22259951814982</v>
      </c>
      <c r="J105" s="27">
        <f t="shared" si="4"/>
        <v>362.15469999999999</v>
      </c>
      <c r="K105" s="27">
        <f t="shared" si="4"/>
        <v>311.37603816464502</v>
      </c>
      <c r="L105" s="27">
        <f t="shared" si="4"/>
        <v>294.33215182948902</v>
      </c>
      <c r="M105" s="27">
        <f t="shared" si="4"/>
        <v>282.45746009413898</v>
      </c>
      <c r="N105" s="27">
        <f t="shared" si="4"/>
        <v>272.461805165339</v>
      </c>
      <c r="O105" s="27">
        <f t="shared" si="4"/>
        <v>283.35410000000002</v>
      </c>
      <c r="P105" s="27">
        <f t="shared" si="4"/>
        <v>244.98577585727801</v>
      </c>
      <c r="Q105" s="27">
        <f t="shared" si="4"/>
        <v>223.17925</v>
      </c>
      <c r="R105" s="27">
        <f t="shared" si="4"/>
        <v>206.88220000000001</v>
      </c>
      <c r="S105" s="27">
        <f t="shared" si="4"/>
        <v>201.75155000000001</v>
      </c>
      <c r="T105" s="27">
        <f t="shared" si="4"/>
        <v>181.23339999999999</v>
      </c>
      <c r="U105" s="27">
        <f t="shared" si="4"/>
        <v>184.55799999999999</v>
      </c>
      <c r="V105" s="27">
        <f t="shared" si="4"/>
        <v>166.67767826946351</v>
      </c>
      <c r="W105" s="27">
        <f t="shared" si="4"/>
        <v>153.6476137902842</v>
      </c>
      <c r="X105" s="27">
        <f t="shared" si="4"/>
        <v>158.935</v>
      </c>
      <c r="Y105" s="27">
        <f t="shared" si="4"/>
        <v>148.25299999999999</v>
      </c>
      <c r="Z105" s="27">
        <f t="shared" si="4"/>
        <v>140.6882019042969</v>
      </c>
      <c r="AA105" s="27">
        <f t="shared" si="4"/>
        <v>133.613</v>
      </c>
      <c r="AB105" s="27">
        <f t="shared" si="4"/>
        <v>134.28096912807169</v>
      </c>
      <c r="AC105" s="27">
        <f t="shared" si="4"/>
        <v>126.5353525167593</v>
      </c>
      <c r="AD105" s="27">
        <f t="shared" si="4"/>
        <v>127.578845080596</v>
      </c>
    </row>
    <row r="106" spans="1:30">
      <c r="D106" s="27">
        <v>1</v>
      </c>
      <c r="F106" s="27">
        <f>MIN(F$2:F$98)</f>
        <v>284.25949096679699</v>
      </c>
      <c r="G106" s="27">
        <f t="shared" ref="G106:AD106" si="5">MIN(G$2:G$98)</f>
        <v>299.754269100155</v>
      </c>
      <c r="H106" s="27">
        <f t="shared" si="5"/>
        <v>320.30444569219401</v>
      </c>
      <c r="I106" s="27">
        <f t="shared" si="5"/>
        <v>330.887818227433</v>
      </c>
      <c r="J106" s="27">
        <f t="shared" si="5"/>
        <v>328.08740219999999</v>
      </c>
      <c r="K106" s="27">
        <f t="shared" si="5"/>
        <v>309.81341023040801</v>
      </c>
      <c r="L106" s="27">
        <f t="shared" si="5"/>
        <v>293.77682852141498</v>
      </c>
      <c r="M106" s="27">
        <f t="shared" si="5"/>
        <v>282.26992808013898</v>
      </c>
      <c r="N106" s="27">
        <f t="shared" si="5"/>
        <v>271.99180254458201</v>
      </c>
      <c r="O106" s="27">
        <f t="shared" si="5"/>
        <v>171.75218268721591</v>
      </c>
      <c r="P106" s="27">
        <f t="shared" si="5"/>
        <v>147.93700434527301</v>
      </c>
      <c r="Q106" s="27">
        <f t="shared" si="5"/>
        <v>139.17943894622701</v>
      </c>
      <c r="R106" s="27">
        <f t="shared" si="5"/>
        <v>125.83155952381</v>
      </c>
      <c r="S106" s="27">
        <f t="shared" si="5"/>
        <v>110.2149</v>
      </c>
      <c r="T106" s="27">
        <f t="shared" si="5"/>
        <v>83.536699999999996</v>
      </c>
      <c r="U106" s="27">
        <f t="shared" si="5"/>
        <v>79.676699999999997</v>
      </c>
      <c r="V106" s="27">
        <f t="shared" si="5"/>
        <v>76.385499999999993</v>
      </c>
      <c r="W106" s="27">
        <f t="shared" si="5"/>
        <v>102.404928571429</v>
      </c>
      <c r="X106" s="27">
        <f t="shared" si="5"/>
        <v>69.123999999999995</v>
      </c>
      <c r="Y106" s="27">
        <f t="shared" si="5"/>
        <v>100.192416666667</v>
      </c>
      <c r="Z106" s="27">
        <f t="shared" si="5"/>
        <v>63.665199999999999</v>
      </c>
      <c r="AA106" s="27">
        <f t="shared" si="5"/>
        <v>98.93804761904758</v>
      </c>
      <c r="AB106" s="27">
        <f t="shared" si="5"/>
        <v>59.5901</v>
      </c>
      <c r="AC106" s="27">
        <f t="shared" si="5"/>
        <v>99.008482142857076</v>
      </c>
      <c r="AD106" s="27">
        <f t="shared" si="5"/>
        <v>53.015000000000001</v>
      </c>
    </row>
  </sheetData>
  <pageMargins left="0.7" right="0.7" top="0.75" bottom="0.75" header="0.3" footer="0.3"/>
  <pageSetup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79002-A10B-42F7-9CBD-6B9D0CE9FF92}">
  <sheetPr codeName="Sheet35">
    <tabColor theme="7" tint="0.79998168889431442"/>
  </sheetPr>
  <dimension ref="A1:AD106"/>
  <sheetViews>
    <sheetView workbookViewId="0">
      <pane ySplit="1" topLeftCell="A2" activePane="bottomLeft" state="frozen"/>
      <selection pane="bottomLeft" activeCell="F104" sqref="F104:AD106"/>
      <selection activeCell="P95" sqref="P95"/>
    </sheetView>
  </sheetViews>
  <sheetFormatPr defaultColWidth="9.140625" defaultRowHeight="15.75"/>
  <cols>
    <col min="1" max="16384" width="9.140625" style="27"/>
  </cols>
  <sheetData>
    <row r="1" spans="1:26">
      <c r="A1" s="27" t="s">
        <v>193</v>
      </c>
      <c r="B1" s="27" t="s">
        <v>194</v>
      </c>
      <c r="C1" s="27" t="s">
        <v>195</v>
      </c>
      <c r="D1" s="27" t="s">
        <v>64</v>
      </c>
      <c r="E1" s="27" t="s">
        <v>65</v>
      </c>
      <c r="F1" s="27">
        <v>2000</v>
      </c>
      <c r="G1" s="27">
        <v>2005</v>
      </c>
      <c r="H1" s="27">
        <v>2010</v>
      </c>
      <c r="I1" s="27">
        <v>2015</v>
      </c>
      <c r="J1" s="27">
        <v>2020</v>
      </c>
      <c r="K1" s="27">
        <v>2025</v>
      </c>
      <c r="L1" s="27">
        <v>2030</v>
      </c>
      <c r="M1" s="27">
        <v>2035</v>
      </c>
      <c r="N1" s="27">
        <v>2040</v>
      </c>
      <c r="O1" s="27">
        <v>2045</v>
      </c>
      <c r="P1" s="27">
        <v>2050</v>
      </c>
      <c r="Q1" s="27">
        <v>2055</v>
      </c>
      <c r="R1" s="27">
        <v>2060</v>
      </c>
      <c r="S1" s="27">
        <v>2065</v>
      </c>
      <c r="T1" s="27">
        <v>2070</v>
      </c>
      <c r="U1" s="27">
        <v>2075</v>
      </c>
      <c r="V1" s="27">
        <v>2080</v>
      </c>
      <c r="W1" s="27">
        <v>2085</v>
      </c>
      <c r="X1" s="27">
        <v>2090</v>
      </c>
      <c r="Y1" s="27">
        <v>2095</v>
      </c>
      <c r="Z1" s="27">
        <v>2100</v>
      </c>
    </row>
    <row r="2" spans="1:26">
      <c r="A2" s="27" t="s">
        <v>196</v>
      </c>
      <c r="B2" s="27" t="s">
        <v>197</v>
      </c>
      <c r="C2" s="27" t="s">
        <v>198</v>
      </c>
      <c r="D2" s="27" t="s">
        <v>1157</v>
      </c>
      <c r="E2" s="27" t="s">
        <v>71</v>
      </c>
      <c r="F2" s="27" t="s">
        <v>200</v>
      </c>
      <c r="G2" s="27">
        <v>133.18729999999999</v>
      </c>
      <c r="H2" s="27">
        <v>137.68279999999999</v>
      </c>
      <c r="I2" s="27">
        <v>150.16210000000001</v>
      </c>
      <c r="J2" s="27">
        <v>162.42509999999999</v>
      </c>
      <c r="K2" s="27">
        <v>140.56780000000001</v>
      </c>
      <c r="L2" s="27">
        <v>143.58920000000001</v>
      </c>
      <c r="M2" s="27">
        <v>146.398</v>
      </c>
      <c r="N2" s="27">
        <v>147.09569999999999</v>
      </c>
      <c r="O2" s="27">
        <v>146.68369999999999</v>
      </c>
      <c r="P2" s="27">
        <v>144.35579999999999</v>
      </c>
      <c r="Q2" s="27">
        <v>144.90530000000001</v>
      </c>
      <c r="R2" s="27">
        <v>145.1283</v>
      </c>
      <c r="S2" s="27" t="s">
        <v>200</v>
      </c>
      <c r="T2" s="27">
        <v>142.6414</v>
      </c>
      <c r="U2" s="27" t="s">
        <v>200</v>
      </c>
      <c r="V2" s="27">
        <v>136.00290000000001</v>
      </c>
      <c r="W2" s="27" t="s">
        <v>200</v>
      </c>
      <c r="X2" s="27">
        <v>126.384</v>
      </c>
      <c r="Y2" s="27" t="s">
        <v>200</v>
      </c>
      <c r="Z2" s="27">
        <v>121.7086</v>
      </c>
    </row>
    <row r="3" spans="1:26">
      <c r="A3" s="27" t="s">
        <v>196</v>
      </c>
      <c r="B3" s="27" t="s">
        <v>201</v>
      </c>
      <c r="C3" s="27" t="s">
        <v>198</v>
      </c>
      <c r="D3" s="27" t="s">
        <v>1157</v>
      </c>
      <c r="E3" s="27" t="s">
        <v>71</v>
      </c>
      <c r="F3" s="27" t="s">
        <v>200</v>
      </c>
      <c r="G3" s="27" t="s">
        <v>200</v>
      </c>
      <c r="H3" s="27">
        <v>137.13640000000001</v>
      </c>
      <c r="I3" s="27">
        <v>150.137</v>
      </c>
      <c r="J3" s="27">
        <v>152.93430000000001</v>
      </c>
      <c r="K3" s="27">
        <v>147.23140000000001</v>
      </c>
      <c r="L3" s="27">
        <v>144.95189999999999</v>
      </c>
      <c r="M3" s="27">
        <v>147.02379999999999</v>
      </c>
      <c r="N3" s="27">
        <v>147.1755</v>
      </c>
      <c r="O3" s="27">
        <v>146.655</v>
      </c>
      <c r="P3" s="27">
        <v>144.57859999999999</v>
      </c>
      <c r="Q3" s="27">
        <v>145.9323</v>
      </c>
      <c r="R3" s="27">
        <v>146.1919</v>
      </c>
      <c r="S3" s="27" t="s">
        <v>200</v>
      </c>
      <c r="T3" s="27">
        <v>143.4991</v>
      </c>
      <c r="U3" s="27" t="s">
        <v>200</v>
      </c>
      <c r="V3" s="27">
        <v>136.7295</v>
      </c>
      <c r="W3" s="27" t="s">
        <v>200</v>
      </c>
      <c r="X3" s="27">
        <v>126.79040000000001</v>
      </c>
      <c r="Y3" s="27" t="s">
        <v>200</v>
      </c>
      <c r="Z3" s="27">
        <v>121.9736</v>
      </c>
    </row>
    <row r="4" spans="1:26">
      <c r="A4" s="27" t="s">
        <v>196</v>
      </c>
      <c r="B4" s="27" t="s">
        <v>202</v>
      </c>
      <c r="C4" s="27" t="s">
        <v>198</v>
      </c>
      <c r="D4" s="27" t="s">
        <v>1157</v>
      </c>
      <c r="E4" s="27" t="s">
        <v>71</v>
      </c>
      <c r="F4" s="27" t="s">
        <v>200</v>
      </c>
      <c r="G4" s="27">
        <v>133.18729999999999</v>
      </c>
      <c r="H4" s="27">
        <v>137.66900000000001</v>
      </c>
      <c r="I4" s="27">
        <v>150.24199999999999</v>
      </c>
      <c r="J4" s="27">
        <v>162.85480000000001</v>
      </c>
      <c r="K4" s="27">
        <v>141.66399999999999</v>
      </c>
      <c r="L4" s="27">
        <v>143.98869999999999</v>
      </c>
      <c r="M4" s="27">
        <v>147.03870000000001</v>
      </c>
      <c r="N4" s="27">
        <v>147.4393</v>
      </c>
      <c r="O4" s="27">
        <v>146.69220000000001</v>
      </c>
      <c r="P4" s="27">
        <v>144.56020000000001</v>
      </c>
      <c r="Q4" s="27">
        <v>145.3681</v>
      </c>
      <c r="R4" s="27">
        <v>145.11080000000001</v>
      </c>
      <c r="S4" s="27" t="s">
        <v>200</v>
      </c>
      <c r="T4" s="27">
        <v>143.65770000000001</v>
      </c>
      <c r="U4" s="27" t="s">
        <v>200</v>
      </c>
      <c r="V4" s="27">
        <v>136.67609999999999</v>
      </c>
      <c r="W4" s="27" t="s">
        <v>200</v>
      </c>
      <c r="X4" s="27">
        <v>126.64149999999999</v>
      </c>
      <c r="Y4" s="27" t="s">
        <v>200</v>
      </c>
      <c r="Z4" s="27">
        <v>121.7531</v>
      </c>
    </row>
    <row r="5" spans="1:26">
      <c r="A5" s="27" t="s">
        <v>203</v>
      </c>
      <c r="B5" s="27" t="s">
        <v>204</v>
      </c>
      <c r="C5" s="27" t="s">
        <v>198</v>
      </c>
      <c r="D5" s="27" t="s">
        <v>1157</v>
      </c>
      <c r="E5" s="27" t="s">
        <v>71</v>
      </c>
      <c r="F5" s="27" t="s">
        <v>200</v>
      </c>
      <c r="G5" s="27">
        <v>133.1952</v>
      </c>
      <c r="H5" s="27">
        <v>136.95070000000001</v>
      </c>
      <c r="I5" s="27">
        <v>150.745</v>
      </c>
      <c r="J5" s="27">
        <v>163.66640000000001</v>
      </c>
      <c r="K5" s="27">
        <v>158.17769999999999</v>
      </c>
      <c r="L5" s="27">
        <v>162.04050000000001</v>
      </c>
      <c r="M5" s="27">
        <v>154.48009999999999</v>
      </c>
      <c r="N5" s="27">
        <v>151.23099999999999</v>
      </c>
      <c r="O5" s="27">
        <v>148.3485</v>
      </c>
      <c r="P5" s="27">
        <v>145.36160000000001</v>
      </c>
      <c r="Q5" s="27">
        <v>146.2612</v>
      </c>
      <c r="R5" s="27">
        <v>146.10720000000001</v>
      </c>
      <c r="S5" s="27" t="s">
        <v>200</v>
      </c>
      <c r="T5" s="27">
        <v>143.5608</v>
      </c>
      <c r="U5" s="27" t="s">
        <v>200</v>
      </c>
      <c r="V5" s="27">
        <v>136.58320000000001</v>
      </c>
      <c r="W5" s="27" t="s">
        <v>200</v>
      </c>
      <c r="X5" s="27">
        <v>126.71469999999999</v>
      </c>
      <c r="Y5" s="27" t="s">
        <v>200</v>
      </c>
      <c r="Z5" s="27">
        <v>121.8951</v>
      </c>
    </row>
    <row r="6" spans="1:26">
      <c r="A6" s="27" t="s">
        <v>207</v>
      </c>
      <c r="B6" s="27" t="s">
        <v>208</v>
      </c>
      <c r="C6" s="27" t="s">
        <v>198</v>
      </c>
      <c r="D6" s="27" t="s">
        <v>1157</v>
      </c>
      <c r="E6" s="27" t="s">
        <v>71</v>
      </c>
      <c r="F6" s="27">
        <v>144.2629568959442</v>
      </c>
      <c r="G6" s="27">
        <v>146.31438781285701</v>
      </c>
      <c r="H6" s="27">
        <v>148.36183193616341</v>
      </c>
      <c r="I6" s="27">
        <v>151.93528599999999</v>
      </c>
      <c r="J6" s="27">
        <v>155.5091189</v>
      </c>
      <c r="K6" s="27">
        <v>134.47326826189681</v>
      </c>
      <c r="L6" s="27">
        <v>113.48918960284141</v>
      </c>
      <c r="M6" s="27">
        <v>105.5258828628934</v>
      </c>
      <c r="N6" s="27">
        <v>97.750812287200077</v>
      </c>
      <c r="O6" s="27">
        <v>93.146664806432881</v>
      </c>
      <c r="P6" s="27">
        <v>88.391030273030623</v>
      </c>
      <c r="Q6" s="27">
        <v>85.200027935585254</v>
      </c>
      <c r="R6" s="27">
        <v>83.760917736587459</v>
      </c>
      <c r="S6" s="27" t="s">
        <v>200</v>
      </c>
      <c r="T6" s="27">
        <v>81.048232556873501</v>
      </c>
      <c r="U6" s="27" t="s">
        <v>200</v>
      </c>
      <c r="V6" s="27">
        <v>78.64269239332323</v>
      </c>
      <c r="W6" s="27" t="s">
        <v>200</v>
      </c>
      <c r="X6" s="27">
        <v>74.024596335765935</v>
      </c>
      <c r="Y6" s="27" t="s">
        <v>200</v>
      </c>
      <c r="Z6" s="27">
        <v>69.725238627688711</v>
      </c>
    </row>
    <row r="7" spans="1:26">
      <c r="A7" s="27" t="s">
        <v>209</v>
      </c>
      <c r="B7" s="27" t="s">
        <v>210</v>
      </c>
      <c r="C7" s="27" t="s">
        <v>198</v>
      </c>
      <c r="D7" s="27" t="s">
        <v>1157</v>
      </c>
      <c r="E7" s="27" t="s">
        <v>71</v>
      </c>
      <c r="F7" s="27" t="s">
        <v>200</v>
      </c>
      <c r="G7" s="27" t="s">
        <v>200</v>
      </c>
      <c r="H7" s="27">
        <v>180.298</v>
      </c>
      <c r="I7" s="27">
        <v>192.78649999999999</v>
      </c>
      <c r="J7" s="27">
        <v>204.9427</v>
      </c>
      <c r="K7" s="27">
        <v>171.90790000000001</v>
      </c>
      <c r="L7" s="27">
        <v>158.67410000000001</v>
      </c>
      <c r="M7" s="27">
        <v>142.6661</v>
      </c>
      <c r="N7" s="27">
        <v>130.25239999999999</v>
      </c>
      <c r="O7" s="27">
        <v>125.066</v>
      </c>
      <c r="P7" s="27">
        <v>124.28919999999999</v>
      </c>
      <c r="Q7" s="27">
        <v>126.87009999999999</v>
      </c>
      <c r="R7" s="27">
        <v>123.80370000000001</v>
      </c>
      <c r="S7" s="27">
        <v>122.1163</v>
      </c>
      <c r="T7" s="27">
        <v>126.0908</v>
      </c>
      <c r="U7" s="27">
        <v>129.5652</v>
      </c>
      <c r="V7" s="27">
        <v>130.21299999999999</v>
      </c>
      <c r="W7" s="27">
        <v>132.35350000000011</v>
      </c>
      <c r="X7" s="27">
        <v>134.5641</v>
      </c>
      <c r="Y7" s="27">
        <v>136.41419999999999</v>
      </c>
      <c r="Z7" s="27">
        <v>137.84649999999999</v>
      </c>
    </row>
    <row r="8" spans="1:26">
      <c r="A8" s="27" t="s">
        <v>196</v>
      </c>
      <c r="B8" s="27" t="s">
        <v>213</v>
      </c>
      <c r="C8" s="27" t="s">
        <v>198</v>
      </c>
      <c r="D8" s="27" t="s">
        <v>1157</v>
      </c>
      <c r="E8" s="27" t="s">
        <v>71</v>
      </c>
      <c r="F8" s="27" t="s">
        <v>200</v>
      </c>
      <c r="G8" s="27">
        <v>133.18729999999999</v>
      </c>
      <c r="H8" s="27">
        <v>137.5926</v>
      </c>
      <c r="I8" s="27">
        <v>150.20840000000001</v>
      </c>
      <c r="J8" s="27">
        <v>162.43719999999999</v>
      </c>
      <c r="K8" s="27">
        <v>118.3655</v>
      </c>
      <c r="L8" s="27">
        <v>102.6206</v>
      </c>
      <c r="M8" s="27">
        <v>85.415199999999999</v>
      </c>
      <c r="N8" s="27">
        <v>67.049300000000002</v>
      </c>
      <c r="O8" s="27">
        <v>49.030099999999997</v>
      </c>
      <c r="P8" s="27">
        <v>32.830800000000004</v>
      </c>
      <c r="Q8" s="27">
        <v>31.818999999999999</v>
      </c>
      <c r="R8" s="27">
        <v>30.730699999999999</v>
      </c>
      <c r="S8" s="27" t="s">
        <v>200</v>
      </c>
      <c r="T8" s="27">
        <v>28.313600000000001</v>
      </c>
      <c r="U8" s="27" t="s">
        <v>200</v>
      </c>
      <c r="V8" s="27">
        <v>25.5794</v>
      </c>
      <c r="W8" s="27" t="s">
        <v>200</v>
      </c>
      <c r="X8" s="27">
        <v>22.679099999999998</v>
      </c>
      <c r="Y8" s="27" t="s">
        <v>200</v>
      </c>
      <c r="Z8" s="27">
        <v>19.5533</v>
      </c>
    </row>
    <row r="9" spans="1:26">
      <c r="A9" s="27" t="s">
        <v>214</v>
      </c>
      <c r="B9" s="27" t="s">
        <v>215</v>
      </c>
      <c r="C9" s="27" t="s">
        <v>198</v>
      </c>
      <c r="D9" s="27" t="s">
        <v>1157</v>
      </c>
      <c r="E9" s="27" t="s">
        <v>71</v>
      </c>
      <c r="F9" s="27" t="s">
        <v>200</v>
      </c>
      <c r="G9" s="27">
        <v>163.07915550499999</v>
      </c>
      <c r="H9" s="27">
        <v>175.14184079500001</v>
      </c>
      <c r="I9" s="27" t="s">
        <v>200</v>
      </c>
      <c r="J9" s="27">
        <v>173.107011981</v>
      </c>
      <c r="K9" s="27" t="s">
        <v>200</v>
      </c>
      <c r="L9" s="27">
        <v>156.69396638500001</v>
      </c>
      <c r="M9" s="27" t="s">
        <v>200</v>
      </c>
      <c r="N9" s="27">
        <v>149.78804365600001</v>
      </c>
      <c r="O9" s="27" t="s">
        <v>200</v>
      </c>
      <c r="P9" s="27">
        <v>144.80059831599999</v>
      </c>
      <c r="Q9" s="27" t="s">
        <v>200</v>
      </c>
      <c r="R9" s="27">
        <v>135.80501583500001</v>
      </c>
      <c r="S9" s="27" t="s">
        <v>200</v>
      </c>
      <c r="T9" s="27">
        <v>123.52583343000001</v>
      </c>
      <c r="U9" s="27" t="s">
        <v>200</v>
      </c>
      <c r="V9" s="27">
        <v>117.43533234</v>
      </c>
      <c r="W9" s="27" t="s">
        <v>200</v>
      </c>
      <c r="X9" s="27">
        <v>110.26202859999999</v>
      </c>
      <c r="Y9" s="27" t="s">
        <v>200</v>
      </c>
      <c r="Z9" s="27">
        <v>102.147595307</v>
      </c>
    </row>
    <row r="10" spans="1:26">
      <c r="A10" s="27" t="s">
        <v>218</v>
      </c>
      <c r="B10" s="27" t="s">
        <v>219</v>
      </c>
      <c r="C10" s="27" t="s">
        <v>198</v>
      </c>
      <c r="D10" s="27" t="s">
        <v>1157</v>
      </c>
      <c r="E10" s="27" t="s">
        <v>71</v>
      </c>
      <c r="F10" s="27" t="s">
        <v>200</v>
      </c>
      <c r="G10" s="27">
        <v>157.50030000000001</v>
      </c>
      <c r="H10" s="27">
        <v>181.62029999999999</v>
      </c>
      <c r="I10" s="27">
        <v>201.6234</v>
      </c>
      <c r="J10" s="27">
        <v>204.56620000000001</v>
      </c>
      <c r="K10" s="27">
        <v>195.75579999999999</v>
      </c>
      <c r="L10" s="27">
        <v>192.2569</v>
      </c>
      <c r="M10" s="27">
        <v>189.46019999999999</v>
      </c>
      <c r="N10" s="27">
        <v>187.09620000000001</v>
      </c>
      <c r="O10" s="27">
        <v>185.41640000000001</v>
      </c>
      <c r="P10" s="27">
        <v>181.12180000000001</v>
      </c>
      <c r="Q10" s="27">
        <v>184.28960000000001</v>
      </c>
      <c r="R10" s="27">
        <v>185.39529999999999</v>
      </c>
      <c r="S10" s="27" t="s">
        <v>200</v>
      </c>
      <c r="T10" s="27">
        <v>184.51410000000001</v>
      </c>
      <c r="U10" s="27" t="s">
        <v>200</v>
      </c>
      <c r="V10" s="27">
        <v>180.97190000000001</v>
      </c>
      <c r="W10" s="27" t="s">
        <v>200</v>
      </c>
      <c r="X10" s="27">
        <v>172.7165</v>
      </c>
      <c r="Y10" s="27" t="s">
        <v>200</v>
      </c>
      <c r="Z10" s="27">
        <v>158.6421</v>
      </c>
    </row>
    <row r="11" spans="1:26">
      <c r="A11" s="27" t="s">
        <v>220</v>
      </c>
      <c r="B11" s="27" t="s">
        <v>221</v>
      </c>
      <c r="C11" s="27" t="s">
        <v>198</v>
      </c>
      <c r="D11" s="27" t="s">
        <v>1157</v>
      </c>
      <c r="E11" s="27" t="s">
        <v>71</v>
      </c>
      <c r="F11" s="27" t="s">
        <v>200</v>
      </c>
      <c r="G11" s="27">
        <v>166.37819197764699</v>
      </c>
      <c r="H11" s="27">
        <v>168.21986464953099</v>
      </c>
      <c r="I11" s="27" t="s">
        <v>200</v>
      </c>
      <c r="J11" s="27">
        <v>172.441178664456</v>
      </c>
      <c r="K11" s="27" t="s">
        <v>200</v>
      </c>
      <c r="L11" s="27">
        <v>106.581325107837</v>
      </c>
      <c r="M11" s="27" t="s">
        <v>200</v>
      </c>
      <c r="N11" s="27">
        <v>98.939809476289994</v>
      </c>
      <c r="O11" s="27" t="s">
        <v>200</v>
      </c>
      <c r="P11" s="27">
        <v>93.383132902941398</v>
      </c>
      <c r="Q11" s="27" t="s">
        <v>200</v>
      </c>
      <c r="R11" s="27">
        <v>89.053695664936498</v>
      </c>
      <c r="S11" s="27" t="s">
        <v>200</v>
      </c>
      <c r="T11" s="27">
        <v>85.3754655199307</v>
      </c>
      <c r="U11" s="27" t="s">
        <v>200</v>
      </c>
      <c r="V11" s="27">
        <v>81.701257408861792</v>
      </c>
      <c r="W11" s="27" t="s">
        <v>200</v>
      </c>
      <c r="X11" s="27">
        <v>77.865050665095907</v>
      </c>
      <c r="Y11" s="27" t="s">
        <v>200</v>
      </c>
      <c r="Z11" s="27">
        <v>73.537951313943694</v>
      </c>
    </row>
    <row r="12" spans="1:26">
      <c r="A12" s="27" t="s">
        <v>222</v>
      </c>
      <c r="B12" s="27" t="s">
        <v>223</v>
      </c>
      <c r="C12" s="27" t="s">
        <v>198</v>
      </c>
      <c r="D12" s="27" t="s">
        <v>1157</v>
      </c>
      <c r="E12" s="27" t="s">
        <v>71</v>
      </c>
      <c r="F12" s="27" t="s">
        <v>200</v>
      </c>
      <c r="G12" s="27">
        <v>134.54310000000001</v>
      </c>
      <c r="H12" s="27">
        <v>138.93639999999999</v>
      </c>
      <c r="I12" s="27">
        <v>151.40180000000001</v>
      </c>
      <c r="J12" s="27">
        <v>163.71899999999999</v>
      </c>
      <c r="K12" s="27">
        <v>143.1927</v>
      </c>
      <c r="L12" s="27">
        <v>145.3546</v>
      </c>
      <c r="M12" s="27">
        <v>147.50360000000001</v>
      </c>
      <c r="N12" s="27">
        <v>148.04419999999999</v>
      </c>
      <c r="O12" s="27">
        <v>147.4299</v>
      </c>
      <c r="P12" s="27">
        <v>145.44200000000001</v>
      </c>
      <c r="Q12" s="27">
        <v>146.4676</v>
      </c>
      <c r="R12" s="27">
        <v>146.84639999999999</v>
      </c>
      <c r="S12" s="27" t="s">
        <v>200</v>
      </c>
      <c r="T12" s="27">
        <v>144.4248</v>
      </c>
      <c r="U12" s="27" t="s">
        <v>200</v>
      </c>
      <c r="V12" s="27">
        <v>137.42250000000001</v>
      </c>
      <c r="W12" s="27" t="s">
        <v>200</v>
      </c>
      <c r="X12" s="27">
        <v>127.2666</v>
      </c>
      <c r="Y12" s="27" t="s">
        <v>200</v>
      </c>
      <c r="Z12" s="27">
        <v>122.3856</v>
      </c>
    </row>
    <row r="13" spans="1:26">
      <c r="A13" s="27" t="s">
        <v>196</v>
      </c>
      <c r="B13" s="27" t="s">
        <v>224</v>
      </c>
      <c r="C13" s="27" t="s">
        <v>198</v>
      </c>
      <c r="D13" s="27" t="s">
        <v>1157</v>
      </c>
      <c r="E13" s="27" t="s">
        <v>71</v>
      </c>
      <c r="F13" s="27" t="s">
        <v>200</v>
      </c>
      <c r="G13" s="27">
        <v>133.18729999999999</v>
      </c>
      <c r="H13" s="27">
        <v>137.68279999999999</v>
      </c>
      <c r="I13" s="27">
        <v>150.16210000000001</v>
      </c>
      <c r="J13" s="27">
        <v>162.42509999999999</v>
      </c>
      <c r="K13" s="27">
        <v>141.5384</v>
      </c>
      <c r="L13" s="27">
        <v>143.88300000000001</v>
      </c>
      <c r="M13" s="27">
        <v>147.0667</v>
      </c>
      <c r="N13" s="27">
        <v>147.41800000000001</v>
      </c>
      <c r="O13" s="27">
        <v>146.7764</v>
      </c>
      <c r="P13" s="27">
        <v>144.45249999999999</v>
      </c>
      <c r="Q13" s="27">
        <v>145.09790000000001</v>
      </c>
      <c r="R13" s="27">
        <v>145.2628</v>
      </c>
      <c r="S13" s="27" t="s">
        <v>200</v>
      </c>
      <c r="T13" s="27">
        <v>142.76300000000001</v>
      </c>
      <c r="U13" s="27" t="s">
        <v>200</v>
      </c>
      <c r="V13" s="27">
        <v>136.07689999999999</v>
      </c>
      <c r="W13" s="27" t="s">
        <v>200</v>
      </c>
      <c r="X13" s="27">
        <v>126.46080000000001</v>
      </c>
      <c r="Y13" s="27" t="s">
        <v>200</v>
      </c>
      <c r="Z13" s="27">
        <v>121.7526</v>
      </c>
    </row>
    <row r="14" spans="1:26">
      <c r="A14" s="27" t="s">
        <v>207</v>
      </c>
      <c r="B14" s="27" t="s">
        <v>225</v>
      </c>
      <c r="C14" s="27" t="s">
        <v>198</v>
      </c>
      <c r="D14" s="27" t="s">
        <v>1157</v>
      </c>
      <c r="E14" s="27" t="s">
        <v>71</v>
      </c>
      <c r="F14" s="27">
        <v>144.2629568959442</v>
      </c>
      <c r="G14" s="27">
        <v>146.31438781285701</v>
      </c>
      <c r="H14" s="27">
        <v>148.36183193616341</v>
      </c>
      <c r="I14" s="27">
        <v>151.93528599999999</v>
      </c>
      <c r="J14" s="27">
        <v>155.5091189</v>
      </c>
      <c r="K14" s="27">
        <v>133.54418630000001</v>
      </c>
      <c r="L14" s="27">
        <v>111.6122927760735</v>
      </c>
      <c r="M14" s="27">
        <v>104.28180987076109</v>
      </c>
      <c r="N14" s="27">
        <v>96.881293683624762</v>
      </c>
      <c r="O14" s="27">
        <v>91.755627997513287</v>
      </c>
      <c r="P14" s="27">
        <v>86.96519289767042</v>
      </c>
      <c r="Q14" s="27">
        <v>83.852971380784552</v>
      </c>
      <c r="R14" s="27">
        <v>80.861247155443564</v>
      </c>
      <c r="S14" s="27" t="s">
        <v>200</v>
      </c>
      <c r="T14" s="27">
        <v>79.233269803515242</v>
      </c>
      <c r="U14" s="27" t="s">
        <v>200</v>
      </c>
      <c r="V14" s="27">
        <v>77.692151892846979</v>
      </c>
      <c r="W14" s="27" t="s">
        <v>200</v>
      </c>
      <c r="X14" s="27">
        <v>73.377846251325096</v>
      </c>
      <c r="Y14" s="27" t="s">
        <v>200</v>
      </c>
      <c r="Z14" s="27">
        <v>69.343646224374012</v>
      </c>
    </row>
    <row r="15" spans="1:26">
      <c r="A15" s="27" t="s">
        <v>226</v>
      </c>
      <c r="B15" s="27" t="s">
        <v>227</v>
      </c>
      <c r="C15" s="27" t="s">
        <v>198</v>
      </c>
      <c r="D15" s="27" t="s">
        <v>1157</v>
      </c>
      <c r="E15" s="27" t="s">
        <v>71</v>
      </c>
      <c r="F15" s="27" t="s">
        <v>200</v>
      </c>
      <c r="G15" s="27">
        <v>157.6215</v>
      </c>
      <c r="H15" s="27">
        <v>181.524</v>
      </c>
      <c r="I15" s="27">
        <v>202.6688</v>
      </c>
      <c r="J15" s="27">
        <v>216.7587</v>
      </c>
      <c r="K15" s="27">
        <v>182.2955</v>
      </c>
      <c r="L15" s="27">
        <v>189.1721</v>
      </c>
      <c r="M15" s="27">
        <v>179.12289999999999</v>
      </c>
      <c r="N15" s="27">
        <v>183.92609999999999</v>
      </c>
      <c r="O15" s="27">
        <v>172.767</v>
      </c>
      <c r="P15" s="27">
        <v>175.6508</v>
      </c>
      <c r="Q15" s="27">
        <v>168.77160000000001</v>
      </c>
      <c r="R15" s="27">
        <v>169.63730000000001</v>
      </c>
      <c r="S15" s="27" t="s">
        <v>200</v>
      </c>
      <c r="T15" s="27">
        <v>166.64250000000001</v>
      </c>
      <c r="U15" s="27" t="s">
        <v>200</v>
      </c>
      <c r="V15" s="27">
        <v>160.83629999999999</v>
      </c>
      <c r="W15" s="27" t="s">
        <v>200</v>
      </c>
      <c r="X15" s="27">
        <v>150.10429999999999</v>
      </c>
      <c r="Y15" s="27" t="s">
        <v>200</v>
      </c>
      <c r="Z15" s="27">
        <v>134.5307</v>
      </c>
    </row>
    <row r="16" spans="1:26">
      <c r="A16" s="27" t="s">
        <v>226</v>
      </c>
      <c r="B16" s="27" t="s">
        <v>228</v>
      </c>
      <c r="C16" s="27" t="s">
        <v>198</v>
      </c>
      <c r="D16" s="27" t="s">
        <v>1157</v>
      </c>
      <c r="E16" s="27" t="s">
        <v>71</v>
      </c>
      <c r="F16" s="27" t="s">
        <v>200</v>
      </c>
      <c r="G16" s="27">
        <v>157.57929999999999</v>
      </c>
      <c r="H16" s="27">
        <v>181.50470000000001</v>
      </c>
      <c r="I16" s="27">
        <v>202.19450000000001</v>
      </c>
      <c r="J16" s="27">
        <v>217.7527</v>
      </c>
      <c r="K16" s="27">
        <v>182.43469999999999</v>
      </c>
      <c r="L16" s="27">
        <v>189.1815</v>
      </c>
      <c r="M16" s="27">
        <v>179.20519999999999</v>
      </c>
      <c r="N16" s="27">
        <v>184.0624</v>
      </c>
      <c r="O16" s="27">
        <v>172.83269999999999</v>
      </c>
      <c r="P16" s="27">
        <v>175.70169999999999</v>
      </c>
      <c r="Q16" s="27">
        <v>168.86490000000001</v>
      </c>
      <c r="R16" s="27">
        <v>169.46459999999999</v>
      </c>
      <c r="S16" s="27" t="s">
        <v>200</v>
      </c>
      <c r="T16" s="27">
        <v>166.5196</v>
      </c>
      <c r="U16" s="27" t="s">
        <v>200</v>
      </c>
      <c r="V16" s="27">
        <v>161.08070000000001</v>
      </c>
      <c r="W16" s="27" t="s">
        <v>200</v>
      </c>
      <c r="X16" s="27">
        <v>150.10499999999999</v>
      </c>
      <c r="Y16" s="27" t="s">
        <v>200</v>
      </c>
      <c r="Z16" s="27">
        <v>134.71039999999999</v>
      </c>
    </row>
    <row r="17" spans="1:26">
      <c r="A17" s="27" t="s">
        <v>207</v>
      </c>
      <c r="B17" s="27" t="s">
        <v>229</v>
      </c>
      <c r="C17" s="27" t="s">
        <v>198</v>
      </c>
      <c r="D17" s="27" t="s">
        <v>1157</v>
      </c>
      <c r="E17" s="27" t="s">
        <v>71</v>
      </c>
      <c r="F17" s="27">
        <v>144.2629568959442</v>
      </c>
      <c r="G17" s="27">
        <v>146.31438781285701</v>
      </c>
      <c r="H17" s="27">
        <v>148.36183193616341</v>
      </c>
      <c r="I17" s="27">
        <v>151.93528599999999</v>
      </c>
      <c r="J17" s="27">
        <v>155.5091189</v>
      </c>
      <c r="K17" s="27">
        <v>133.27861742914081</v>
      </c>
      <c r="L17" s="27">
        <v>111.1683095735701</v>
      </c>
      <c r="M17" s="27">
        <v>103.76626941534791</v>
      </c>
      <c r="N17" s="27">
        <v>96.444485998519937</v>
      </c>
      <c r="O17" s="27">
        <v>91.324101157819314</v>
      </c>
      <c r="P17" s="27">
        <v>86.192105020371429</v>
      </c>
      <c r="Q17" s="27">
        <v>82.960183411376761</v>
      </c>
      <c r="R17" s="27">
        <v>80.082134693217256</v>
      </c>
      <c r="S17" s="27" t="s">
        <v>200</v>
      </c>
      <c r="T17" s="27">
        <v>78.704893481818246</v>
      </c>
      <c r="U17" s="27" t="s">
        <v>200</v>
      </c>
      <c r="V17" s="27">
        <v>76.760353084928326</v>
      </c>
      <c r="W17" s="27" t="s">
        <v>200</v>
      </c>
      <c r="X17" s="27">
        <v>72.990417611740142</v>
      </c>
      <c r="Y17" s="27" t="s">
        <v>200</v>
      </c>
      <c r="Z17" s="27">
        <v>69.104343474454765</v>
      </c>
    </row>
    <row r="18" spans="1:26">
      <c r="A18" s="27" t="s">
        <v>207</v>
      </c>
      <c r="B18" s="27" t="s">
        <v>230</v>
      </c>
      <c r="C18" s="27" t="s">
        <v>198</v>
      </c>
      <c r="D18" s="27" t="s">
        <v>1157</v>
      </c>
      <c r="E18" s="27" t="s">
        <v>71</v>
      </c>
      <c r="F18" s="27">
        <v>144.2629568959442</v>
      </c>
      <c r="G18" s="27">
        <v>146.31438781285701</v>
      </c>
      <c r="H18" s="27">
        <v>148.36183193616341</v>
      </c>
      <c r="I18" s="27">
        <v>151.93528599999999</v>
      </c>
      <c r="J18" s="27">
        <v>155.5091189</v>
      </c>
      <c r="K18" s="27">
        <v>129.66039808353281</v>
      </c>
      <c r="L18" s="27">
        <v>103.80926374931209</v>
      </c>
      <c r="M18" s="27">
        <v>95.846498015290095</v>
      </c>
      <c r="N18" s="27">
        <v>87.853350371647849</v>
      </c>
      <c r="O18" s="27">
        <v>82.28737558889533</v>
      </c>
      <c r="P18" s="27">
        <v>77.286940907755849</v>
      </c>
      <c r="Q18" s="27">
        <v>76.611947051110604</v>
      </c>
      <c r="R18" s="27">
        <v>76.084966141245502</v>
      </c>
      <c r="S18" s="27" t="s">
        <v>200</v>
      </c>
      <c r="T18" s="27">
        <v>75.106893592855059</v>
      </c>
      <c r="U18" s="27" t="s">
        <v>200</v>
      </c>
      <c r="V18" s="27">
        <v>74.503946328007984</v>
      </c>
      <c r="W18" s="27" t="s">
        <v>200</v>
      </c>
      <c r="X18" s="27">
        <v>71.73499444965492</v>
      </c>
      <c r="Y18" s="27" t="s">
        <v>200</v>
      </c>
      <c r="Z18" s="27">
        <v>68.318583960769885</v>
      </c>
    </row>
    <row r="19" spans="1:26">
      <c r="A19" s="27" t="s">
        <v>231</v>
      </c>
      <c r="B19" s="27" t="s">
        <v>232</v>
      </c>
      <c r="C19" s="27" t="s">
        <v>198</v>
      </c>
      <c r="D19" s="27" t="s">
        <v>1157</v>
      </c>
      <c r="E19" s="27" t="s">
        <v>71</v>
      </c>
      <c r="F19" s="27" t="s">
        <v>200</v>
      </c>
      <c r="G19" s="27">
        <v>134.71468569745801</v>
      </c>
      <c r="H19" s="27">
        <v>137.62000964999001</v>
      </c>
      <c r="I19" s="27">
        <v>140.15055051914001</v>
      </c>
      <c r="J19" s="27">
        <v>151.113461939145</v>
      </c>
      <c r="K19" s="27">
        <v>146.500172329843</v>
      </c>
      <c r="L19" s="27">
        <v>148.77343930052501</v>
      </c>
      <c r="M19" s="27">
        <v>148.27621055953199</v>
      </c>
      <c r="N19" s="27">
        <v>158.33672847414101</v>
      </c>
      <c r="O19" s="27">
        <v>165.096874169675</v>
      </c>
      <c r="P19" s="27">
        <v>171.58543551100999</v>
      </c>
      <c r="Q19" s="27">
        <v>176.20417741138101</v>
      </c>
      <c r="R19" s="27">
        <v>180.963267956701</v>
      </c>
      <c r="S19" s="27">
        <v>185.58520546842399</v>
      </c>
      <c r="T19" s="27">
        <v>190.32434775140399</v>
      </c>
      <c r="U19" s="27">
        <v>195.06990739033401</v>
      </c>
      <c r="V19" s="27">
        <v>199.62778607595999</v>
      </c>
      <c r="W19" s="27">
        <v>203.55707866128</v>
      </c>
      <c r="X19" s="27">
        <v>206.88172140309999</v>
      </c>
      <c r="Y19" s="27">
        <v>209.55857596013499</v>
      </c>
      <c r="Z19" s="27">
        <v>211.62585655312401</v>
      </c>
    </row>
    <row r="20" spans="1:26">
      <c r="A20" s="27" t="s">
        <v>233</v>
      </c>
      <c r="B20" s="27" t="s">
        <v>224</v>
      </c>
      <c r="C20" s="27" t="s">
        <v>198</v>
      </c>
      <c r="D20" s="27" t="s">
        <v>1157</v>
      </c>
      <c r="E20" s="27" t="s">
        <v>71</v>
      </c>
      <c r="F20" s="27" t="s">
        <v>200</v>
      </c>
      <c r="G20" s="27" t="s">
        <v>200</v>
      </c>
      <c r="H20" s="27">
        <v>151.13019125242201</v>
      </c>
      <c r="I20" s="27">
        <v>145.620904064775</v>
      </c>
      <c r="J20" s="27">
        <v>156.45280273847979</v>
      </c>
      <c r="K20" s="27">
        <v>95.565887566419761</v>
      </c>
      <c r="L20" s="27">
        <v>86.576322819921529</v>
      </c>
      <c r="M20" s="27">
        <v>83.933163500360578</v>
      </c>
      <c r="N20" s="27">
        <v>81.287399138043824</v>
      </c>
      <c r="O20" s="27">
        <v>79.318096395155379</v>
      </c>
      <c r="P20" s="27">
        <v>77.526264499958486</v>
      </c>
      <c r="Q20" s="27">
        <v>77.522369623118635</v>
      </c>
      <c r="R20" s="27">
        <v>77.519026057439902</v>
      </c>
      <c r="S20" s="27">
        <v>77.65811648268263</v>
      </c>
      <c r="T20" s="27">
        <v>77.603209471279598</v>
      </c>
      <c r="U20" s="27">
        <v>77.153847437345803</v>
      </c>
      <c r="V20" s="27">
        <v>77.153530768447723</v>
      </c>
      <c r="W20" s="27">
        <v>77.084889630259127</v>
      </c>
      <c r="X20" s="27">
        <v>77.011105188906797</v>
      </c>
      <c r="Y20" s="27">
        <v>76.868866348110544</v>
      </c>
      <c r="Z20" s="27">
        <v>76.729515292182953</v>
      </c>
    </row>
    <row r="21" spans="1:26">
      <c r="A21" s="27" t="s">
        <v>220</v>
      </c>
      <c r="B21" s="27" t="s">
        <v>215</v>
      </c>
      <c r="C21" s="27" t="s">
        <v>198</v>
      </c>
      <c r="D21" s="27" t="s">
        <v>1157</v>
      </c>
      <c r="E21" s="27" t="s">
        <v>71</v>
      </c>
      <c r="F21" s="27" t="s">
        <v>200</v>
      </c>
      <c r="G21" s="27">
        <v>166.37819197764699</v>
      </c>
      <c r="H21" s="27">
        <v>168.21986464953099</v>
      </c>
      <c r="I21" s="27" t="s">
        <v>200</v>
      </c>
      <c r="J21" s="27">
        <v>167.74469843560499</v>
      </c>
      <c r="K21" s="27" t="s">
        <v>200</v>
      </c>
      <c r="L21" s="27">
        <v>106.589541081154</v>
      </c>
      <c r="M21" s="27" t="s">
        <v>200</v>
      </c>
      <c r="N21" s="27">
        <v>98.947379052679594</v>
      </c>
      <c r="O21" s="27" t="s">
        <v>200</v>
      </c>
      <c r="P21" s="27">
        <v>93.379018675862397</v>
      </c>
      <c r="Q21" s="27" t="s">
        <v>200</v>
      </c>
      <c r="R21" s="27">
        <v>89.040689560639308</v>
      </c>
      <c r="S21" s="27" t="s">
        <v>200</v>
      </c>
      <c r="T21" s="27">
        <v>85.374395685244792</v>
      </c>
      <c r="U21" s="27" t="s">
        <v>200</v>
      </c>
      <c r="V21" s="27">
        <v>81.699036955650897</v>
      </c>
      <c r="W21" s="27" t="s">
        <v>200</v>
      </c>
      <c r="X21" s="27">
        <v>77.856939256568907</v>
      </c>
      <c r="Y21" s="27" t="s">
        <v>200</v>
      </c>
      <c r="Z21" s="27">
        <v>73.547315242349086</v>
      </c>
    </row>
    <row r="22" spans="1:26">
      <c r="A22" s="27" t="s">
        <v>226</v>
      </c>
      <c r="B22" s="27" t="s">
        <v>234</v>
      </c>
      <c r="C22" s="27" t="s">
        <v>198</v>
      </c>
      <c r="D22" s="27" t="s">
        <v>1157</v>
      </c>
      <c r="E22" s="27" t="s">
        <v>71</v>
      </c>
      <c r="F22" s="27" t="s">
        <v>200</v>
      </c>
      <c r="G22" s="27">
        <v>157.6215</v>
      </c>
      <c r="H22" s="27">
        <v>181.524</v>
      </c>
      <c r="I22" s="27">
        <v>202.6688</v>
      </c>
      <c r="J22" s="27">
        <v>216.7587</v>
      </c>
      <c r="K22" s="27">
        <v>173.74600000000001</v>
      </c>
      <c r="L22" s="27">
        <v>182.1319</v>
      </c>
      <c r="M22" s="27">
        <v>174.67529999999999</v>
      </c>
      <c r="N22" s="27">
        <v>180.99420000000001</v>
      </c>
      <c r="O22" s="27">
        <v>170.6232</v>
      </c>
      <c r="P22" s="27">
        <v>173.69489999999999</v>
      </c>
      <c r="Q22" s="27">
        <v>166.88319999999999</v>
      </c>
      <c r="R22" s="27">
        <v>167.92699999999999</v>
      </c>
      <c r="S22" s="27" t="s">
        <v>200</v>
      </c>
      <c r="T22" s="27">
        <v>165.1481</v>
      </c>
      <c r="U22" s="27" t="s">
        <v>200</v>
      </c>
      <c r="V22" s="27">
        <v>159.47319999999999</v>
      </c>
      <c r="W22" s="27" t="s">
        <v>200</v>
      </c>
      <c r="X22" s="27">
        <v>148.4639</v>
      </c>
      <c r="Y22" s="27" t="s">
        <v>200</v>
      </c>
      <c r="Z22" s="27">
        <v>132.9211</v>
      </c>
    </row>
    <row r="23" spans="1:26">
      <c r="A23" s="27" t="s">
        <v>196</v>
      </c>
      <c r="B23" s="27" t="s">
        <v>236</v>
      </c>
      <c r="C23" s="27" t="s">
        <v>198</v>
      </c>
      <c r="D23" s="27" t="s">
        <v>1157</v>
      </c>
      <c r="E23" s="27" t="s">
        <v>71</v>
      </c>
      <c r="F23" s="27" t="s">
        <v>200</v>
      </c>
      <c r="G23" s="27" t="s">
        <v>200</v>
      </c>
      <c r="H23" s="27">
        <v>137.13640000000001</v>
      </c>
      <c r="I23" s="27">
        <v>150.137</v>
      </c>
      <c r="J23" s="27">
        <v>152.93430000000001</v>
      </c>
      <c r="K23" s="27">
        <v>142.4453</v>
      </c>
      <c r="L23" s="27">
        <v>144.19730000000001</v>
      </c>
      <c r="M23" s="27">
        <v>146.56379999999999</v>
      </c>
      <c r="N23" s="27">
        <v>146.99770000000001</v>
      </c>
      <c r="O23" s="27">
        <v>146.655</v>
      </c>
      <c r="P23" s="27">
        <v>144.57859999999999</v>
      </c>
      <c r="Q23" s="27">
        <v>145.9323</v>
      </c>
      <c r="R23" s="27">
        <v>146.1919</v>
      </c>
      <c r="S23" s="27" t="s">
        <v>200</v>
      </c>
      <c r="T23" s="27">
        <v>143.4991</v>
      </c>
      <c r="U23" s="27" t="s">
        <v>200</v>
      </c>
      <c r="V23" s="27">
        <v>136.7295</v>
      </c>
      <c r="W23" s="27" t="s">
        <v>200</v>
      </c>
      <c r="X23" s="27">
        <v>126.79040000000001</v>
      </c>
      <c r="Y23" s="27" t="s">
        <v>200</v>
      </c>
      <c r="Z23" s="27">
        <v>121.9736</v>
      </c>
    </row>
    <row r="24" spans="1:26">
      <c r="A24" s="27" t="s">
        <v>231</v>
      </c>
      <c r="B24" s="27" t="s">
        <v>237</v>
      </c>
      <c r="C24" s="27" t="s">
        <v>198</v>
      </c>
      <c r="D24" s="27" t="s">
        <v>1157</v>
      </c>
      <c r="E24" s="27" t="s">
        <v>71</v>
      </c>
      <c r="F24" s="27" t="s">
        <v>200</v>
      </c>
      <c r="G24" s="27">
        <v>134.71468569745801</v>
      </c>
      <c r="H24" s="27">
        <v>137.62000964999001</v>
      </c>
      <c r="I24" s="27">
        <v>140.15055051914001</v>
      </c>
      <c r="J24" s="27">
        <v>151.113461939145</v>
      </c>
      <c r="K24" s="27">
        <v>150.14568928230199</v>
      </c>
      <c r="L24" s="27">
        <v>155.51394404793899</v>
      </c>
      <c r="M24" s="27">
        <v>160.138799025694</v>
      </c>
      <c r="N24" s="27">
        <v>164.49724391460401</v>
      </c>
      <c r="O24" s="27">
        <v>164.37799839325399</v>
      </c>
      <c r="P24" s="27">
        <v>171.430864053384</v>
      </c>
      <c r="Q24" s="27">
        <v>175.91952573500001</v>
      </c>
      <c r="R24" s="27">
        <v>180.72768780951299</v>
      </c>
      <c r="S24" s="27">
        <v>185.44493905811001</v>
      </c>
      <c r="T24" s="27">
        <v>190.16348936707999</v>
      </c>
      <c r="U24" s="27">
        <v>194.81775576711601</v>
      </c>
      <c r="V24" s="27">
        <v>199.41224120496</v>
      </c>
      <c r="W24" s="27">
        <v>203.511157378327</v>
      </c>
      <c r="X24" s="27">
        <v>206.96422838794999</v>
      </c>
      <c r="Y24" s="27">
        <v>209.63847063082</v>
      </c>
      <c r="Z24" s="27">
        <v>211.391934031419</v>
      </c>
    </row>
    <row r="25" spans="1:26">
      <c r="A25" s="27" t="s">
        <v>233</v>
      </c>
      <c r="B25" s="27" t="s">
        <v>238</v>
      </c>
      <c r="C25" s="27" t="s">
        <v>198</v>
      </c>
      <c r="D25" s="27" t="s">
        <v>1157</v>
      </c>
      <c r="E25" s="27" t="s">
        <v>71</v>
      </c>
      <c r="F25" s="27" t="s">
        <v>200</v>
      </c>
      <c r="G25" s="27" t="s">
        <v>200</v>
      </c>
      <c r="H25" s="27">
        <v>151.13019125242201</v>
      </c>
      <c r="I25" s="27">
        <v>145.620904064775</v>
      </c>
      <c r="J25" s="27">
        <v>156.45280273847979</v>
      </c>
      <c r="K25" s="27">
        <v>96.5936196531908</v>
      </c>
      <c r="L25" s="27">
        <v>87.508099356086007</v>
      </c>
      <c r="M25" s="27">
        <v>83.933163906404971</v>
      </c>
      <c r="N25" s="27">
        <v>81.297971844772022</v>
      </c>
      <c r="O25" s="27">
        <v>79.31813052213721</v>
      </c>
      <c r="P25" s="27">
        <v>77.52636060643998</v>
      </c>
      <c r="Q25" s="27">
        <v>77.522212442511034</v>
      </c>
      <c r="R25" s="27">
        <v>77.518889977184017</v>
      </c>
      <c r="S25" s="27">
        <v>77.657928911788929</v>
      </c>
      <c r="T25" s="27">
        <v>77.78857382829824</v>
      </c>
      <c r="U25" s="27">
        <v>77.571216774188343</v>
      </c>
      <c r="V25" s="27">
        <v>77.158921680074428</v>
      </c>
      <c r="W25" s="27">
        <v>77.087997264668303</v>
      </c>
      <c r="X25" s="27">
        <v>77.017428742805379</v>
      </c>
      <c r="Y25" s="27">
        <v>76.868866348110544</v>
      </c>
      <c r="Z25" s="27">
        <v>76.729515292182953</v>
      </c>
    </row>
    <row r="26" spans="1:26">
      <c r="A26" s="27" t="s">
        <v>239</v>
      </c>
      <c r="B26" s="27" t="s">
        <v>240</v>
      </c>
      <c r="C26" s="27" t="s">
        <v>198</v>
      </c>
      <c r="D26" s="27" t="s">
        <v>1157</v>
      </c>
      <c r="E26" s="27" t="s">
        <v>71</v>
      </c>
      <c r="F26" s="27" t="s">
        <v>200</v>
      </c>
      <c r="G26" s="27">
        <v>156.46459999999999</v>
      </c>
      <c r="H26" s="27">
        <v>174.0377</v>
      </c>
      <c r="I26" s="27" t="s">
        <v>200</v>
      </c>
      <c r="J26" s="27">
        <v>198.35339999999999</v>
      </c>
      <c r="K26" s="27" t="s">
        <v>200</v>
      </c>
      <c r="L26" s="27">
        <v>191.2835</v>
      </c>
      <c r="M26" s="27" t="s">
        <v>200</v>
      </c>
      <c r="N26" s="27">
        <v>180.40039999999999</v>
      </c>
      <c r="O26" s="27" t="s">
        <v>200</v>
      </c>
      <c r="P26" s="27">
        <v>172.57900000000001</v>
      </c>
      <c r="Q26" s="27" t="s">
        <v>200</v>
      </c>
      <c r="R26" s="27">
        <v>166.5729</v>
      </c>
      <c r="S26" s="27" t="s">
        <v>200</v>
      </c>
      <c r="T26" s="27">
        <v>164.4812</v>
      </c>
      <c r="U26" s="27" t="s">
        <v>200</v>
      </c>
      <c r="V26" s="27">
        <v>157.8057</v>
      </c>
      <c r="W26" s="27" t="s">
        <v>200</v>
      </c>
      <c r="X26" s="27">
        <v>143.47190000000001</v>
      </c>
      <c r="Y26" s="27" t="s">
        <v>200</v>
      </c>
      <c r="Z26" s="27">
        <v>127.5311</v>
      </c>
    </row>
    <row r="27" spans="1:26">
      <c r="A27" s="27" t="s">
        <v>207</v>
      </c>
      <c r="B27" s="27" t="s">
        <v>241</v>
      </c>
      <c r="C27" s="27" t="s">
        <v>198</v>
      </c>
      <c r="D27" s="27" t="s">
        <v>1157</v>
      </c>
      <c r="E27" s="27" t="s">
        <v>71</v>
      </c>
      <c r="F27" s="27">
        <v>144.2629568959442</v>
      </c>
      <c r="G27" s="27">
        <v>146.31438781285701</v>
      </c>
      <c r="H27" s="27">
        <v>148.36183193616341</v>
      </c>
      <c r="I27" s="27">
        <v>151.93528599999999</v>
      </c>
      <c r="J27" s="27">
        <v>155.5091189</v>
      </c>
      <c r="K27" s="27">
        <v>133.28369955617671</v>
      </c>
      <c r="L27" s="27">
        <v>111.055458666288</v>
      </c>
      <c r="M27" s="27">
        <v>103.2523794994183</v>
      </c>
      <c r="N27" s="27">
        <v>95.651554197887833</v>
      </c>
      <c r="O27" s="27">
        <v>90.356167177407045</v>
      </c>
      <c r="P27" s="27">
        <v>85.341193072536527</v>
      </c>
      <c r="Q27" s="27">
        <v>82.217940829794003</v>
      </c>
      <c r="R27" s="27">
        <v>79.392707890385736</v>
      </c>
      <c r="S27" s="27" t="s">
        <v>200</v>
      </c>
      <c r="T27" s="27">
        <v>77.034936798731181</v>
      </c>
      <c r="U27" s="27" t="s">
        <v>200</v>
      </c>
      <c r="V27" s="27">
        <v>75.694645892158746</v>
      </c>
      <c r="W27" s="27" t="s">
        <v>200</v>
      </c>
      <c r="X27" s="27">
        <v>72.43354706685264</v>
      </c>
      <c r="Y27" s="27" t="s">
        <v>200</v>
      </c>
      <c r="Z27" s="27">
        <v>68.697079304996805</v>
      </c>
    </row>
    <row r="28" spans="1:26">
      <c r="A28" s="27" t="s">
        <v>242</v>
      </c>
      <c r="B28" s="27" t="s">
        <v>243</v>
      </c>
      <c r="C28" s="27" t="s">
        <v>198</v>
      </c>
      <c r="D28" s="27" t="s">
        <v>1157</v>
      </c>
      <c r="E28" s="27" t="s">
        <v>71</v>
      </c>
      <c r="F28" s="27" t="s">
        <v>200</v>
      </c>
      <c r="G28" s="27">
        <v>163.31877743799799</v>
      </c>
      <c r="H28" s="27">
        <v>157.68194364939899</v>
      </c>
      <c r="I28" s="27">
        <v>159.73890947747699</v>
      </c>
      <c r="J28" s="27">
        <v>163.07984161623</v>
      </c>
      <c r="K28" s="27">
        <v>96.539980807350105</v>
      </c>
      <c r="L28" s="27">
        <v>85.938408483054602</v>
      </c>
      <c r="M28" s="27">
        <v>79.904854728477702</v>
      </c>
      <c r="N28" s="27">
        <v>74.325891201070306</v>
      </c>
      <c r="O28" s="27">
        <v>69.900389511029999</v>
      </c>
      <c r="P28" s="27">
        <v>65.631912674369204</v>
      </c>
      <c r="Q28" s="27" t="s">
        <v>200</v>
      </c>
      <c r="R28" s="27">
        <v>61.714427237384399</v>
      </c>
      <c r="S28" s="27" t="s">
        <v>200</v>
      </c>
      <c r="T28" s="27">
        <v>57.483972103315402</v>
      </c>
      <c r="U28" s="27" t="s">
        <v>200</v>
      </c>
      <c r="V28" s="27">
        <v>55.558436647277013</v>
      </c>
      <c r="W28" s="27" t="s">
        <v>200</v>
      </c>
      <c r="X28" s="27">
        <v>54.641183313943607</v>
      </c>
      <c r="Y28" s="27" t="s">
        <v>200</v>
      </c>
      <c r="Z28" s="27">
        <v>54.007289980610302</v>
      </c>
    </row>
    <row r="29" spans="1:26">
      <c r="A29" s="27" t="s">
        <v>242</v>
      </c>
      <c r="B29" s="27" t="s">
        <v>245</v>
      </c>
      <c r="C29" s="27" t="s">
        <v>198</v>
      </c>
      <c r="D29" s="27" t="s">
        <v>1157</v>
      </c>
      <c r="E29" s="27" t="s">
        <v>71</v>
      </c>
      <c r="F29" s="27" t="s">
        <v>200</v>
      </c>
      <c r="G29" s="27">
        <v>163.31877743799799</v>
      </c>
      <c r="H29" s="27">
        <v>157.68194364939899</v>
      </c>
      <c r="I29" s="27">
        <v>159.73890947747699</v>
      </c>
      <c r="J29" s="27">
        <v>163.07984161623</v>
      </c>
      <c r="K29" s="27">
        <v>105.861770649124</v>
      </c>
      <c r="L29" s="27">
        <v>95.187297480562322</v>
      </c>
      <c r="M29" s="27">
        <v>88.67794884401809</v>
      </c>
      <c r="N29" s="27">
        <v>83.563046658303705</v>
      </c>
      <c r="O29" s="27">
        <v>78.529895773917701</v>
      </c>
      <c r="P29" s="27">
        <v>73.8742922361007</v>
      </c>
      <c r="Q29" s="27" t="s">
        <v>200</v>
      </c>
      <c r="R29" s="27">
        <v>69.547371069817501</v>
      </c>
      <c r="S29" s="27" t="s">
        <v>200</v>
      </c>
      <c r="T29" s="27">
        <v>65.107479386934997</v>
      </c>
      <c r="U29" s="27" t="s">
        <v>200</v>
      </c>
      <c r="V29" s="27">
        <v>60.593433181540803</v>
      </c>
      <c r="W29" s="27" t="s">
        <v>200</v>
      </c>
      <c r="X29" s="27">
        <v>57.735849293801401</v>
      </c>
      <c r="Y29" s="27" t="s">
        <v>200</v>
      </c>
      <c r="Z29" s="27">
        <v>54.007289980610302</v>
      </c>
    </row>
    <row r="30" spans="1:26">
      <c r="A30" s="27" t="s">
        <v>246</v>
      </c>
      <c r="B30" s="27" t="s">
        <v>243</v>
      </c>
      <c r="C30" s="27" t="s">
        <v>198</v>
      </c>
      <c r="D30" s="27" t="s">
        <v>1157</v>
      </c>
      <c r="E30" s="27" t="s">
        <v>71</v>
      </c>
      <c r="F30" s="27" t="s">
        <v>200</v>
      </c>
      <c r="G30" s="27">
        <v>167.67169999999999</v>
      </c>
      <c r="H30" s="27">
        <v>179.49959999999999</v>
      </c>
      <c r="I30" s="27">
        <v>189.74520000000001</v>
      </c>
      <c r="J30" s="27">
        <v>199.46700000000001</v>
      </c>
      <c r="K30" s="27">
        <v>164.7312</v>
      </c>
      <c r="L30" s="27">
        <v>144.03890000000001</v>
      </c>
      <c r="M30" s="27">
        <v>126.9918</v>
      </c>
      <c r="N30" s="27">
        <v>117.4147</v>
      </c>
      <c r="O30" s="27">
        <v>105.0046</v>
      </c>
      <c r="P30" s="27">
        <v>94.867099999999994</v>
      </c>
      <c r="Q30" s="27">
        <v>97.543700000000001</v>
      </c>
      <c r="R30" s="27">
        <v>101.19240000000001</v>
      </c>
      <c r="S30" s="27">
        <v>104.87860000000001</v>
      </c>
      <c r="T30" s="27">
        <v>108.5089</v>
      </c>
      <c r="U30" s="27">
        <v>110.8087</v>
      </c>
      <c r="V30" s="27">
        <v>110.0146</v>
      </c>
      <c r="W30" s="27">
        <v>110.23090000000001</v>
      </c>
      <c r="X30" s="27">
        <v>111.74299999999999</v>
      </c>
      <c r="Y30" s="27">
        <v>112.8081</v>
      </c>
      <c r="Z30" s="27">
        <v>109.62139999999999</v>
      </c>
    </row>
    <row r="31" spans="1:26">
      <c r="A31" s="27" t="s">
        <v>203</v>
      </c>
      <c r="B31" s="27" t="s">
        <v>249</v>
      </c>
      <c r="C31" s="27" t="s">
        <v>198</v>
      </c>
      <c r="D31" s="27" t="s">
        <v>1157</v>
      </c>
      <c r="E31" s="27" t="s">
        <v>71</v>
      </c>
      <c r="F31" s="27" t="s">
        <v>200</v>
      </c>
      <c r="G31" s="27">
        <v>133.1952</v>
      </c>
      <c r="H31" s="27">
        <v>136.95070000000001</v>
      </c>
      <c r="I31" s="27">
        <v>150.745</v>
      </c>
      <c r="J31" s="27">
        <v>163.66640000000001</v>
      </c>
      <c r="K31" s="27">
        <v>159.5196</v>
      </c>
      <c r="L31" s="27">
        <v>164.49529999999999</v>
      </c>
      <c r="M31" s="27">
        <v>154.91849999999999</v>
      </c>
      <c r="N31" s="27">
        <v>150.20150000000001</v>
      </c>
      <c r="O31" s="27">
        <v>148.1018</v>
      </c>
      <c r="P31" s="27">
        <v>145.14349999999999</v>
      </c>
      <c r="Q31" s="27">
        <v>146.04</v>
      </c>
      <c r="R31" s="27">
        <v>146.1583</v>
      </c>
      <c r="S31" s="27" t="s">
        <v>200</v>
      </c>
      <c r="T31" s="27">
        <v>143.92609999999999</v>
      </c>
      <c r="U31" s="27" t="s">
        <v>200</v>
      </c>
      <c r="V31" s="27">
        <v>137.14609999999999</v>
      </c>
      <c r="W31" s="27" t="s">
        <v>200</v>
      </c>
      <c r="X31" s="27">
        <v>136.0864</v>
      </c>
      <c r="Y31" s="27" t="s">
        <v>200</v>
      </c>
      <c r="Z31" s="27">
        <v>121.97709999999999</v>
      </c>
    </row>
    <row r="32" spans="1:26">
      <c r="A32" s="27" t="s">
        <v>196</v>
      </c>
      <c r="B32" s="27" t="s">
        <v>250</v>
      </c>
      <c r="C32" s="27" t="s">
        <v>198</v>
      </c>
      <c r="D32" s="27" t="s">
        <v>1157</v>
      </c>
      <c r="E32" s="27" t="s">
        <v>71</v>
      </c>
      <c r="F32" s="27" t="s">
        <v>200</v>
      </c>
      <c r="G32" s="27">
        <v>133.18729999999999</v>
      </c>
      <c r="H32" s="27">
        <v>137.66489999999999</v>
      </c>
      <c r="I32" s="27">
        <v>150.19929999999999</v>
      </c>
      <c r="J32" s="27">
        <v>162.49780000000001</v>
      </c>
      <c r="K32" s="27">
        <v>142.81469999999999</v>
      </c>
      <c r="L32" s="27">
        <v>144.6147</v>
      </c>
      <c r="M32" s="27">
        <v>146.30510000000001</v>
      </c>
      <c r="N32" s="27">
        <v>147.0188</v>
      </c>
      <c r="O32" s="27">
        <v>146.63980000000001</v>
      </c>
      <c r="P32" s="27">
        <v>144.47</v>
      </c>
      <c r="Q32" s="27">
        <v>145.1086</v>
      </c>
      <c r="R32" s="27">
        <v>145.98269999999999</v>
      </c>
      <c r="S32" s="27" t="s">
        <v>200</v>
      </c>
      <c r="T32" s="27">
        <v>143.38140000000001</v>
      </c>
      <c r="U32" s="27" t="s">
        <v>200</v>
      </c>
      <c r="V32" s="27">
        <v>136.285</v>
      </c>
      <c r="W32" s="27" t="s">
        <v>200</v>
      </c>
      <c r="X32" s="27">
        <v>126.3809</v>
      </c>
      <c r="Y32" s="27" t="s">
        <v>200</v>
      </c>
      <c r="Z32" s="27">
        <v>121.6829</v>
      </c>
    </row>
    <row r="33" spans="1:26">
      <c r="A33" s="27" t="s">
        <v>203</v>
      </c>
      <c r="B33" s="27" t="s">
        <v>251</v>
      </c>
      <c r="C33" s="27" t="s">
        <v>198</v>
      </c>
      <c r="D33" s="27" t="s">
        <v>1157</v>
      </c>
      <c r="E33" s="27" t="s">
        <v>71</v>
      </c>
      <c r="F33" s="27" t="s">
        <v>200</v>
      </c>
      <c r="G33" s="27">
        <v>133.1952</v>
      </c>
      <c r="H33" s="27">
        <v>136.95070000000001</v>
      </c>
      <c r="I33" s="27">
        <v>150.745</v>
      </c>
      <c r="J33" s="27">
        <v>163.66640000000001</v>
      </c>
      <c r="K33" s="27">
        <v>159.49719999999999</v>
      </c>
      <c r="L33" s="27">
        <v>164.71700000000001</v>
      </c>
      <c r="M33" s="27">
        <v>155.28290000000001</v>
      </c>
      <c r="N33" s="27">
        <v>151.33869999999999</v>
      </c>
      <c r="O33" s="27">
        <v>148.386</v>
      </c>
      <c r="P33" s="27">
        <v>145.31</v>
      </c>
      <c r="Q33" s="27">
        <v>146.09450000000001</v>
      </c>
      <c r="R33" s="27">
        <v>146.10720000000001</v>
      </c>
      <c r="S33" s="27" t="s">
        <v>200</v>
      </c>
      <c r="T33" s="27">
        <v>143.5608</v>
      </c>
      <c r="U33" s="27" t="s">
        <v>200</v>
      </c>
      <c r="V33" s="27">
        <v>136.58320000000001</v>
      </c>
      <c r="W33" s="27" t="s">
        <v>200</v>
      </c>
      <c r="X33" s="27">
        <v>126.71469999999999</v>
      </c>
      <c r="Y33" s="27" t="s">
        <v>200</v>
      </c>
      <c r="Z33" s="27">
        <v>121.8951</v>
      </c>
    </row>
    <row r="34" spans="1:26">
      <c r="A34" s="27" t="s">
        <v>255</v>
      </c>
      <c r="B34" s="27" t="s">
        <v>256</v>
      </c>
      <c r="C34" s="27" t="s">
        <v>198</v>
      </c>
      <c r="D34" s="27" t="s">
        <v>1157</v>
      </c>
      <c r="E34" s="27" t="s">
        <v>71</v>
      </c>
      <c r="F34" s="27" t="s">
        <v>200</v>
      </c>
      <c r="G34" s="27">
        <v>142.19194047619001</v>
      </c>
      <c r="H34" s="27">
        <v>147.51586904761899</v>
      </c>
      <c r="I34" s="27">
        <v>152.14502380952399</v>
      </c>
      <c r="J34" s="27">
        <v>157.19816666666699</v>
      </c>
      <c r="K34" s="27">
        <v>130.904011904762</v>
      </c>
      <c r="L34" s="27">
        <v>105.02186904761901</v>
      </c>
      <c r="M34" s="27">
        <v>91.110345238095206</v>
      </c>
      <c r="N34" s="27">
        <v>88.2238928571429</v>
      </c>
      <c r="O34" s="27">
        <v>86.638184523809514</v>
      </c>
      <c r="P34" s="27">
        <v>85.335208333333298</v>
      </c>
      <c r="Q34" s="27">
        <v>84.495797619047593</v>
      </c>
      <c r="R34" s="27">
        <v>83.443440476190503</v>
      </c>
      <c r="S34" s="27">
        <v>82.993041666666699</v>
      </c>
      <c r="T34" s="27">
        <v>82.622892857142901</v>
      </c>
      <c r="U34" s="27">
        <v>82.15297619047621</v>
      </c>
      <c r="V34" s="27">
        <v>81.805934523809498</v>
      </c>
      <c r="W34" s="27">
        <v>81.585851190476205</v>
      </c>
      <c r="X34" s="27">
        <v>81.759827380952402</v>
      </c>
      <c r="Y34" s="27">
        <v>81.903660714285706</v>
      </c>
      <c r="Z34" s="27">
        <v>82.27276785714291</v>
      </c>
    </row>
    <row r="35" spans="1:26">
      <c r="A35" s="27" t="s">
        <v>257</v>
      </c>
      <c r="B35" s="27" t="s">
        <v>197</v>
      </c>
      <c r="C35" s="27" t="s">
        <v>198</v>
      </c>
      <c r="D35" s="27" t="s">
        <v>1157</v>
      </c>
      <c r="E35" s="27" t="s">
        <v>71</v>
      </c>
      <c r="F35" s="27" t="s">
        <v>200</v>
      </c>
      <c r="G35" s="27" t="s">
        <v>200</v>
      </c>
      <c r="H35" s="27">
        <v>181.8365</v>
      </c>
      <c r="I35" s="27">
        <v>194.82929999999999</v>
      </c>
      <c r="J35" s="27">
        <v>209.4622</v>
      </c>
      <c r="K35" s="27">
        <v>156.4068</v>
      </c>
      <c r="L35" s="27">
        <v>140.49160000000001</v>
      </c>
      <c r="M35" s="27">
        <v>133.42099999999999</v>
      </c>
      <c r="N35" s="27">
        <v>136.4847</v>
      </c>
      <c r="O35" s="27">
        <v>137.57310000000001</v>
      </c>
      <c r="P35" s="27">
        <v>132.07550000000001</v>
      </c>
      <c r="Q35" s="27">
        <v>133.4444</v>
      </c>
      <c r="R35" s="27">
        <v>134.8596</v>
      </c>
      <c r="S35" s="27">
        <v>135.5042</v>
      </c>
      <c r="T35" s="27">
        <v>136.6489</v>
      </c>
      <c r="U35" s="27">
        <v>140.19990000000001</v>
      </c>
      <c r="V35" s="27">
        <v>144.2749</v>
      </c>
      <c r="W35" s="27">
        <v>147.8357</v>
      </c>
      <c r="X35" s="27">
        <v>150.7586</v>
      </c>
      <c r="Y35" s="27">
        <v>153.23410000000001</v>
      </c>
      <c r="Z35" s="27">
        <v>155.2852</v>
      </c>
    </row>
    <row r="36" spans="1:26">
      <c r="A36" s="27" t="s">
        <v>196</v>
      </c>
      <c r="B36" s="27" t="s">
        <v>258</v>
      </c>
      <c r="C36" s="27" t="s">
        <v>198</v>
      </c>
      <c r="D36" s="27" t="s">
        <v>1157</v>
      </c>
      <c r="E36" s="27" t="s">
        <v>71</v>
      </c>
      <c r="F36" s="27" t="s">
        <v>200</v>
      </c>
      <c r="G36" s="27">
        <v>133.18729999999999</v>
      </c>
      <c r="H36" s="27">
        <v>137.66900000000001</v>
      </c>
      <c r="I36" s="27">
        <v>150.24199999999999</v>
      </c>
      <c r="J36" s="27">
        <v>162.85480000000001</v>
      </c>
      <c r="K36" s="27">
        <v>142.62430000000001</v>
      </c>
      <c r="L36" s="27">
        <v>146.55080000000001</v>
      </c>
      <c r="M36" s="27">
        <v>148.95820000000001</v>
      </c>
      <c r="N36" s="27">
        <v>149.4479</v>
      </c>
      <c r="O36" s="27">
        <v>147.72739999999999</v>
      </c>
      <c r="P36" s="27">
        <v>144.8262</v>
      </c>
      <c r="Q36" s="27">
        <v>145.47540000000001</v>
      </c>
      <c r="R36" s="27">
        <v>145.70269999999999</v>
      </c>
      <c r="S36" s="27" t="s">
        <v>200</v>
      </c>
      <c r="T36" s="27">
        <v>143.73070000000001</v>
      </c>
      <c r="U36" s="27" t="s">
        <v>200</v>
      </c>
      <c r="V36" s="27">
        <v>136.41749999999999</v>
      </c>
      <c r="W36" s="27" t="s">
        <v>200</v>
      </c>
      <c r="X36" s="27">
        <v>126.4936</v>
      </c>
      <c r="Y36" s="27" t="s">
        <v>200</v>
      </c>
      <c r="Z36" s="27">
        <v>121.66800000000001</v>
      </c>
    </row>
    <row r="37" spans="1:26">
      <c r="A37" s="27" t="s">
        <v>233</v>
      </c>
      <c r="B37" s="27" t="s">
        <v>260</v>
      </c>
      <c r="C37" s="27" t="s">
        <v>198</v>
      </c>
      <c r="D37" s="27" t="s">
        <v>1157</v>
      </c>
      <c r="E37" s="27" t="s">
        <v>71</v>
      </c>
      <c r="F37" s="27" t="s">
        <v>200</v>
      </c>
      <c r="G37" s="27" t="s">
        <v>200</v>
      </c>
      <c r="H37" s="27">
        <v>151.13019125242201</v>
      </c>
      <c r="I37" s="27">
        <v>145.620904064775</v>
      </c>
      <c r="J37" s="27">
        <v>156.45280273847979</v>
      </c>
      <c r="K37" s="27">
        <v>98.86715305252396</v>
      </c>
      <c r="L37" s="27">
        <v>88.511240691959287</v>
      </c>
      <c r="M37" s="27">
        <v>83.933182695993551</v>
      </c>
      <c r="N37" s="27">
        <v>81.304454405514591</v>
      </c>
      <c r="O37" s="27">
        <v>79.433471926969332</v>
      </c>
      <c r="P37" s="27">
        <v>77.529657475401663</v>
      </c>
      <c r="Q37" s="27">
        <v>77.522482503430155</v>
      </c>
      <c r="R37" s="27">
        <v>77.518912401476342</v>
      </c>
      <c r="S37" s="27">
        <v>77.657894820898278</v>
      </c>
      <c r="T37" s="27">
        <v>77.788487892146833</v>
      </c>
      <c r="U37" s="27">
        <v>77.760830966552192</v>
      </c>
      <c r="V37" s="27">
        <v>77.378447063016878</v>
      </c>
      <c r="W37" s="27">
        <v>77.087999514139298</v>
      </c>
      <c r="X37" s="27">
        <v>77.017514444046427</v>
      </c>
      <c r="Y37" s="27">
        <v>76.868866348110544</v>
      </c>
      <c r="Z37" s="27">
        <v>76.729515292182953</v>
      </c>
    </row>
    <row r="38" spans="1:26">
      <c r="A38" s="27" t="s">
        <v>261</v>
      </c>
      <c r="B38" s="27" t="s">
        <v>262</v>
      </c>
      <c r="C38" s="27" t="s">
        <v>198</v>
      </c>
      <c r="D38" s="27" t="s">
        <v>1157</v>
      </c>
      <c r="E38" s="27" t="s">
        <v>71</v>
      </c>
      <c r="F38" s="27" t="s">
        <v>200</v>
      </c>
      <c r="G38" s="27">
        <v>158.25676801800731</v>
      </c>
      <c r="H38" s="27">
        <v>167.27738764882091</v>
      </c>
      <c r="I38" s="27">
        <v>166.81759679317469</v>
      </c>
      <c r="J38" s="27">
        <v>160.89725854992869</v>
      </c>
      <c r="K38" s="27">
        <v>157.97509461641309</v>
      </c>
      <c r="L38" s="27">
        <v>150.1630940139294</v>
      </c>
      <c r="M38" s="27">
        <v>144.50744171440601</v>
      </c>
      <c r="N38" s="27">
        <v>138.54451844096181</v>
      </c>
      <c r="O38" s="27">
        <v>132.74880257248881</v>
      </c>
      <c r="P38" s="27">
        <v>127.77412854135039</v>
      </c>
      <c r="Q38" s="27">
        <v>127.8505320101976</v>
      </c>
      <c r="R38" s="27">
        <v>130.86054340004921</v>
      </c>
      <c r="S38" s="27">
        <v>130.80608926713469</v>
      </c>
      <c r="T38" s="27">
        <v>131.55167134106159</v>
      </c>
      <c r="U38" s="27">
        <v>133.4676030129194</v>
      </c>
      <c r="V38" s="27">
        <v>132.23177498579031</v>
      </c>
      <c r="W38" s="27">
        <v>132.42898555099961</v>
      </c>
      <c r="X38" s="27">
        <v>130.45727527141571</v>
      </c>
      <c r="Y38" s="27">
        <v>130.09976316988471</v>
      </c>
      <c r="Z38" s="27">
        <v>128.2489418685436</v>
      </c>
    </row>
    <row r="39" spans="1:26">
      <c r="A39" s="27" t="s">
        <v>218</v>
      </c>
      <c r="B39" s="27" t="s">
        <v>263</v>
      </c>
      <c r="C39" s="27" t="s">
        <v>198</v>
      </c>
      <c r="D39" s="27" t="s">
        <v>1157</v>
      </c>
      <c r="E39" s="27" t="s">
        <v>71</v>
      </c>
      <c r="F39" s="27" t="s">
        <v>200</v>
      </c>
      <c r="G39" s="27">
        <v>157.50030000000001</v>
      </c>
      <c r="H39" s="27">
        <v>181.62029999999999</v>
      </c>
      <c r="I39" s="27">
        <v>201.6234</v>
      </c>
      <c r="J39" s="27">
        <v>204.56620000000001</v>
      </c>
      <c r="K39" s="27">
        <v>195.8921</v>
      </c>
      <c r="L39" s="27">
        <v>196.09469999999999</v>
      </c>
      <c r="M39" s="27">
        <v>191.5795</v>
      </c>
      <c r="N39" s="27">
        <v>187.8169</v>
      </c>
      <c r="O39" s="27">
        <v>185.61529999999999</v>
      </c>
      <c r="P39" s="27">
        <v>181.12180000000001</v>
      </c>
      <c r="Q39" s="27">
        <v>184.28960000000001</v>
      </c>
      <c r="R39" s="27">
        <v>185.39529999999999</v>
      </c>
      <c r="S39" s="27" t="s">
        <v>200</v>
      </c>
      <c r="T39" s="27">
        <v>184.51410000000001</v>
      </c>
      <c r="U39" s="27" t="s">
        <v>200</v>
      </c>
      <c r="V39" s="27">
        <v>180.97190000000001</v>
      </c>
      <c r="W39" s="27" t="s">
        <v>200</v>
      </c>
      <c r="X39" s="27">
        <v>172.7165</v>
      </c>
      <c r="Y39" s="27" t="s">
        <v>200</v>
      </c>
      <c r="Z39" s="27">
        <v>158.6421</v>
      </c>
    </row>
    <row r="40" spans="1:26">
      <c r="A40" s="27" t="s">
        <v>196</v>
      </c>
      <c r="B40" s="27" t="s">
        <v>264</v>
      </c>
      <c r="C40" s="27" t="s">
        <v>198</v>
      </c>
      <c r="D40" s="27" t="s">
        <v>1157</v>
      </c>
      <c r="E40" s="27" t="s">
        <v>71</v>
      </c>
      <c r="F40" s="27" t="s">
        <v>200</v>
      </c>
      <c r="G40" s="27">
        <v>133.2379</v>
      </c>
      <c r="H40" s="27">
        <v>137.75899999999999</v>
      </c>
      <c r="I40" s="27">
        <v>150.3365</v>
      </c>
      <c r="J40" s="27">
        <v>162.53120000000001</v>
      </c>
      <c r="K40" s="27">
        <v>129.01230000000001</v>
      </c>
      <c r="L40" s="27">
        <v>128.31</v>
      </c>
      <c r="M40" s="27">
        <v>127.4982</v>
      </c>
      <c r="N40" s="27">
        <v>124.3693</v>
      </c>
      <c r="O40" s="27">
        <v>119.61799999999999</v>
      </c>
      <c r="P40" s="27">
        <v>111.77630000000001</v>
      </c>
      <c r="Q40" s="27">
        <v>107.82810000000001</v>
      </c>
      <c r="R40" s="27">
        <v>101.6831</v>
      </c>
      <c r="S40" s="27" t="s">
        <v>200</v>
      </c>
      <c r="T40" s="27">
        <v>85.119100000000003</v>
      </c>
      <c r="U40" s="27" t="s">
        <v>200</v>
      </c>
      <c r="V40" s="27">
        <v>68.753900000000002</v>
      </c>
      <c r="W40" s="27" t="s">
        <v>200</v>
      </c>
      <c r="X40" s="27">
        <v>53.882199999999997</v>
      </c>
      <c r="Y40" s="27" t="s">
        <v>200</v>
      </c>
      <c r="Z40" s="27">
        <v>43.778100000000002</v>
      </c>
    </row>
    <row r="41" spans="1:26">
      <c r="A41" s="27" t="s">
        <v>218</v>
      </c>
      <c r="B41" s="27" t="s">
        <v>265</v>
      </c>
      <c r="C41" s="27" t="s">
        <v>198</v>
      </c>
      <c r="D41" s="27" t="s">
        <v>1157</v>
      </c>
      <c r="E41" s="27" t="s">
        <v>71</v>
      </c>
      <c r="F41" s="27" t="s">
        <v>200</v>
      </c>
      <c r="G41" s="27">
        <v>157.50030000000001</v>
      </c>
      <c r="H41" s="27">
        <v>181.62029999999999</v>
      </c>
      <c r="I41" s="27">
        <v>201.6234</v>
      </c>
      <c r="J41" s="27">
        <v>204.56620000000001</v>
      </c>
      <c r="K41" s="27">
        <v>195.8921</v>
      </c>
      <c r="L41" s="27">
        <v>195.94489999999999</v>
      </c>
      <c r="M41" s="27">
        <v>191.5795</v>
      </c>
      <c r="N41" s="27">
        <v>187.8169</v>
      </c>
      <c r="O41" s="27">
        <v>185.61529999999999</v>
      </c>
      <c r="P41" s="27">
        <v>181.12180000000001</v>
      </c>
      <c r="Q41" s="27">
        <v>184.28960000000001</v>
      </c>
      <c r="R41" s="27">
        <v>185.39529999999999</v>
      </c>
      <c r="S41" s="27" t="s">
        <v>200</v>
      </c>
      <c r="T41" s="27">
        <v>184.51410000000001</v>
      </c>
      <c r="U41" s="27" t="s">
        <v>200</v>
      </c>
      <c r="V41" s="27">
        <v>180.97190000000001</v>
      </c>
      <c r="W41" s="27" t="s">
        <v>200</v>
      </c>
      <c r="X41" s="27">
        <v>172.7165</v>
      </c>
      <c r="Y41" s="27" t="s">
        <v>200</v>
      </c>
      <c r="Z41" s="27">
        <v>158.6421</v>
      </c>
    </row>
    <row r="42" spans="1:26">
      <c r="A42" s="27" t="s">
        <v>226</v>
      </c>
      <c r="B42" s="27" t="s">
        <v>243</v>
      </c>
      <c r="C42" s="27" t="s">
        <v>198</v>
      </c>
      <c r="D42" s="27" t="s">
        <v>1157</v>
      </c>
      <c r="E42" s="27" t="s">
        <v>71</v>
      </c>
      <c r="F42" s="27" t="s">
        <v>200</v>
      </c>
      <c r="G42" s="27">
        <v>157.57140000000001</v>
      </c>
      <c r="H42" s="27">
        <v>181.50129999999999</v>
      </c>
      <c r="I42" s="27">
        <v>203.02109999999999</v>
      </c>
      <c r="J42" s="27">
        <v>210.34440000000001</v>
      </c>
      <c r="K42" s="27">
        <v>178.3373</v>
      </c>
      <c r="L42" s="27">
        <v>186.4537</v>
      </c>
      <c r="M42" s="27">
        <v>178.80199999999999</v>
      </c>
      <c r="N42" s="27">
        <v>183.92240000000001</v>
      </c>
      <c r="O42" s="27">
        <v>172.9281</v>
      </c>
      <c r="P42" s="27">
        <v>175.7653</v>
      </c>
      <c r="Q42" s="27">
        <v>168.8339</v>
      </c>
      <c r="R42" s="27">
        <v>169.49930000000001</v>
      </c>
      <c r="S42" s="27" t="s">
        <v>200</v>
      </c>
      <c r="T42" s="27">
        <v>166.4907</v>
      </c>
      <c r="U42" s="27" t="s">
        <v>200</v>
      </c>
      <c r="V42" s="27">
        <v>161.0737</v>
      </c>
      <c r="W42" s="27" t="s">
        <v>200</v>
      </c>
      <c r="X42" s="27">
        <v>150.0532</v>
      </c>
      <c r="Y42" s="27" t="s">
        <v>200</v>
      </c>
      <c r="Z42" s="27">
        <v>134.64699999999999</v>
      </c>
    </row>
    <row r="43" spans="1:26">
      <c r="A43" s="27" t="s">
        <v>231</v>
      </c>
      <c r="B43" s="27" t="s">
        <v>266</v>
      </c>
      <c r="C43" s="27" t="s">
        <v>198</v>
      </c>
      <c r="D43" s="27" t="s">
        <v>1157</v>
      </c>
      <c r="E43" s="27" t="s">
        <v>71</v>
      </c>
      <c r="F43" s="27" t="s">
        <v>200</v>
      </c>
      <c r="G43" s="27">
        <v>134.71468569745801</v>
      </c>
      <c r="H43" s="27">
        <v>137.62000964999001</v>
      </c>
      <c r="I43" s="27">
        <v>140.15055051914001</v>
      </c>
      <c r="J43" s="27">
        <v>151.113461939145</v>
      </c>
      <c r="K43" s="27">
        <v>148.978076636841</v>
      </c>
      <c r="L43" s="27">
        <v>151.804536828903</v>
      </c>
      <c r="M43" s="27">
        <v>156.51967369427999</v>
      </c>
      <c r="N43" s="27">
        <v>157.40632178554799</v>
      </c>
      <c r="O43" s="27">
        <v>165.055199053065</v>
      </c>
      <c r="P43" s="27">
        <v>171.374259806975</v>
      </c>
      <c r="Q43" s="27">
        <v>175.95252565944901</v>
      </c>
      <c r="R43" s="27">
        <v>180.774179653847</v>
      </c>
      <c r="S43" s="27">
        <v>185.46851829665499</v>
      </c>
      <c r="T43" s="27">
        <v>190.18383602975001</v>
      </c>
      <c r="U43" s="27">
        <v>194.87778248700201</v>
      </c>
      <c r="V43" s="27">
        <v>199.50787186343899</v>
      </c>
      <c r="W43" s="27">
        <v>203.56402151727701</v>
      </c>
      <c r="X43" s="27">
        <v>206.920081554814</v>
      </c>
      <c r="Y43" s="27">
        <v>209.61709960575601</v>
      </c>
      <c r="Z43" s="27">
        <v>211.60142197317199</v>
      </c>
    </row>
    <row r="44" spans="1:26">
      <c r="A44" s="27" t="s">
        <v>233</v>
      </c>
      <c r="B44" s="27" t="s">
        <v>267</v>
      </c>
      <c r="C44" s="27" t="s">
        <v>198</v>
      </c>
      <c r="D44" s="27" t="s">
        <v>1157</v>
      </c>
      <c r="E44" s="27" t="s">
        <v>71</v>
      </c>
      <c r="F44" s="27" t="s">
        <v>200</v>
      </c>
      <c r="G44" s="27" t="s">
        <v>200</v>
      </c>
      <c r="H44" s="27">
        <v>151.13019125242201</v>
      </c>
      <c r="I44" s="27">
        <v>145.620904064775</v>
      </c>
      <c r="J44" s="27">
        <v>156.45280273847979</v>
      </c>
      <c r="K44" s="27">
        <v>91.141914365138561</v>
      </c>
      <c r="L44" s="27">
        <v>86.575527856974475</v>
      </c>
      <c r="M44" s="27">
        <v>83.844962178749284</v>
      </c>
      <c r="N44" s="27">
        <v>81.151153065068172</v>
      </c>
      <c r="O44" s="27">
        <v>79.318759577874459</v>
      </c>
      <c r="P44" s="27">
        <v>77.2377834045284</v>
      </c>
      <c r="Q44" s="27">
        <v>77.065673162028162</v>
      </c>
      <c r="R44" s="27">
        <v>77.251276909945005</v>
      </c>
      <c r="S44" s="27">
        <v>77.616203694641285</v>
      </c>
      <c r="T44" s="27">
        <v>77.805629159740221</v>
      </c>
      <c r="U44" s="27">
        <v>77.889230543640792</v>
      </c>
      <c r="V44" s="27">
        <v>77.969923074112657</v>
      </c>
      <c r="W44" s="27">
        <v>77.973950855865979</v>
      </c>
      <c r="X44" s="27">
        <v>77.98024839379319</v>
      </c>
      <c r="Y44" s="27">
        <v>77.870273886170366</v>
      </c>
      <c r="Z44" s="27">
        <v>77.760157973677138</v>
      </c>
    </row>
    <row r="45" spans="1:26">
      <c r="A45" s="27" t="s">
        <v>196</v>
      </c>
      <c r="B45" s="27" t="s">
        <v>268</v>
      </c>
      <c r="C45" s="27" t="s">
        <v>198</v>
      </c>
      <c r="D45" s="27" t="s">
        <v>1157</v>
      </c>
      <c r="E45" s="27" t="s">
        <v>71</v>
      </c>
      <c r="F45" s="27" t="s">
        <v>200</v>
      </c>
      <c r="G45" s="27">
        <v>133.18729999999999</v>
      </c>
      <c r="H45" s="27">
        <v>137.68279999999999</v>
      </c>
      <c r="I45" s="27">
        <v>150.16210000000001</v>
      </c>
      <c r="J45" s="27">
        <v>162.42509999999999</v>
      </c>
      <c r="K45" s="27">
        <v>140.08529999999999</v>
      </c>
      <c r="L45" s="27">
        <v>143.12870000000001</v>
      </c>
      <c r="M45" s="27">
        <v>146.02930000000001</v>
      </c>
      <c r="N45" s="27">
        <v>146.8733</v>
      </c>
      <c r="O45" s="27">
        <v>146.59030000000001</v>
      </c>
      <c r="P45" s="27">
        <v>144.2612</v>
      </c>
      <c r="Q45" s="27">
        <v>144.83369999999999</v>
      </c>
      <c r="R45" s="27">
        <v>144.7792</v>
      </c>
      <c r="S45" s="27" t="s">
        <v>200</v>
      </c>
      <c r="T45" s="27">
        <v>142.5788</v>
      </c>
      <c r="U45" s="27" t="s">
        <v>200</v>
      </c>
      <c r="V45" s="27">
        <v>135.95830000000001</v>
      </c>
      <c r="W45" s="27" t="s">
        <v>200</v>
      </c>
      <c r="X45" s="27">
        <v>126.3449</v>
      </c>
      <c r="Y45" s="27" t="s">
        <v>200</v>
      </c>
      <c r="Z45" s="27">
        <v>121.69370000000001</v>
      </c>
    </row>
    <row r="46" spans="1:26">
      <c r="A46" s="27" t="s">
        <v>222</v>
      </c>
      <c r="B46" s="27" t="s">
        <v>269</v>
      </c>
      <c r="C46" s="27" t="s">
        <v>198</v>
      </c>
      <c r="D46" s="27" t="s">
        <v>1157</v>
      </c>
      <c r="E46" s="27" t="s">
        <v>71</v>
      </c>
      <c r="F46" s="27" t="s">
        <v>200</v>
      </c>
      <c r="G46" s="27">
        <v>134.54310000000001</v>
      </c>
      <c r="H46" s="27">
        <v>138.93639999999999</v>
      </c>
      <c r="I46" s="27">
        <v>151.40180000000001</v>
      </c>
      <c r="J46" s="27">
        <v>163.71899999999999</v>
      </c>
      <c r="K46" s="27">
        <v>144.2433</v>
      </c>
      <c r="L46" s="27">
        <v>146.20320000000001</v>
      </c>
      <c r="M46" s="27">
        <v>148.36279999999999</v>
      </c>
      <c r="N46" s="27">
        <v>148.8509</v>
      </c>
      <c r="O46" s="27">
        <v>147.94990000000001</v>
      </c>
      <c r="P46" s="27">
        <v>145.88999999999999</v>
      </c>
      <c r="Q46" s="27">
        <v>146.98689999999999</v>
      </c>
      <c r="R46" s="27">
        <v>146.81649999999999</v>
      </c>
      <c r="S46" s="27" t="s">
        <v>200</v>
      </c>
      <c r="T46" s="27">
        <v>144.2749</v>
      </c>
      <c r="U46" s="27" t="s">
        <v>200</v>
      </c>
      <c r="V46" s="27">
        <v>137.2244</v>
      </c>
      <c r="W46" s="27" t="s">
        <v>200</v>
      </c>
      <c r="X46" s="27">
        <v>127.12949999999999</v>
      </c>
      <c r="Y46" s="27" t="s">
        <v>200</v>
      </c>
      <c r="Z46" s="27">
        <v>122.37479999999999</v>
      </c>
    </row>
    <row r="47" spans="1:26">
      <c r="A47" s="27" t="s">
        <v>231</v>
      </c>
      <c r="B47" s="27" t="s">
        <v>270</v>
      </c>
      <c r="C47" s="27" t="s">
        <v>198</v>
      </c>
      <c r="D47" s="27" t="s">
        <v>1157</v>
      </c>
      <c r="E47" s="27" t="s">
        <v>71</v>
      </c>
      <c r="F47" s="27" t="s">
        <v>200</v>
      </c>
      <c r="G47" s="27">
        <v>134.71468569745801</v>
      </c>
      <c r="H47" s="27">
        <v>137.62000964999001</v>
      </c>
      <c r="I47" s="27">
        <v>140.15055051914001</v>
      </c>
      <c r="J47" s="27">
        <v>151.113461939145</v>
      </c>
      <c r="K47" s="27">
        <v>151.162862323925</v>
      </c>
      <c r="L47" s="27">
        <v>157.98029867058301</v>
      </c>
      <c r="M47" s="27">
        <v>161.84984721367599</v>
      </c>
      <c r="N47" s="27">
        <v>168.19922271691999</v>
      </c>
      <c r="O47" s="27">
        <v>172.24272538537801</v>
      </c>
      <c r="P47" s="27">
        <v>171.10617733140501</v>
      </c>
      <c r="Q47" s="27">
        <v>175.93647328348101</v>
      </c>
      <c r="R47" s="27">
        <v>180.71477416434499</v>
      </c>
      <c r="S47" s="27">
        <v>185.43148949824001</v>
      </c>
      <c r="T47" s="27">
        <v>190.22284712534599</v>
      </c>
      <c r="U47" s="27">
        <v>194.842389558788</v>
      </c>
      <c r="V47" s="27">
        <v>199.43086323396</v>
      </c>
      <c r="W47" s="27">
        <v>203.50397066487201</v>
      </c>
      <c r="X47" s="27">
        <v>206.937817601452</v>
      </c>
      <c r="Y47" s="27">
        <v>209.548587819999</v>
      </c>
      <c r="Z47" s="27">
        <v>211.254975286129</v>
      </c>
    </row>
    <row r="48" spans="1:26">
      <c r="A48" s="27" t="s">
        <v>231</v>
      </c>
      <c r="B48" s="27" t="s">
        <v>271</v>
      </c>
      <c r="C48" s="27" t="s">
        <v>198</v>
      </c>
      <c r="D48" s="27" t="s">
        <v>1157</v>
      </c>
      <c r="E48" s="27" t="s">
        <v>71</v>
      </c>
      <c r="F48" s="27" t="s">
        <v>200</v>
      </c>
      <c r="G48" s="27">
        <v>134.71468569745801</v>
      </c>
      <c r="H48" s="27">
        <v>137.62000964999001</v>
      </c>
      <c r="I48" s="27">
        <v>140.15055051914001</v>
      </c>
      <c r="J48" s="27">
        <v>151.113461939145</v>
      </c>
      <c r="K48" s="27">
        <v>142.86464500569099</v>
      </c>
      <c r="L48" s="27">
        <v>144.734845339505</v>
      </c>
      <c r="M48" s="27">
        <v>156.320576728676</v>
      </c>
      <c r="N48" s="27">
        <v>164.519805907885</v>
      </c>
      <c r="O48" s="27">
        <v>173.00686800687299</v>
      </c>
      <c r="P48" s="27">
        <v>180.83594780625799</v>
      </c>
      <c r="Q48" s="27">
        <v>186.783723979532</v>
      </c>
      <c r="R48" s="27">
        <v>191.961996465417</v>
      </c>
      <c r="S48" s="27">
        <v>197.27138020843199</v>
      </c>
      <c r="T48" s="27">
        <v>202.81363152059001</v>
      </c>
      <c r="U48" s="27">
        <v>207.90022077172799</v>
      </c>
      <c r="V48" s="27">
        <v>212.243196027669</v>
      </c>
      <c r="W48" s="27">
        <v>216.214007678744</v>
      </c>
      <c r="X48" s="27">
        <v>219.464860361798</v>
      </c>
      <c r="Y48" s="27">
        <v>221.87872985684399</v>
      </c>
      <c r="Z48" s="27">
        <v>223.605806611888</v>
      </c>
    </row>
    <row r="49" spans="1:26">
      <c r="A49" s="27" t="s">
        <v>196</v>
      </c>
      <c r="B49" s="27" t="s">
        <v>273</v>
      </c>
      <c r="C49" s="27" t="s">
        <v>198</v>
      </c>
      <c r="D49" s="27" t="s">
        <v>1157</v>
      </c>
      <c r="E49" s="27" t="s">
        <v>71</v>
      </c>
      <c r="F49" s="27" t="s">
        <v>200</v>
      </c>
      <c r="G49" s="27" t="s">
        <v>200</v>
      </c>
      <c r="H49" s="27">
        <v>137.13640000000001</v>
      </c>
      <c r="I49" s="27">
        <v>150.137</v>
      </c>
      <c r="J49" s="27">
        <v>152.93430000000001</v>
      </c>
      <c r="K49" s="27">
        <v>147.47890000000001</v>
      </c>
      <c r="L49" s="27">
        <v>146.23070000000001</v>
      </c>
      <c r="M49" s="27">
        <v>147.25579999999999</v>
      </c>
      <c r="N49" s="27">
        <v>147.1755</v>
      </c>
      <c r="O49" s="27">
        <v>146.655</v>
      </c>
      <c r="P49" s="27">
        <v>144.57859999999999</v>
      </c>
      <c r="Q49" s="27">
        <v>145.9323</v>
      </c>
      <c r="R49" s="27">
        <v>146.1919</v>
      </c>
      <c r="S49" s="27" t="s">
        <v>200</v>
      </c>
      <c r="T49" s="27">
        <v>143.4991</v>
      </c>
      <c r="U49" s="27" t="s">
        <v>200</v>
      </c>
      <c r="V49" s="27">
        <v>136.7295</v>
      </c>
      <c r="W49" s="27" t="s">
        <v>200</v>
      </c>
      <c r="X49" s="27">
        <v>126.79040000000001</v>
      </c>
      <c r="Y49" s="27" t="s">
        <v>200</v>
      </c>
      <c r="Z49" s="27">
        <v>121.9736</v>
      </c>
    </row>
    <row r="50" spans="1:26">
      <c r="A50" s="27" t="s">
        <v>226</v>
      </c>
      <c r="B50" s="27" t="s">
        <v>274</v>
      </c>
      <c r="C50" s="27" t="s">
        <v>198</v>
      </c>
      <c r="D50" s="27" t="s">
        <v>1157</v>
      </c>
      <c r="E50" s="27" t="s">
        <v>71</v>
      </c>
      <c r="F50" s="27" t="s">
        <v>200</v>
      </c>
      <c r="G50" s="27">
        <v>157.55619999999999</v>
      </c>
      <c r="H50" s="27">
        <v>181.47630000000001</v>
      </c>
      <c r="I50" s="27">
        <v>203.04429999999999</v>
      </c>
      <c r="J50" s="27">
        <v>183.4675</v>
      </c>
      <c r="K50" s="27">
        <v>169.93809999999999</v>
      </c>
      <c r="L50" s="27">
        <v>160.44049999999999</v>
      </c>
      <c r="M50" s="27">
        <v>141.995</v>
      </c>
      <c r="N50" s="27">
        <v>137.93819999999999</v>
      </c>
      <c r="O50" s="27">
        <v>124.0016</v>
      </c>
      <c r="P50" s="27">
        <v>121.7398</v>
      </c>
      <c r="Q50" s="27">
        <v>115.4436</v>
      </c>
      <c r="R50" s="27">
        <v>114.265</v>
      </c>
      <c r="S50" s="27" t="s">
        <v>200</v>
      </c>
      <c r="T50" s="27">
        <v>108.19589999999999</v>
      </c>
      <c r="U50" s="27" t="s">
        <v>200</v>
      </c>
      <c r="V50" s="27">
        <v>99.613900000000001</v>
      </c>
      <c r="W50" s="27" t="s">
        <v>200</v>
      </c>
      <c r="X50" s="27">
        <v>90.3416</v>
      </c>
      <c r="Y50" s="27" t="s">
        <v>200</v>
      </c>
      <c r="Z50" s="27">
        <v>80.295100000000005</v>
      </c>
    </row>
    <row r="51" spans="1:26">
      <c r="A51" s="27" t="s">
        <v>196</v>
      </c>
      <c r="B51" s="27" t="s">
        <v>275</v>
      </c>
      <c r="C51" s="27" t="s">
        <v>198</v>
      </c>
      <c r="D51" s="27" t="s">
        <v>1157</v>
      </c>
      <c r="E51" s="27" t="s">
        <v>71</v>
      </c>
      <c r="F51" s="27" t="s">
        <v>200</v>
      </c>
      <c r="G51" s="27">
        <v>133.18729999999999</v>
      </c>
      <c r="H51" s="27">
        <v>137.5926</v>
      </c>
      <c r="I51" s="27">
        <v>150.20840000000001</v>
      </c>
      <c r="J51" s="27">
        <v>162.43719999999999</v>
      </c>
      <c r="K51" s="27">
        <v>142.5728</v>
      </c>
      <c r="L51" s="27">
        <v>144.50630000000001</v>
      </c>
      <c r="M51" s="27">
        <v>146.69049999999999</v>
      </c>
      <c r="N51" s="27">
        <v>147.31370000000001</v>
      </c>
      <c r="O51" s="27">
        <v>146.83260000000001</v>
      </c>
      <c r="P51" s="27">
        <v>144.57429999999999</v>
      </c>
      <c r="Q51" s="27">
        <v>145.8982</v>
      </c>
      <c r="R51" s="27">
        <v>144.8999</v>
      </c>
      <c r="S51" s="27" t="s">
        <v>200</v>
      </c>
      <c r="T51" s="27">
        <v>143.4836</v>
      </c>
      <c r="U51" s="27" t="s">
        <v>200</v>
      </c>
      <c r="V51" s="27">
        <v>136.35650000000001</v>
      </c>
      <c r="W51" s="27" t="s">
        <v>200</v>
      </c>
      <c r="X51" s="27">
        <v>126.44</v>
      </c>
      <c r="Y51" s="27" t="s">
        <v>200</v>
      </c>
      <c r="Z51" s="27">
        <v>121.6367</v>
      </c>
    </row>
    <row r="52" spans="1:26">
      <c r="A52" s="27" t="s">
        <v>261</v>
      </c>
      <c r="B52" s="27" t="s">
        <v>276</v>
      </c>
      <c r="C52" s="27" t="s">
        <v>198</v>
      </c>
      <c r="D52" s="27" t="s">
        <v>1157</v>
      </c>
      <c r="E52" s="27" t="s">
        <v>71</v>
      </c>
      <c r="F52" s="27" t="s">
        <v>200</v>
      </c>
      <c r="G52" s="27">
        <v>158.25504663586619</v>
      </c>
      <c r="H52" s="27">
        <v>167.23851552605629</v>
      </c>
      <c r="I52" s="27">
        <v>166.8160246312618</v>
      </c>
      <c r="J52" s="27">
        <v>160.9034406542778</v>
      </c>
      <c r="K52" s="27">
        <v>149.1764037758112</v>
      </c>
      <c r="L52" s="27">
        <v>131.668063133955</v>
      </c>
      <c r="M52" s="27">
        <v>119.30395945906641</v>
      </c>
      <c r="N52" s="27">
        <v>110.5635070800781</v>
      </c>
      <c r="O52" s="27">
        <v>101.04717665910719</v>
      </c>
      <c r="P52" s="27">
        <v>91.710627213120461</v>
      </c>
      <c r="Q52" s="27">
        <v>89.22480483353138</v>
      </c>
      <c r="R52" s="27">
        <v>92.969053581357002</v>
      </c>
      <c r="S52" s="27">
        <v>92.690361902117715</v>
      </c>
      <c r="T52" s="27">
        <v>92.342137366533279</v>
      </c>
      <c r="U52" s="27">
        <v>92.039906933903694</v>
      </c>
      <c r="V52" s="27">
        <v>91.124867081642165</v>
      </c>
      <c r="W52" s="27">
        <v>90.114402748644366</v>
      </c>
      <c r="X52" s="27">
        <v>89.524949096143246</v>
      </c>
      <c r="Y52" s="27">
        <v>87.754900746047497</v>
      </c>
      <c r="Z52" s="27">
        <v>86.490681283175945</v>
      </c>
    </row>
    <row r="53" spans="1:26">
      <c r="A53" s="27" t="s">
        <v>218</v>
      </c>
      <c r="B53" s="27" t="s">
        <v>256</v>
      </c>
      <c r="C53" s="27" t="s">
        <v>198</v>
      </c>
      <c r="D53" s="27" t="s">
        <v>1157</v>
      </c>
      <c r="E53" s="27" t="s">
        <v>71</v>
      </c>
      <c r="F53" s="27" t="s">
        <v>200</v>
      </c>
      <c r="G53" s="27">
        <v>157.50030000000001</v>
      </c>
      <c r="H53" s="27">
        <v>181.62029999999999</v>
      </c>
      <c r="I53" s="27">
        <v>201.6234</v>
      </c>
      <c r="J53" s="27">
        <v>211.0514</v>
      </c>
      <c r="K53" s="27">
        <v>195.8673</v>
      </c>
      <c r="L53" s="27">
        <v>195.94489999999999</v>
      </c>
      <c r="M53" s="27">
        <v>191.5795</v>
      </c>
      <c r="N53" s="27">
        <v>187.6234</v>
      </c>
      <c r="O53" s="27">
        <v>185.61529999999999</v>
      </c>
      <c r="P53" s="27">
        <v>181.12180000000001</v>
      </c>
      <c r="Q53" s="27">
        <v>184.28960000000001</v>
      </c>
      <c r="R53" s="27">
        <v>185.39529999999999</v>
      </c>
      <c r="S53" s="27" t="s">
        <v>200</v>
      </c>
      <c r="T53" s="27">
        <v>184.51410000000001</v>
      </c>
      <c r="U53" s="27" t="s">
        <v>200</v>
      </c>
      <c r="V53" s="27">
        <v>180.97190000000001</v>
      </c>
      <c r="W53" s="27" t="s">
        <v>200</v>
      </c>
      <c r="X53" s="27">
        <v>172.7165</v>
      </c>
      <c r="Y53" s="27" t="s">
        <v>200</v>
      </c>
      <c r="Z53" s="27">
        <v>158.6421</v>
      </c>
    </row>
    <row r="54" spans="1:26">
      <c r="A54" s="27" t="s">
        <v>203</v>
      </c>
      <c r="B54" s="27" t="s">
        <v>277</v>
      </c>
      <c r="C54" s="27" t="s">
        <v>198</v>
      </c>
      <c r="D54" s="27" t="s">
        <v>1157</v>
      </c>
      <c r="E54" s="27" t="s">
        <v>71</v>
      </c>
      <c r="F54" s="27" t="s">
        <v>200</v>
      </c>
      <c r="G54" s="27">
        <v>133.1952</v>
      </c>
      <c r="H54" s="27">
        <v>136.95070000000001</v>
      </c>
      <c r="I54" s="27">
        <v>150.745</v>
      </c>
      <c r="J54" s="27">
        <v>163.66640000000001</v>
      </c>
      <c r="K54" s="27">
        <v>159.6671</v>
      </c>
      <c r="L54" s="27">
        <v>165.71690000000001</v>
      </c>
      <c r="M54" s="27">
        <v>156.17089999999999</v>
      </c>
      <c r="N54" s="27">
        <v>152.66489999999999</v>
      </c>
      <c r="O54" s="27">
        <v>148.40020000000001</v>
      </c>
      <c r="P54" s="27">
        <v>145.31</v>
      </c>
      <c r="Q54" s="27">
        <v>146.09450000000001</v>
      </c>
      <c r="R54" s="27">
        <v>146.10720000000001</v>
      </c>
      <c r="S54" s="27" t="s">
        <v>200</v>
      </c>
      <c r="T54" s="27">
        <v>143.5608</v>
      </c>
      <c r="U54" s="27" t="s">
        <v>200</v>
      </c>
      <c r="V54" s="27">
        <v>136.58320000000001</v>
      </c>
      <c r="W54" s="27" t="s">
        <v>200</v>
      </c>
      <c r="X54" s="27">
        <v>126.71469999999999</v>
      </c>
      <c r="Y54" s="27" t="s">
        <v>200</v>
      </c>
      <c r="Z54" s="27">
        <v>121.8951</v>
      </c>
    </row>
    <row r="55" spans="1:26">
      <c r="A55" s="27" t="s">
        <v>203</v>
      </c>
      <c r="B55" s="27" t="s">
        <v>278</v>
      </c>
      <c r="C55" s="27" t="s">
        <v>198</v>
      </c>
      <c r="D55" s="27" t="s">
        <v>1157</v>
      </c>
      <c r="E55" s="27" t="s">
        <v>71</v>
      </c>
      <c r="F55" s="27" t="s">
        <v>200</v>
      </c>
      <c r="G55" s="27">
        <v>133.17920000000001</v>
      </c>
      <c r="H55" s="27">
        <v>137.13640000000001</v>
      </c>
      <c r="I55" s="27">
        <v>150.62530000000001</v>
      </c>
      <c r="J55" s="27">
        <v>163.30590000000001</v>
      </c>
      <c r="K55" s="27">
        <v>129.07390000000001</v>
      </c>
      <c r="L55" s="27">
        <v>128.80420000000001</v>
      </c>
      <c r="M55" s="27">
        <v>130.56290000000001</v>
      </c>
      <c r="N55" s="27">
        <v>130.0127</v>
      </c>
      <c r="O55" s="27">
        <v>126.42610000000001</v>
      </c>
      <c r="P55" s="27">
        <v>120.0675</v>
      </c>
      <c r="Q55" s="27">
        <v>119.072</v>
      </c>
      <c r="R55" s="27">
        <v>116.9281</v>
      </c>
      <c r="S55" s="27" t="s">
        <v>200</v>
      </c>
      <c r="T55" s="27">
        <v>109.2373</v>
      </c>
      <c r="U55" s="27" t="s">
        <v>200</v>
      </c>
      <c r="V55" s="27">
        <v>98.281899999999993</v>
      </c>
      <c r="W55" s="27" t="s">
        <v>200</v>
      </c>
      <c r="X55" s="27">
        <v>85.712800000000001</v>
      </c>
      <c r="Y55" s="27" t="s">
        <v>200</v>
      </c>
      <c r="Z55" s="27">
        <v>77.1661</v>
      </c>
    </row>
    <row r="56" spans="1:26">
      <c r="A56" s="27" t="s">
        <v>196</v>
      </c>
      <c r="B56" s="27" t="s">
        <v>279</v>
      </c>
      <c r="C56" s="27" t="s">
        <v>198</v>
      </c>
      <c r="D56" s="27" t="s">
        <v>1157</v>
      </c>
      <c r="E56" s="27" t="s">
        <v>71</v>
      </c>
      <c r="F56" s="27" t="s">
        <v>200</v>
      </c>
      <c r="G56" s="27">
        <v>133.18729999999999</v>
      </c>
      <c r="H56" s="27">
        <v>137.5926</v>
      </c>
      <c r="I56" s="27">
        <v>150.20840000000001</v>
      </c>
      <c r="J56" s="27">
        <v>162.43719999999999</v>
      </c>
      <c r="K56" s="27">
        <v>128.5943</v>
      </c>
      <c r="L56" s="27">
        <v>129.0558</v>
      </c>
      <c r="M56" s="27">
        <v>127.41160000000001</v>
      </c>
      <c r="N56" s="27">
        <v>124.20440000000001</v>
      </c>
      <c r="O56" s="27">
        <v>118.89239999999999</v>
      </c>
      <c r="P56" s="27">
        <v>111.083</v>
      </c>
      <c r="Q56" s="27">
        <v>107.08369999999999</v>
      </c>
      <c r="R56" s="27">
        <v>101.08320000000001</v>
      </c>
      <c r="S56" s="27" t="s">
        <v>200</v>
      </c>
      <c r="T56" s="27">
        <v>85.216899999999995</v>
      </c>
      <c r="U56" s="27" t="s">
        <v>200</v>
      </c>
      <c r="V56" s="27">
        <v>68.831400000000002</v>
      </c>
      <c r="W56" s="27" t="s">
        <v>200</v>
      </c>
      <c r="X56" s="27">
        <v>54.108899999999998</v>
      </c>
      <c r="Y56" s="27" t="s">
        <v>200</v>
      </c>
      <c r="Z56" s="27">
        <v>43.9099</v>
      </c>
    </row>
    <row r="57" spans="1:26">
      <c r="A57" s="27" t="s">
        <v>257</v>
      </c>
      <c r="B57" s="27" t="s">
        <v>280</v>
      </c>
      <c r="C57" s="27" t="s">
        <v>198</v>
      </c>
      <c r="D57" s="27" t="s">
        <v>1157</v>
      </c>
      <c r="E57" s="27" t="s">
        <v>71</v>
      </c>
      <c r="F57" s="27" t="s">
        <v>200</v>
      </c>
      <c r="G57" s="27" t="s">
        <v>200</v>
      </c>
      <c r="H57" s="27">
        <v>181.8365</v>
      </c>
      <c r="I57" s="27">
        <v>194.82929999999999</v>
      </c>
      <c r="J57" s="27">
        <v>209.4622</v>
      </c>
      <c r="K57" s="27">
        <v>156.4068</v>
      </c>
      <c r="L57" s="27">
        <v>140.49160000000001</v>
      </c>
      <c r="M57" s="27">
        <v>132.05789999999999</v>
      </c>
      <c r="N57" s="27">
        <v>130.3098</v>
      </c>
      <c r="O57" s="27">
        <v>130.73339999999999</v>
      </c>
      <c r="P57" s="27">
        <v>127.694</v>
      </c>
      <c r="Q57" s="27">
        <v>134.43559999999999</v>
      </c>
      <c r="R57" s="27">
        <v>140.22909999999999</v>
      </c>
      <c r="S57" s="27">
        <v>145.21559999999999</v>
      </c>
      <c r="T57" s="27">
        <v>149.77969999999999</v>
      </c>
      <c r="U57" s="27">
        <v>153.8526</v>
      </c>
      <c r="V57" s="27">
        <v>157.44200000000001</v>
      </c>
      <c r="W57" s="27">
        <v>160.49279999999999</v>
      </c>
      <c r="X57" s="27">
        <v>163.07919999999999</v>
      </c>
      <c r="Y57" s="27">
        <v>165.19739999999999</v>
      </c>
      <c r="Z57" s="27">
        <v>166.89269999999999</v>
      </c>
    </row>
    <row r="58" spans="1:26">
      <c r="A58" s="27" t="s">
        <v>211</v>
      </c>
      <c r="B58" s="27" t="s">
        <v>240</v>
      </c>
      <c r="C58" s="27" t="s">
        <v>198</v>
      </c>
      <c r="D58" s="27" t="s">
        <v>1157</v>
      </c>
      <c r="E58" s="27" t="s">
        <v>71</v>
      </c>
      <c r="F58" s="27" t="s">
        <v>200</v>
      </c>
      <c r="G58" s="27">
        <v>146.89023945546299</v>
      </c>
      <c r="H58" s="27">
        <v>149.548311285545</v>
      </c>
      <c r="I58" s="27" t="s">
        <v>200</v>
      </c>
      <c r="J58" s="27">
        <v>151.937831150736</v>
      </c>
      <c r="K58" s="27" t="s">
        <v>200</v>
      </c>
      <c r="L58" s="27">
        <v>151.23334535215599</v>
      </c>
      <c r="M58" s="27" t="s">
        <v>200</v>
      </c>
      <c r="N58" s="27">
        <v>132.04221782027599</v>
      </c>
      <c r="O58" s="27" t="s">
        <v>200</v>
      </c>
      <c r="P58" s="27">
        <v>115.834400028557</v>
      </c>
      <c r="Q58" s="27" t="s">
        <v>200</v>
      </c>
      <c r="R58" s="27">
        <v>102.10100515625599</v>
      </c>
      <c r="S58" s="27" t="s">
        <v>200</v>
      </c>
      <c r="T58" s="27">
        <v>92.033231537813194</v>
      </c>
      <c r="U58" s="27" t="s">
        <v>200</v>
      </c>
      <c r="V58" s="27">
        <v>83.271741317765702</v>
      </c>
      <c r="W58" s="27" t="s">
        <v>200</v>
      </c>
      <c r="X58" s="27">
        <v>75.616620429875596</v>
      </c>
      <c r="Y58" s="27" t="s">
        <v>200</v>
      </c>
      <c r="Z58" s="27">
        <v>68.898560181692105</v>
      </c>
    </row>
    <row r="59" spans="1:26">
      <c r="A59" s="27" t="s">
        <v>203</v>
      </c>
      <c r="B59" s="27" t="s">
        <v>281</v>
      </c>
      <c r="C59" s="27" t="s">
        <v>198</v>
      </c>
      <c r="D59" s="27" t="s">
        <v>1157</v>
      </c>
      <c r="E59" s="27" t="s">
        <v>71</v>
      </c>
      <c r="F59" s="27" t="s">
        <v>200</v>
      </c>
      <c r="G59" s="27">
        <v>133.17920000000001</v>
      </c>
      <c r="H59" s="27">
        <v>137.13640000000001</v>
      </c>
      <c r="I59" s="27">
        <v>150.62530000000001</v>
      </c>
      <c r="J59" s="27">
        <v>163.30590000000001</v>
      </c>
      <c r="K59" s="27">
        <v>145.2124</v>
      </c>
      <c r="L59" s="27">
        <v>144.70359999999999</v>
      </c>
      <c r="M59" s="27">
        <v>146.9135</v>
      </c>
      <c r="N59" s="27">
        <v>147.1755</v>
      </c>
      <c r="O59" s="27">
        <v>146.655</v>
      </c>
      <c r="P59" s="27">
        <v>144.57859999999999</v>
      </c>
      <c r="Q59" s="27">
        <v>145.9323</v>
      </c>
      <c r="R59" s="27">
        <v>146.1919</v>
      </c>
      <c r="S59" s="27" t="s">
        <v>200</v>
      </c>
      <c r="T59" s="27">
        <v>143.4991</v>
      </c>
      <c r="U59" s="27" t="s">
        <v>200</v>
      </c>
      <c r="V59" s="27">
        <v>136.7295</v>
      </c>
      <c r="W59" s="27" t="s">
        <v>200</v>
      </c>
      <c r="X59" s="27">
        <v>126.79040000000001</v>
      </c>
      <c r="Y59" s="27" t="s">
        <v>200</v>
      </c>
      <c r="Z59" s="27">
        <v>121.9736</v>
      </c>
    </row>
    <row r="60" spans="1:26">
      <c r="A60" s="27" t="s">
        <v>282</v>
      </c>
      <c r="B60" s="27" t="s">
        <v>283</v>
      </c>
      <c r="C60" s="27" t="s">
        <v>198</v>
      </c>
      <c r="D60" s="27" t="s">
        <v>1157</v>
      </c>
      <c r="E60" s="27" t="s">
        <v>71</v>
      </c>
      <c r="F60" s="27" t="s">
        <v>200</v>
      </c>
      <c r="G60" s="27" t="s">
        <v>200</v>
      </c>
      <c r="H60" s="27">
        <v>148.36183193616341</v>
      </c>
      <c r="I60" s="27">
        <v>151.9353194</v>
      </c>
      <c r="J60" s="27">
        <v>155.5091189</v>
      </c>
      <c r="K60" s="27" t="s">
        <v>200</v>
      </c>
      <c r="L60" s="27">
        <v>125.5476858451069</v>
      </c>
      <c r="M60" s="27" t="s">
        <v>200</v>
      </c>
      <c r="N60" s="27">
        <v>112.6513384214209</v>
      </c>
      <c r="O60" s="27" t="s">
        <v>200</v>
      </c>
      <c r="P60" s="27">
        <v>104.9027820637498</v>
      </c>
      <c r="Q60" s="27" t="s">
        <v>200</v>
      </c>
      <c r="R60" s="27">
        <v>101.07683711109691</v>
      </c>
      <c r="S60" s="27" t="s">
        <v>200</v>
      </c>
      <c r="T60" s="27">
        <v>96.206034888554115</v>
      </c>
      <c r="U60" s="27" t="s">
        <v>200</v>
      </c>
      <c r="V60" s="27">
        <v>91.00280648213004</v>
      </c>
      <c r="W60" s="27" t="s">
        <v>200</v>
      </c>
      <c r="X60" s="27">
        <v>90.229581466550059</v>
      </c>
      <c r="Y60" s="27" t="s">
        <v>200</v>
      </c>
      <c r="Z60" s="27">
        <v>88.033944679070871</v>
      </c>
    </row>
    <row r="61" spans="1:26">
      <c r="A61" s="27" t="s">
        <v>203</v>
      </c>
      <c r="B61" s="27" t="s">
        <v>284</v>
      </c>
      <c r="C61" s="27" t="s">
        <v>198</v>
      </c>
      <c r="D61" s="27" t="s">
        <v>1157</v>
      </c>
      <c r="E61" s="27" t="s">
        <v>71</v>
      </c>
      <c r="F61" s="27" t="s">
        <v>200</v>
      </c>
      <c r="G61" s="27">
        <v>133.17920000000001</v>
      </c>
      <c r="H61" s="27">
        <v>137.13640000000001</v>
      </c>
      <c r="I61" s="27">
        <v>150.62530000000001</v>
      </c>
      <c r="J61" s="27">
        <v>163.30590000000001</v>
      </c>
      <c r="K61" s="27">
        <v>131.8948</v>
      </c>
      <c r="L61" s="27">
        <v>128.92449999999999</v>
      </c>
      <c r="M61" s="27">
        <v>127.88630000000001</v>
      </c>
      <c r="N61" s="27">
        <v>124.66200000000001</v>
      </c>
      <c r="O61" s="27">
        <v>119.03019999999999</v>
      </c>
      <c r="P61" s="27">
        <v>111.0213</v>
      </c>
      <c r="Q61" s="27">
        <v>107.2726</v>
      </c>
      <c r="R61" s="27">
        <v>101.4924</v>
      </c>
      <c r="S61" s="27" t="s">
        <v>200</v>
      </c>
      <c r="T61" s="27">
        <v>85.508799999999994</v>
      </c>
      <c r="U61" s="27" t="s">
        <v>200</v>
      </c>
      <c r="V61" s="27">
        <v>68.953500000000005</v>
      </c>
      <c r="W61" s="27" t="s">
        <v>200</v>
      </c>
      <c r="X61" s="27">
        <v>54.109900000000003</v>
      </c>
      <c r="Y61" s="27" t="s">
        <v>200</v>
      </c>
      <c r="Z61" s="27">
        <v>44.0869</v>
      </c>
    </row>
    <row r="62" spans="1:26">
      <c r="A62" s="27" t="s">
        <v>203</v>
      </c>
      <c r="B62" s="27" t="s">
        <v>285</v>
      </c>
      <c r="C62" s="27" t="s">
        <v>198</v>
      </c>
      <c r="D62" s="27" t="s">
        <v>1157</v>
      </c>
      <c r="E62" s="27" t="s">
        <v>71</v>
      </c>
      <c r="F62" s="27" t="s">
        <v>200</v>
      </c>
      <c r="G62" s="27">
        <v>133.1952</v>
      </c>
      <c r="H62" s="27">
        <v>136.95070000000001</v>
      </c>
      <c r="I62" s="27">
        <v>150.745</v>
      </c>
      <c r="J62" s="27">
        <v>163.66640000000001</v>
      </c>
      <c r="K62" s="27">
        <v>148.85239999999999</v>
      </c>
      <c r="L62" s="27">
        <v>152.19059999999999</v>
      </c>
      <c r="M62" s="27">
        <v>143.87100000000001</v>
      </c>
      <c r="N62" s="27">
        <v>133.5069</v>
      </c>
      <c r="O62" s="27">
        <v>126.1836</v>
      </c>
      <c r="P62" s="27">
        <v>117.52970000000001</v>
      </c>
      <c r="Q62" s="27">
        <v>112.2016</v>
      </c>
      <c r="R62" s="27">
        <v>105.4551</v>
      </c>
      <c r="S62" s="27" t="s">
        <v>200</v>
      </c>
      <c r="T62" s="27">
        <v>89.115499999999997</v>
      </c>
      <c r="U62" s="27" t="s">
        <v>200</v>
      </c>
      <c r="V62" s="27">
        <v>71.562799999999996</v>
      </c>
      <c r="W62" s="27" t="s">
        <v>200</v>
      </c>
      <c r="X62" s="27">
        <v>56.670099999999998</v>
      </c>
      <c r="Y62" s="27" t="s">
        <v>200</v>
      </c>
      <c r="Z62" s="27">
        <v>46.447000000000003</v>
      </c>
    </row>
    <row r="63" spans="1:26">
      <c r="A63" s="27" t="s">
        <v>196</v>
      </c>
      <c r="B63" s="27" t="s">
        <v>286</v>
      </c>
      <c r="C63" s="27" t="s">
        <v>198</v>
      </c>
      <c r="D63" s="27" t="s">
        <v>1157</v>
      </c>
      <c r="E63" s="27" t="s">
        <v>71</v>
      </c>
      <c r="F63" s="27" t="s">
        <v>200</v>
      </c>
      <c r="G63" s="27">
        <v>133.18729999999999</v>
      </c>
      <c r="H63" s="27">
        <v>137.68279999999999</v>
      </c>
      <c r="I63" s="27">
        <v>150.16210000000001</v>
      </c>
      <c r="J63" s="27">
        <v>162.42509999999999</v>
      </c>
      <c r="K63" s="27">
        <v>137.7654</v>
      </c>
      <c r="L63" s="27">
        <v>141.1491</v>
      </c>
      <c r="M63" s="27">
        <v>145.2099</v>
      </c>
      <c r="N63" s="27">
        <v>146.31809999999999</v>
      </c>
      <c r="O63" s="27">
        <v>146.0789</v>
      </c>
      <c r="P63" s="27">
        <v>144.17590000000001</v>
      </c>
      <c r="Q63" s="27">
        <v>145.06180000000001</v>
      </c>
      <c r="R63" s="27">
        <v>145.51650000000001</v>
      </c>
      <c r="S63" s="27" t="s">
        <v>200</v>
      </c>
      <c r="T63" s="27">
        <v>143.33510000000001</v>
      </c>
      <c r="U63" s="27" t="s">
        <v>200</v>
      </c>
      <c r="V63" s="27">
        <v>136.60669999999999</v>
      </c>
      <c r="W63" s="27" t="s">
        <v>200</v>
      </c>
      <c r="X63" s="27">
        <v>126.5851</v>
      </c>
      <c r="Y63" s="27" t="s">
        <v>200</v>
      </c>
      <c r="Z63" s="27">
        <v>121.78700000000001</v>
      </c>
    </row>
    <row r="64" spans="1:26">
      <c r="A64" s="27" t="s">
        <v>282</v>
      </c>
      <c r="B64" s="27" t="s">
        <v>243</v>
      </c>
      <c r="C64" s="27" t="s">
        <v>198</v>
      </c>
      <c r="D64" s="27" t="s">
        <v>1157</v>
      </c>
      <c r="E64" s="27" t="s">
        <v>71</v>
      </c>
      <c r="F64" s="27">
        <v>146.12733285617799</v>
      </c>
      <c r="G64" s="27">
        <v>148.49918760395099</v>
      </c>
      <c r="H64" s="27">
        <v>150.86734838771801</v>
      </c>
      <c r="I64" s="27" t="s">
        <v>200</v>
      </c>
      <c r="J64" s="27">
        <v>157.95735256274301</v>
      </c>
      <c r="K64" s="27" t="s">
        <v>200</v>
      </c>
      <c r="L64" s="27">
        <v>137.166679962779</v>
      </c>
      <c r="M64" s="27" t="s">
        <v>200</v>
      </c>
      <c r="N64" s="27">
        <v>116.976822949149</v>
      </c>
      <c r="O64" s="27" t="s">
        <v>200</v>
      </c>
      <c r="P64" s="27">
        <v>100.932031181101</v>
      </c>
      <c r="Q64" s="27" t="s">
        <v>200</v>
      </c>
      <c r="R64" s="27">
        <v>87.472749081561304</v>
      </c>
      <c r="S64" s="27" t="s">
        <v>200</v>
      </c>
      <c r="T64" s="27">
        <v>76.299866079214297</v>
      </c>
      <c r="U64" s="27" t="s">
        <v>200</v>
      </c>
      <c r="V64" s="27">
        <v>68.40710106471461</v>
      </c>
      <c r="W64" s="27" t="s">
        <v>200</v>
      </c>
      <c r="X64" s="27">
        <v>62.195362155922098</v>
      </c>
      <c r="Y64" s="27" t="s">
        <v>200</v>
      </c>
      <c r="Z64" s="27">
        <v>57.124349224525787</v>
      </c>
    </row>
    <row r="65" spans="1:26">
      <c r="A65" s="27" t="s">
        <v>207</v>
      </c>
      <c r="B65" s="27" t="s">
        <v>202</v>
      </c>
      <c r="C65" s="27" t="s">
        <v>198</v>
      </c>
      <c r="D65" s="27" t="s">
        <v>1157</v>
      </c>
      <c r="E65" s="27" t="s">
        <v>71</v>
      </c>
      <c r="F65" s="27">
        <v>144.2629568959442</v>
      </c>
      <c r="G65" s="27">
        <v>146.31438781285701</v>
      </c>
      <c r="H65" s="27">
        <v>148.36183193616341</v>
      </c>
      <c r="I65" s="27">
        <v>151.93528599999999</v>
      </c>
      <c r="J65" s="27">
        <v>155.5091223</v>
      </c>
      <c r="K65" s="27">
        <v>133.65566777051069</v>
      </c>
      <c r="L65" s="27">
        <v>112.25656500536689</v>
      </c>
      <c r="M65" s="27">
        <v>104.9664220173015</v>
      </c>
      <c r="N65" s="27">
        <v>97.343758152887844</v>
      </c>
      <c r="O65" s="27">
        <v>92.054835051361394</v>
      </c>
      <c r="P65" s="27">
        <v>86.831727684682804</v>
      </c>
      <c r="Q65" s="27">
        <v>83.520190591222701</v>
      </c>
      <c r="R65" s="27">
        <v>79.695145050382507</v>
      </c>
      <c r="S65" s="27" t="s">
        <v>200</v>
      </c>
      <c r="T65" s="27">
        <v>77.173528504875435</v>
      </c>
      <c r="U65" s="27" t="s">
        <v>200</v>
      </c>
      <c r="V65" s="27">
        <v>75.707304989693256</v>
      </c>
      <c r="W65" s="27" t="s">
        <v>200</v>
      </c>
      <c r="X65" s="27">
        <v>72.473773686561941</v>
      </c>
      <c r="Y65" s="27" t="s">
        <v>200</v>
      </c>
      <c r="Z65" s="27">
        <v>68.719877168622318</v>
      </c>
    </row>
    <row r="66" spans="1:26">
      <c r="A66" s="27" t="s">
        <v>207</v>
      </c>
      <c r="B66" s="27" t="s">
        <v>273</v>
      </c>
      <c r="C66" s="27" t="s">
        <v>198</v>
      </c>
      <c r="D66" s="27" t="s">
        <v>1157</v>
      </c>
      <c r="E66" s="27" t="s">
        <v>71</v>
      </c>
      <c r="F66" s="27" t="s">
        <v>200</v>
      </c>
      <c r="G66" s="27" t="s">
        <v>200</v>
      </c>
      <c r="H66" s="27">
        <v>148.3618319</v>
      </c>
      <c r="I66" s="27">
        <v>151.93528599999999</v>
      </c>
      <c r="J66" s="27">
        <v>155.5091223</v>
      </c>
      <c r="K66" s="27">
        <v>133.74396419999999</v>
      </c>
      <c r="L66" s="27">
        <v>112.51885799999999</v>
      </c>
      <c r="M66" s="27">
        <v>105.0789296</v>
      </c>
      <c r="N66" s="27">
        <v>97.611683650000003</v>
      </c>
      <c r="O66" s="27">
        <v>92.50894941</v>
      </c>
      <c r="P66" s="27">
        <v>87.553112850000005</v>
      </c>
      <c r="Q66" s="27">
        <v>83.998039919999997</v>
      </c>
      <c r="R66" s="27">
        <v>80.712053400000002</v>
      </c>
      <c r="S66" s="27" t="s">
        <v>200</v>
      </c>
      <c r="T66" s="27">
        <v>77.972322469999995</v>
      </c>
      <c r="U66" s="27" t="s">
        <v>200</v>
      </c>
      <c r="V66" s="27">
        <v>75.717530980000006</v>
      </c>
      <c r="W66" s="27" t="s">
        <v>200</v>
      </c>
      <c r="X66" s="27">
        <v>72.794668590000001</v>
      </c>
      <c r="Y66" s="27" t="s">
        <v>200</v>
      </c>
      <c r="Z66" s="27">
        <v>71.201505240000003</v>
      </c>
    </row>
    <row r="67" spans="1:26">
      <c r="A67" s="27" t="s">
        <v>211</v>
      </c>
      <c r="B67" s="27" t="s">
        <v>256</v>
      </c>
      <c r="C67" s="27" t="s">
        <v>198</v>
      </c>
      <c r="D67" s="27" t="s">
        <v>1157</v>
      </c>
      <c r="E67" s="27" t="s">
        <v>71</v>
      </c>
      <c r="F67" s="27" t="s">
        <v>200</v>
      </c>
      <c r="G67" s="27">
        <v>147.76145170000001</v>
      </c>
      <c r="H67" s="27">
        <v>149.3938373</v>
      </c>
      <c r="I67" s="27" t="s">
        <v>200</v>
      </c>
      <c r="J67" s="27">
        <v>152.63643630000001</v>
      </c>
      <c r="K67" s="27" t="s">
        <v>200</v>
      </c>
      <c r="L67" s="27">
        <v>132.5963759</v>
      </c>
      <c r="M67" s="27" t="s">
        <v>200</v>
      </c>
      <c r="N67" s="27">
        <v>115.5970121</v>
      </c>
      <c r="O67" s="27" t="s">
        <v>200</v>
      </c>
      <c r="P67" s="27">
        <v>101.5895001</v>
      </c>
      <c r="Q67" s="27" t="s">
        <v>200</v>
      </c>
      <c r="R67" s="27">
        <v>90.403887699999999</v>
      </c>
      <c r="S67" s="27" t="s">
        <v>200</v>
      </c>
      <c r="T67" s="27">
        <v>82.718074599999994</v>
      </c>
      <c r="U67" s="27" t="s">
        <v>200</v>
      </c>
      <c r="V67" s="27">
        <v>77.476365299999998</v>
      </c>
      <c r="W67" s="27" t="s">
        <v>200</v>
      </c>
      <c r="X67" s="27">
        <v>73.613072099999997</v>
      </c>
      <c r="Y67" s="27" t="s">
        <v>200</v>
      </c>
      <c r="Z67" s="27">
        <v>70.489946400000022</v>
      </c>
    </row>
    <row r="68" spans="1:26">
      <c r="A68" s="27" t="s">
        <v>196</v>
      </c>
      <c r="B68" s="27" t="s">
        <v>267</v>
      </c>
      <c r="C68" s="27" t="s">
        <v>198</v>
      </c>
      <c r="D68" s="27" t="s">
        <v>1157</v>
      </c>
      <c r="E68" s="27" t="s">
        <v>71</v>
      </c>
      <c r="F68" s="27" t="s">
        <v>200</v>
      </c>
      <c r="G68" s="27">
        <v>133.18729999999999</v>
      </c>
      <c r="H68" s="27">
        <v>137.68279999999999</v>
      </c>
      <c r="I68" s="27">
        <v>150.16210000000001</v>
      </c>
      <c r="J68" s="27">
        <v>162.42509999999999</v>
      </c>
      <c r="K68" s="27">
        <v>138.17089999999999</v>
      </c>
      <c r="L68" s="27">
        <v>141.35069999999999</v>
      </c>
      <c r="M68" s="27">
        <v>145.4332</v>
      </c>
      <c r="N68" s="27">
        <v>146.7002</v>
      </c>
      <c r="O68" s="27">
        <v>146.32419999999999</v>
      </c>
      <c r="P68" s="27">
        <v>144.15940000000001</v>
      </c>
      <c r="Q68" s="27">
        <v>144.94130000000001</v>
      </c>
      <c r="R68" s="27">
        <v>145.61019999999999</v>
      </c>
      <c r="S68" s="27" t="s">
        <v>200</v>
      </c>
      <c r="T68" s="27">
        <v>143.3193</v>
      </c>
      <c r="U68" s="27" t="s">
        <v>200</v>
      </c>
      <c r="V68" s="27">
        <v>136.58930000000001</v>
      </c>
      <c r="W68" s="27" t="s">
        <v>200</v>
      </c>
      <c r="X68" s="27">
        <v>126.535</v>
      </c>
      <c r="Y68" s="27" t="s">
        <v>200</v>
      </c>
      <c r="Z68" s="27">
        <v>121.77760000000001</v>
      </c>
    </row>
    <row r="69" spans="1:26">
      <c r="A69" s="27" t="s">
        <v>207</v>
      </c>
      <c r="B69" s="27" t="s">
        <v>201</v>
      </c>
      <c r="C69" s="27" t="s">
        <v>198</v>
      </c>
      <c r="D69" s="27" t="s">
        <v>1157</v>
      </c>
      <c r="E69" s="27" t="s">
        <v>71</v>
      </c>
      <c r="F69" s="27" t="s">
        <v>200</v>
      </c>
      <c r="G69" s="27" t="s">
        <v>200</v>
      </c>
      <c r="H69" s="27">
        <v>148.3618319</v>
      </c>
      <c r="I69" s="27">
        <v>151.93528599999999</v>
      </c>
      <c r="J69" s="27">
        <v>155.5091223</v>
      </c>
      <c r="K69" s="27">
        <v>133.39113599999999</v>
      </c>
      <c r="L69" s="27">
        <v>112.131511</v>
      </c>
      <c r="M69" s="27">
        <v>104.7906339</v>
      </c>
      <c r="N69" s="27">
        <v>97.220120379999997</v>
      </c>
      <c r="O69" s="27">
        <v>91.974535009999997</v>
      </c>
      <c r="P69" s="27">
        <v>86.647306700000001</v>
      </c>
      <c r="Q69" s="27">
        <v>82.78779222</v>
      </c>
      <c r="R69" s="27">
        <v>79.626607039999996</v>
      </c>
      <c r="S69" s="27" t="s">
        <v>200</v>
      </c>
      <c r="T69" s="27">
        <v>76.561077139999995</v>
      </c>
      <c r="U69" s="27" t="s">
        <v>200</v>
      </c>
      <c r="V69" s="27">
        <v>75.409488089999996</v>
      </c>
      <c r="W69" s="27" t="s">
        <v>200</v>
      </c>
      <c r="X69" s="27">
        <v>72.249622689999995</v>
      </c>
      <c r="Y69" s="27" t="s">
        <v>200</v>
      </c>
      <c r="Z69" s="27">
        <v>70.385697890000003</v>
      </c>
    </row>
    <row r="70" spans="1:26">
      <c r="A70" s="27" t="s">
        <v>196</v>
      </c>
      <c r="B70" s="27" t="s">
        <v>289</v>
      </c>
      <c r="C70" s="27" t="s">
        <v>198</v>
      </c>
      <c r="D70" s="27" t="s">
        <v>1157</v>
      </c>
      <c r="E70" s="27" t="s">
        <v>71</v>
      </c>
      <c r="F70" s="27" t="s">
        <v>200</v>
      </c>
      <c r="G70" s="27">
        <v>133.2379</v>
      </c>
      <c r="H70" s="27">
        <v>137.75899999999999</v>
      </c>
      <c r="I70" s="27">
        <v>150.3365</v>
      </c>
      <c r="J70" s="27">
        <v>162.53120000000001</v>
      </c>
      <c r="K70" s="27">
        <v>127.6771</v>
      </c>
      <c r="L70" s="27">
        <v>127.57810000000001</v>
      </c>
      <c r="M70" s="27">
        <v>126.5521</v>
      </c>
      <c r="N70" s="27">
        <v>123.8927</v>
      </c>
      <c r="O70" s="27">
        <v>118.45650000000001</v>
      </c>
      <c r="P70" s="27">
        <v>110.6362</v>
      </c>
      <c r="Q70" s="27">
        <v>106.7501</v>
      </c>
      <c r="R70" s="27">
        <v>100.8698</v>
      </c>
      <c r="S70" s="27" t="s">
        <v>200</v>
      </c>
      <c r="T70" s="27">
        <v>84.575299999999999</v>
      </c>
      <c r="U70" s="27" t="s">
        <v>200</v>
      </c>
      <c r="V70" s="27">
        <v>68.361500000000007</v>
      </c>
      <c r="W70" s="27" t="s">
        <v>200</v>
      </c>
      <c r="X70" s="27">
        <v>53.718600000000002</v>
      </c>
      <c r="Y70" s="27" t="s">
        <v>200</v>
      </c>
      <c r="Z70" s="27">
        <v>43.677500000000002</v>
      </c>
    </row>
    <row r="71" spans="1:26">
      <c r="A71" s="27" t="s">
        <v>233</v>
      </c>
      <c r="B71" s="27" t="s">
        <v>230</v>
      </c>
      <c r="C71" s="27" t="s">
        <v>198</v>
      </c>
      <c r="D71" s="27" t="s">
        <v>1157</v>
      </c>
      <c r="E71" s="27" t="s">
        <v>71</v>
      </c>
      <c r="F71" s="27" t="s">
        <v>200</v>
      </c>
      <c r="G71" s="27" t="s">
        <v>200</v>
      </c>
      <c r="H71" s="27">
        <v>151.13019125242201</v>
      </c>
      <c r="I71" s="27">
        <v>145.620904064775</v>
      </c>
      <c r="J71" s="27">
        <v>156.45280273847979</v>
      </c>
      <c r="K71" s="27">
        <v>91.119621923956956</v>
      </c>
      <c r="L71" s="27">
        <v>86.575517402953892</v>
      </c>
      <c r="M71" s="27">
        <v>83.811383517126799</v>
      </c>
      <c r="N71" s="27">
        <v>81.148006307280284</v>
      </c>
      <c r="O71" s="27">
        <v>78.98669106718549</v>
      </c>
      <c r="P71" s="27">
        <v>77.118241131278197</v>
      </c>
      <c r="Q71" s="27">
        <v>77.057590819824156</v>
      </c>
      <c r="R71" s="27">
        <v>77.281709585615346</v>
      </c>
      <c r="S71" s="27">
        <v>77.654865102996723</v>
      </c>
      <c r="T71" s="27">
        <v>77.788449732897874</v>
      </c>
      <c r="U71" s="27">
        <v>77.876666112516205</v>
      </c>
      <c r="V71" s="27">
        <v>77.96759165304708</v>
      </c>
      <c r="W71" s="27">
        <v>77.973950855865979</v>
      </c>
      <c r="X71" s="27">
        <v>77.98024839379319</v>
      </c>
      <c r="Y71" s="27">
        <v>77.870273886170366</v>
      </c>
      <c r="Z71" s="27">
        <v>77.760157973677138</v>
      </c>
    </row>
    <row r="72" spans="1:26">
      <c r="A72" s="27" t="s">
        <v>261</v>
      </c>
      <c r="B72" s="27" t="s">
        <v>292</v>
      </c>
      <c r="C72" s="27" t="s">
        <v>198</v>
      </c>
      <c r="D72" s="27" t="s">
        <v>1157</v>
      </c>
      <c r="E72" s="27" t="s">
        <v>71</v>
      </c>
      <c r="F72" s="27" t="s">
        <v>200</v>
      </c>
      <c r="G72" s="27">
        <v>158.25489804148671</v>
      </c>
      <c r="H72" s="27">
        <v>167.2384498119354</v>
      </c>
      <c r="I72" s="27">
        <v>166.81641435623169</v>
      </c>
      <c r="J72" s="27">
        <v>160.86874866485601</v>
      </c>
      <c r="K72" s="27">
        <v>144.3889794498682</v>
      </c>
      <c r="L72" s="27">
        <v>120.5342315882444</v>
      </c>
      <c r="M72" s="27">
        <v>107.3512164056301</v>
      </c>
      <c r="N72" s="27">
        <v>99.742045402526855</v>
      </c>
      <c r="O72" s="27">
        <v>89.51200532913208</v>
      </c>
      <c r="P72" s="27">
        <v>79.221115574240685</v>
      </c>
      <c r="Q72" s="27">
        <v>78.868237502872944</v>
      </c>
      <c r="R72" s="27">
        <v>80.548277512192726</v>
      </c>
      <c r="S72" s="27">
        <v>78.775381073355675</v>
      </c>
      <c r="T72" s="27">
        <v>76.940367877483368</v>
      </c>
      <c r="U72" s="27">
        <v>75.076662547886372</v>
      </c>
      <c r="V72" s="27">
        <v>73.238111272454262</v>
      </c>
      <c r="W72" s="27">
        <v>70.741445504128933</v>
      </c>
      <c r="X72" s="27">
        <v>68.534830637276173</v>
      </c>
      <c r="Y72" s="27">
        <v>65.835408054292202</v>
      </c>
      <c r="Z72" s="27">
        <v>63.693195201456547</v>
      </c>
    </row>
    <row r="73" spans="1:26">
      <c r="A73" s="27" t="s">
        <v>261</v>
      </c>
      <c r="B73" s="27" t="s">
        <v>293</v>
      </c>
      <c r="C73" s="27" t="s">
        <v>198</v>
      </c>
      <c r="D73" s="27" t="s">
        <v>1157</v>
      </c>
      <c r="E73" s="27" t="s">
        <v>71</v>
      </c>
      <c r="F73" s="27" t="s">
        <v>200</v>
      </c>
      <c r="G73" s="27">
        <v>158.2573070824146</v>
      </c>
      <c r="H73" s="27">
        <v>167.27748048305509</v>
      </c>
      <c r="I73" s="27">
        <v>166.82969546318051</v>
      </c>
      <c r="J73" s="27">
        <v>160.86361074447629</v>
      </c>
      <c r="K73" s="27">
        <v>150.82890430092809</v>
      </c>
      <c r="L73" s="27">
        <v>132.12803094089031</v>
      </c>
      <c r="M73" s="27">
        <v>125.8943555802107</v>
      </c>
      <c r="N73" s="27">
        <v>117.95897646248341</v>
      </c>
      <c r="O73" s="27">
        <v>109.6530128866434</v>
      </c>
      <c r="P73" s="27">
        <v>99.180337071418762</v>
      </c>
      <c r="Q73" s="27">
        <v>97.863161697983742</v>
      </c>
      <c r="R73" s="27">
        <v>99.046124890446663</v>
      </c>
      <c r="S73" s="27">
        <v>98.048027098178864</v>
      </c>
      <c r="T73" s="27">
        <v>95.960923537611961</v>
      </c>
      <c r="U73" s="27">
        <v>94.585905209183693</v>
      </c>
      <c r="V73" s="27">
        <v>92.094085238873959</v>
      </c>
      <c r="W73" s="27">
        <v>89.692969501018524</v>
      </c>
      <c r="X73" s="27">
        <v>86.692381627857685</v>
      </c>
      <c r="Y73" s="27">
        <v>83.638073787093163</v>
      </c>
      <c r="Z73" s="27">
        <v>80.65662108361721</v>
      </c>
    </row>
    <row r="74" spans="1:26">
      <c r="A74" s="27" t="s">
        <v>196</v>
      </c>
      <c r="B74" s="27" t="s">
        <v>280</v>
      </c>
      <c r="C74" s="27" t="s">
        <v>198</v>
      </c>
      <c r="D74" s="27" t="s">
        <v>1157</v>
      </c>
      <c r="E74" s="27" t="s">
        <v>71</v>
      </c>
      <c r="F74" s="27" t="s">
        <v>200</v>
      </c>
      <c r="G74" s="27">
        <v>133.18729999999999</v>
      </c>
      <c r="H74" s="27">
        <v>137.68279999999999</v>
      </c>
      <c r="I74" s="27">
        <v>150.16210000000001</v>
      </c>
      <c r="J74" s="27">
        <v>162.42509999999999</v>
      </c>
      <c r="K74" s="27">
        <v>139.96530000000001</v>
      </c>
      <c r="L74" s="27">
        <v>142.57669999999999</v>
      </c>
      <c r="M74" s="27">
        <v>145.89930000000001</v>
      </c>
      <c r="N74" s="27">
        <v>146.7782</v>
      </c>
      <c r="O74" s="27">
        <v>146.64240000000001</v>
      </c>
      <c r="P74" s="27">
        <v>144.2748</v>
      </c>
      <c r="Q74" s="27">
        <v>144.9349</v>
      </c>
      <c r="R74" s="27">
        <v>145.55789999999999</v>
      </c>
      <c r="S74" s="27" t="s">
        <v>200</v>
      </c>
      <c r="T74" s="27">
        <v>143.2561</v>
      </c>
      <c r="U74" s="27" t="s">
        <v>200</v>
      </c>
      <c r="V74" s="27">
        <v>136.5137</v>
      </c>
      <c r="W74" s="27" t="s">
        <v>200</v>
      </c>
      <c r="X74" s="27">
        <v>126.5463</v>
      </c>
      <c r="Y74" s="27" t="s">
        <v>200</v>
      </c>
      <c r="Z74" s="27">
        <v>121.7867</v>
      </c>
    </row>
    <row r="75" spans="1:26">
      <c r="A75" s="27" t="s">
        <v>218</v>
      </c>
      <c r="B75" s="27" t="s">
        <v>294</v>
      </c>
      <c r="C75" s="27" t="s">
        <v>198</v>
      </c>
      <c r="D75" s="27" t="s">
        <v>1157</v>
      </c>
      <c r="E75" s="27" t="s">
        <v>71</v>
      </c>
      <c r="F75" s="27" t="s">
        <v>200</v>
      </c>
      <c r="G75" s="27">
        <v>157.50030000000001</v>
      </c>
      <c r="H75" s="27">
        <v>181.62029999999999</v>
      </c>
      <c r="I75" s="27">
        <v>201.6234</v>
      </c>
      <c r="J75" s="27">
        <v>204.56620000000001</v>
      </c>
      <c r="K75" s="27">
        <v>195.49709999999999</v>
      </c>
      <c r="L75" s="27">
        <v>191.77969999999999</v>
      </c>
      <c r="M75" s="27">
        <v>189.46019999999999</v>
      </c>
      <c r="N75" s="27">
        <v>187.09620000000001</v>
      </c>
      <c r="O75" s="27">
        <v>185.41640000000001</v>
      </c>
      <c r="P75" s="27">
        <v>181.12180000000001</v>
      </c>
      <c r="Q75" s="27">
        <v>184.28960000000001</v>
      </c>
      <c r="R75" s="27">
        <v>185.39529999999999</v>
      </c>
      <c r="S75" s="27" t="s">
        <v>200</v>
      </c>
      <c r="T75" s="27">
        <v>184.51410000000001</v>
      </c>
      <c r="U75" s="27" t="s">
        <v>200</v>
      </c>
      <c r="V75" s="27">
        <v>180.97190000000001</v>
      </c>
      <c r="W75" s="27" t="s">
        <v>200</v>
      </c>
      <c r="X75" s="27">
        <v>172.7165</v>
      </c>
      <c r="Y75" s="27" t="s">
        <v>200</v>
      </c>
      <c r="Z75" s="27">
        <v>158.6421</v>
      </c>
    </row>
    <row r="76" spans="1:26">
      <c r="A76" s="27" t="s">
        <v>261</v>
      </c>
      <c r="B76" s="27" t="s">
        <v>295</v>
      </c>
      <c r="C76" s="27" t="s">
        <v>198</v>
      </c>
      <c r="D76" s="27" t="s">
        <v>1157</v>
      </c>
      <c r="E76" s="27" t="s">
        <v>71</v>
      </c>
      <c r="F76" s="27" t="s">
        <v>200</v>
      </c>
      <c r="G76" s="27">
        <v>158.25720927119261</v>
      </c>
      <c r="H76" s="27">
        <v>167.27824750542641</v>
      </c>
      <c r="I76" s="27">
        <v>166.83519542217249</v>
      </c>
      <c r="J76" s="27">
        <v>160.90761885046959</v>
      </c>
      <c r="K76" s="27">
        <v>157.97450706362719</v>
      </c>
      <c r="L76" s="27">
        <v>150.03107705712321</v>
      </c>
      <c r="M76" s="27">
        <v>144.44879858195779</v>
      </c>
      <c r="N76" s="27">
        <v>138.63733932375911</v>
      </c>
      <c r="O76" s="27">
        <v>133.4050959944725</v>
      </c>
      <c r="P76" s="27">
        <v>127.7083181738853</v>
      </c>
      <c r="Q76" s="27">
        <v>128.53946547210219</v>
      </c>
      <c r="R76" s="27">
        <v>130.23880375921729</v>
      </c>
      <c r="S76" s="27">
        <v>131.05593907833099</v>
      </c>
      <c r="T76" s="27">
        <v>131.19359555840489</v>
      </c>
      <c r="U76" s="27">
        <v>132.54402804374689</v>
      </c>
      <c r="V76" s="27">
        <v>132.70143260061741</v>
      </c>
      <c r="W76" s="27">
        <v>133.98893676698211</v>
      </c>
      <c r="X76" s="27">
        <v>131.53282971680159</v>
      </c>
      <c r="Y76" s="27">
        <v>131.08889073133469</v>
      </c>
      <c r="Z76" s="27">
        <v>128.61255413293841</v>
      </c>
    </row>
    <row r="77" spans="1:26">
      <c r="A77" s="27" t="s">
        <v>1152</v>
      </c>
      <c r="B77" s="27" t="s">
        <v>286</v>
      </c>
      <c r="C77" s="27" t="s">
        <v>198</v>
      </c>
      <c r="D77" s="27" t="s">
        <v>1157</v>
      </c>
      <c r="E77" s="27" t="s">
        <v>71</v>
      </c>
      <c r="F77" s="27" t="s">
        <v>200</v>
      </c>
      <c r="G77" s="27" t="s">
        <v>200</v>
      </c>
      <c r="H77" s="27">
        <v>130.125541</v>
      </c>
      <c r="I77" s="27">
        <v>134.86978999999999</v>
      </c>
      <c r="J77" s="27">
        <v>142.542472</v>
      </c>
      <c r="K77" s="27">
        <v>144.70153123384611</v>
      </c>
      <c r="L77" s="27">
        <v>139.10407186917229</v>
      </c>
      <c r="M77" s="27">
        <v>141.0919710225516</v>
      </c>
      <c r="N77" s="27">
        <v>141.79944579623671</v>
      </c>
      <c r="O77" s="27">
        <v>141.43294987530189</v>
      </c>
      <c r="P77" s="27">
        <v>133.81739930098249</v>
      </c>
      <c r="Q77" s="27" t="s">
        <v>200</v>
      </c>
      <c r="R77" s="27">
        <v>129.43363109952821</v>
      </c>
      <c r="S77" s="27" t="s">
        <v>200</v>
      </c>
      <c r="T77" s="27">
        <v>124.15237462439219</v>
      </c>
      <c r="U77" s="27" t="s">
        <v>200</v>
      </c>
      <c r="V77" s="27">
        <v>120.1272530923748</v>
      </c>
      <c r="W77" s="27" t="s">
        <v>200</v>
      </c>
      <c r="X77" s="27">
        <v>114.629538731423</v>
      </c>
      <c r="Y77" s="27" t="s">
        <v>200</v>
      </c>
      <c r="Z77" s="27">
        <v>110.5355009767392</v>
      </c>
    </row>
    <row r="78" spans="1:26">
      <c r="A78" s="27" t="s">
        <v>196</v>
      </c>
      <c r="B78" s="27" t="s">
        <v>296</v>
      </c>
      <c r="C78" s="27" t="s">
        <v>198</v>
      </c>
      <c r="D78" s="27" t="s">
        <v>1157</v>
      </c>
      <c r="E78" s="27" t="s">
        <v>71</v>
      </c>
      <c r="F78" s="27" t="s">
        <v>200</v>
      </c>
      <c r="G78" s="27">
        <v>133.18729999999999</v>
      </c>
      <c r="H78" s="27">
        <v>137.66489999999999</v>
      </c>
      <c r="I78" s="27">
        <v>150.19929999999999</v>
      </c>
      <c r="J78" s="27">
        <v>162.49780000000001</v>
      </c>
      <c r="K78" s="27">
        <v>140.54560000000001</v>
      </c>
      <c r="L78" s="27">
        <v>142.6026</v>
      </c>
      <c r="M78" s="27">
        <v>145.71019999999999</v>
      </c>
      <c r="N78" s="27">
        <v>146.82169999999999</v>
      </c>
      <c r="O78" s="27">
        <v>146.5026</v>
      </c>
      <c r="P78" s="27">
        <v>144.511</v>
      </c>
      <c r="Q78" s="27">
        <v>145.1962</v>
      </c>
      <c r="R78" s="27">
        <v>145.37620000000001</v>
      </c>
      <c r="S78" s="27" t="s">
        <v>200</v>
      </c>
      <c r="T78" s="27">
        <v>143.07419999999999</v>
      </c>
      <c r="U78" s="27" t="s">
        <v>200</v>
      </c>
      <c r="V78" s="27">
        <v>136.22810000000001</v>
      </c>
      <c r="W78" s="27" t="s">
        <v>200</v>
      </c>
      <c r="X78" s="27">
        <v>126.2637</v>
      </c>
      <c r="Y78" s="27" t="s">
        <v>200</v>
      </c>
      <c r="Z78" s="27">
        <v>121.50109999999999</v>
      </c>
    </row>
    <row r="79" spans="1:26">
      <c r="A79" s="27" t="s">
        <v>196</v>
      </c>
      <c r="B79" s="27" t="s">
        <v>297</v>
      </c>
      <c r="C79" s="27" t="s">
        <v>198</v>
      </c>
      <c r="D79" s="27" t="s">
        <v>1157</v>
      </c>
      <c r="E79" s="27" t="s">
        <v>71</v>
      </c>
      <c r="F79" s="27" t="s">
        <v>200</v>
      </c>
      <c r="G79" s="27" t="s">
        <v>200</v>
      </c>
      <c r="H79" s="27">
        <v>137.13640000000001</v>
      </c>
      <c r="I79" s="27">
        <v>150.137</v>
      </c>
      <c r="J79" s="27">
        <v>152.93430000000001</v>
      </c>
      <c r="K79" s="27">
        <v>143.04920000000001</v>
      </c>
      <c r="L79" s="27">
        <v>144.24709999999999</v>
      </c>
      <c r="M79" s="27">
        <v>146.56379999999999</v>
      </c>
      <c r="N79" s="27">
        <v>146.99770000000001</v>
      </c>
      <c r="O79" s="27">
        <v>146.655</v>
      </c>
      <c r="P79" s="27">
        <v>144.57859999999999</v>
      </c>
      <c r="Q79" s="27">
        <v>145.9323</v>
      </c>
      <c r="R79" s="27">
        <v>146.1919</v>
      </c>
      <c r="S79" s="27" t="s">
        <v>200</v>
      </c>
      <c r="T79" s="27">
        <v>143.4991</v>
      </c>
      <c r="U79" s="27" t="s">
        <v>200</v>
      </c>
      <c r="V79" s="27">
        <v>136.7295</v>
      </c>
      <c r="W79" s="27" t="s">
        <v>200</v>
      </c>
      <c r="X79" s="27">
        <v>126.79040000000001</v>
      </c>
      <c r="Y79" s="27" t="s">
        <v>200</v>
      </c>
      <c r="Z79" s="27">
        <v>121.9736</v>
      </c>
    </row>
    <row r="80" spans="1:26">
      <c r="A80" s="27" t="s">
        <v>261</v>
      </c>
      <c r="B80" s="27" t="s">
        <v>298</v>
      </c>
      <c r="C80" s="27" t="s">
        <v>198</v>
      </c>
      <c r="D80" s="27" t="s">
        <v>1157</v>
      </c>
      <c r="E80" s="27" t="s">
        <v>71</v>
      </c>
      <c r="F80" s="27" t="s">
        <v>200</v>
      </c>
      <c r="G80" s="27">
        <v>158.2587813436985</v>
      </c>
      <c r="H80" s="27">
        <v>167.28508469462389</v>
      </c>
      <c r="I80" s="27">
        <v>166.8376940488815</v>
      </c>
      <c r="J80" s="27">
        <v>160.86688053607941</v>
      </c>
      <c r="K80" s="27">
        <v>150.83370289206499</v>
      </c>
      <c r="L80" s="27">
        <v>132.12817567586899</v>
      </c>
      <c r="M80" s="27">
        <v>125.9160097837448</v>
      </c>
      <c r="N80" s="27">
        <v>117.7446961700916</v>
      </c>
      <c r="O80" s="27">
        <v>109.4957906454802</v>
      </c>
      <c r="P80" s="27">
        <v>99.289113327860846</v>
      </c>
      <c r="Q80" s="27">
        <v>97.533328488469124</v>
      </c>
      <c r="R80" s="27">
        <v>98.952168449759483</v>
      </c>
      <c r="S80" s="27">
        <v>98.028843849897385</v>
      </c>
      <c r="T80" s="27">
        <v>95.893544226884842</v>
      </c>
      <c r="U80" s="27">
        <v>95.055603384971619</v>
      </c>
      <c r="V80" s="27">
        <v>91.922530248761177</v>
      </c>
      <c r="W80" s="27">
        <v>89.631449118256569</v>
      </c>
      <c r="X80" s="27">
        <v>86.655866101384163</v>
      </c>
      <c r="Y80" s="27">
        <v>83.374998196959496</v>
      </c>
      <c r="Z80" s="27">
        <v>80.422629818320274</v>
      </c>
    </row>
    <row r="81" spans="1:26">
      <c r="A81" s="27" t="s">
        <v>261</v>
      </c>
      <c r="B81" s="27" t="s">
        <v>299</v>
      </c>
      <c r="C81" s="27" t="s">
        <v>198</v>
      </c>
      <c r="D81" s="27" t="s">
        <v>1157</v>
      </c>
      <c r="E81" s="27" t="s">
        <v>71</v>
      </c>
      <c r="F81" s="27" t="s">
        <v>200</v>
      </c>
      <c r="G81" s="27">
        <v>158.25504663586619</v>
      </c>
      <c r="H81" s="27">
        <v>167.23851552605629</v>
      </c>
      <c r="I81" s="27">
        <v>166.81602463126191</v>
      </c>
      <c r="J81" s="27">
        <v>160.8996259570122</v>
      </c>
      <c r="K81" s="27">
        <v>149.08128488063809</v>
      </c>
      <c r="L81" s="27">
        <v>137.53524611890319</v>
      </c>
      <c r="M81" s="27">
        <v>129.49870954453951</v>
      </c>
      <c r="N81" s="27">
        <v>112.9697247892618</v>
      </c>
      <c r="O81" s="27">
        <v>105.97096705436709</v>
      </c>
      <c r="P81" s="27">
        <v>100.60345853865149</v>
      </c>
      <c r="Q81" s="27">
        <v>93.701566427946076</v>
      </c>
      <c r="R81" s="27">
        <v>92.837483733892441</v>
      </c>
      <c r="S81" s="27">
        <v>93.471920773386955</v>
      </c>
      <c r="T81" s="27">
        <v>92.244088143110275</v>
      </c>
      <c r="U81" s="27">
        <v>92.805289693176761</v>
      </c>
      <c r="V81" s="27">
        <v>91.370167694985881</v>
      </c>
      <c r="W81" s="27">
        <v>90.694247506558895</v>
      </c>
      <c r="X81" s="27">
        <v>89.369699828326702</v>
      </c>
      <c r="Y81" s="27">
        <v>87.987379252910614</v>
      </c>
      <c r="Z81" s="27">
        <v>87.043024189770222</v>
      </c>
    </row>
    <row r="82" spans="1:26">
      <c r="A82" s="27" t="s">
        <v>207</v>
      </c>
      <c r="B82" s="27" t="s">
        <v>267</v>
      </c>
      <c r="C82" s="27" t="s">
        <v>198</v>
      </c>
      <c r="D82" s="27" t="s">
        <v>1157</v>
      </c>
      <c r="E82" s="27" t="s">
        <v>71</v>
      </c>
      <c r="F82" s="27">
        <v>144.2629568959442</v>
      </c>
      <c r="G82" s="27">
        <v>146.31438781285701</v>
      </c>
      <c r="H82" s="27">
        <v>148.36183193616341</v>
      </c>
      <c r="I82" s="27">
        <v>151.93528599999999</v>
      </c>
      <c r="J82" s="27">
        <v>155.5091189</v>
      </c>
      <c r="K82" s="27">
        <v>130.1764187</v>
      </c>
      <c r="L82" s="27">
        <v>105.07169669307019</v>
      </c>
      <c r="M82" s="27">
        <v>97.308445007340524</v>
      </c>
      <c r="N82" s="27">
        <v>89.561190661179893</v>
      </c>
      <c r="O82" s="27">
        <v>84.432345633415849</v>
      </c>
      <c r="P82" s="27">
        <v>79.423621583476262</v>
      </c>
      <c r="Q82" s="27">
        <v>77.249827789729949</v>
      </c>
      <c r="R82" s="27">
        <v>76.536683822232135</v>
      </c>
      <c r="S82" s="27" t="s">
        <v>200</v>
      </c>
      <c r="T82" s="27">
        <v>75.197102176247398</v>
      </c>
      <c r="U82" s="27" t="s">
        <v>200</v>
      </c>
      <c r="V82" s="27">
        <v>74.562090983467584</v>
      </c>
      <c r="W82" s="27" t="s">
        <v>200</v>
      </c>
      <c r="X82" s="27">
        <v>71.840320914805844</v>
      </c>
      <c r="Y82" s="27" t="s">
        <v>200</v>
      </c>
      <c r="Z82" s="27">
        <v>68.316818436060828</v>
      </c>
    </row>
    <row r="100" spans="3:30">
      <c r="C100" s="3" t="s">
        <v>69</v>
      </c>
      <c r="F100" s="27">
        <f t="shared" ref="F100:Z100" si="0">MEDIAN(F2:F98)</f>
        <v>144.2629568959442</v>
      </c>
      <c r="G100" s="27">
        <f t="shared" si="0"/>
        <v>146.31438781285701</v>
      </c>
      <c r="H100" s="27">
        <f t="shared" si="0"/>
        <v>148.36183193616341</v>
      </c>
      <c r="I100" s="27">
        <f t="shared" si="0"/>
        <v>150.745</v>
      </c>
      <c r="J100" s="27">
        <f t="shared" si="0"/>
        <v>162.42509999999999</v>
      </c>
      <c r="K100" s="27">
        <f t="shared" si="0"/>
        <v>143.04920000000001</v>
      </c>
      <c r="L100" s="27">
        <f t="shared" si="0"/>
        <v>143.12870000000001</v>
      </c>
      <c r="M100" s="27">
        <f t="shared" si="0"/>
        <v>144.50744171440601</v>
      </c>
      <c r="N100" s="27">
        <f t="shared" si="0"/>
        <v>138.54451844096181</v>
      </c>
      <c r="O100" s="27">
        <f t="shared" si="0"/>
        <v>141.43294987530189</v>
      </c>
      <c r="P100" s="27">
        <f t="shared" si="0"/>
        <v>127.77412854135039</v>
      </c>
      <c r="Q100" s="27">
        <f t="shared" si="0"/>
        <v>144.86950000000002</v>
      </c>
      <c r="R100" s="27">
        <f t="shared" si="0"/>
        <v>130.86054340004921</v>
      </c>
      <c r="S100" s="27">
        <f t="shared" si="0"/>
        <v>101.46331354908943</v>
      </c>
      <c r="T100" s="27">
        <f t="shared" si="0"/>
        <v>131.19359555840489</v>
      </c>
      <c r="U100" s="27">
        <f t="shared" si="0"/>
        <v>102.9321516924858</v>
      </c>
      <c r="V100" s="27">
        <f t="shared" si="0"/>
        <v>132.23177498579031</v>
      </c>
      <c r="W100" s="27">
        <f t="shared" si="0"/>
        <v>100.46257375327946</v>
      </c>
      <c r="X100" s="27">
        <f t="shared" si="0"/>
        <v>126.3449</v>
      </c>
      <c r="Y100" s="27">
        <f t="shared" si="0"/>
        <v>100.39773962645531</v>
      </c>
      <c r="Z100" s="27">
        <f t="shared" si="0"/>
        <v>121.6367</v>
      </c>
    </row>
    <row r="101" spans="3:30">
      <c r="C101" s="3" t="s">
        <v>72</v>
      </c>
      <c r="F101" s="27">
        <f t="shared" ref="F101:Z101" si="1">_xlfn.PERCENTILE.INC(F2:F98,0.25)</f>
        <v>144.2629568959442</v>
      </c>
      <c r="G101" s="27">
        <f t="shared" si="1"/>
        <v>133.1952</v>
      </c>
      <c r="H101" s="27">
        <f t="shared" si="1"/>
        <v>137.62000964999001</v>
      </c>
      <c r="I101" s="27">
        <f t="shared" si="1"/>
        <v>150.16210000000001</v>
      </c>
      <c r="J101" s="27">
        <f t="shared" si="1"/>
        <v>155.5091223</v>
      </c>
      <c r="K101" s="27">
        <f t="shared" si="1"/>
        <v>133.39113599999999</v>
      </c>
      <c r="L101" s="27">
        <f t="shared" si="1"/>
        <v>120.5342315882444</v>
      </c>
      <c r="M101" s="27">
        <f t="shared" si="1"/>
        <v>107.3512164056301</v>
      </c>
      <c r="N101" s="27">
        <f t="shared" si="1"/>
        <v>99.742045402526855</v>
      </c>
      <c r="O101" s="27">
        <f t="shared" si="1"/>
        <v>93.146664806432881</v>
      </c>
      <c r="P101" s="27">
        <f t="shared" si="1"/>
        <v>93.379018675862397</v>
      </c>
      <c r="Q101" s="27">
        <f t="shared" si="1"/>
        <v>90.343995232135057</v>
      </c>
      <c r="R101" s="27">
        <f t="shared" si="1"/>
        <v>89.040689560639308</v>
      </c>
      <c r="S101" s="27">
        <f t="shared" si="1"/>
        <v>79.829796221683438</v>
      </c>
      <c r="T101" s="27">
        <f t="shared" si="1"/>
        <v>82.718074599999994</v>
      </c>
      <c r="U101" s="27">
        <f t="shared" si="1"/>
        <v>78.955166955349654</v>
      </c>
      <c r="V101" s="27">
        <f t="shared" si="1"/>
        <v>77.476365299999998</v>
      </c>
      <c r="W101" s="27">
        <f t="shared" si="1"/>
        <v>78.876925939518543</v>
      </c>
      <c r="X101" s="27">
        <f t="shared" si="1"/>
        <v>75.616620429875596</v>
      </c>
      <c r="Y101" s="27">
        <f t="shared" si="1"/>
        <v>78.878620593199201</v>
      </c>
      <c r="Z101" s="27">
        <f t="shared" si="1"/>
        <v>71.201505240000003</v>
      </c>
    </row>
    <row r="102" spans="3:30">
      <c r="C102" s="3" t="s">
        <v>73</v>
      </c>
      <c r="F102" s="27">
        <f t="shared" ref="F102:Z102" si="2">_xlfn.PERCENTILE.INC(F2:F98,0.75)</f>
        <v>144.2629568959442</v>
      </c>
      <c r="G102" s="27">
        <f t="shared" si="2"/>
        <v>157.57140000000001</v>
      </c>
      <c r="H102" s="27">
        <f t="shared" si="2"/>
        <v>167.27748048305509</v>
      </c>
      <c r="I102" s="27">
        <f t="shared" si="2"/>
        <v>166.81631692498925</v>
      </c>
      <c r="J102" s="27">
        <f t="shared" si="2"/>
        <v>163.66640000000001</v>
      </c>
      <c r="K102" s="27">
        <f t="shared" si="2"/>
        <v>156.4068</v>
      </c>
      <c r="L102" s="27">
        <f t="shared" si="2"/>
        <v>151.804536828903</v>
      </c>
      <c r="M102" s="27">
        <f t="shared" si="2"/>
        <v>148.36279999999999</v>
      </c>
      <c r="N102" s="27">
        <f t="shared" si="2"/>
        <v>149.4479</v>
      </c>
      <c r="O102" s="27">
        <f t="shared" si="2"/>
        <v>147.94990000000001</v>
      </c>
      <c r="P102" s="27">
        <f t="shared" si="2"/>
        <v>145.14349999999999</v>
      </c>
      <c r="Q102" s="27">
        <f t="shared" si="2"/>
        <v>146.09450000000001</v>
      </c>
      <c r="R102" s="27">
        <f t="shared" si="2"/>
        <v>146.1919</v>
      </c>
      <c r="S102" s="27">
        <f t="shared" si="2"/>
        <v>142.78774999999999</v>
      </c>
      <c r="T102" s="27">
        <f t="shared" si="2"/>
        <v>143.65770000000001</v>
      </c>
      <c r="U102" s="27">
        <f t="shared" si="2"/>
        <v>150.439425</v>
      </c>
      <c r="V102" s="27">
        <f t="shared" si="2"/>
        <v>136.7295</v>
      </c>
      <c r="W102" s="27">
        <f t="shared" si="2"/>
        <v>157.32852499999998</v>
      </c>
      <c r="X102" s="27">
        <f t="shared" si="2"/>
        <v>130.45727527141571</v>
      </c>
      <c r="Y102" s="27">
        <f t="shared" si="2"/>
        <v>162.20657499999999</v>
      </c>
      <c r="Z102" s="27">
        <f t="shared" si="2"/>
        <v>122.3856</v>
      </c>
    </row>
    <row r="104" spans="3:30">
      <c r="F104" s="27">
        <f>MAX(F$2:F$98)</f>
        <v>146.12733285617799</v>
      </c>
      <c r="G104" s="27">
        <f t="shared" ref="G104:AD104" si="3">MAX(G$2:G$98)</f>
        <v>167.67169999999999</v>
      </c>
      <c r="H104" s="27">
        <f t="shared" si="3"/>
        <v>181.8365</v>
      </c>
      <c r="I104" s="27">
        <f t="shared" si="3"/>
        <v>203.04429999999999</v>
      </c>
      <c r="J104" s="27">
        <f t="shared" si="3"/>
        <v>217.7527</v>
      </c>
      <c r="K104" s="27">
        <f t="shared" si="3"/>
        <v>195.8921</v>
      </c>
      <c r="L104" s="27">
        <f t="shared" si="3"/>
        <v>196.09469999999999</v>
      </c>
      <c r="M104" s="27">
        <f t="shared" si="3"/>
        <v>191.5795</v>
      </c>
      <c r="N104" s="27">
        <f t="shared" si="3"/>
        <v>187.8169</v>
      </c>
      <c r="O104" s="27">
        <f t="shared" si="3"/>
        <v>185.61529999999999</v>
      </c>
      <c r="P104" s="27">
        <f t="shared" si="3"/>
        <v>181.12180000000001</v>
      </c>
      <c r="Q104" s="27">
        <f t="shared" si="3"/>
        <v>186.783723979532</v>
      </c>
      <c r="R104" s="27">
        <f t="shared" si="3"/>
        <v>191.961996465417</v>
      </c>
      <c r="S104" s="27">
        <f t="shared" si="3"/>
        <v>197.27138020843199</v>
      </c>
      <c r="T104" s="27">
        <f t="shared" si="3"/>
        <v>202.81363152059001</v>
      </c>
      <c r="U104" s="27">
        <f t="shared" si="3"/>
        <v>207.90022077172799</v>
      </c>
      <c r="V104" s="27">
        <f t="shared" si="3"/>
        <v>212.243196027669</v>
      </c>
      <c r="W104" s="27">
        <f t="shared" si="3"/>
        <v>216.214007678744</v>
      </c>
      <c r="X104" s="27">
        <f t="shared" si="3"/>
        <v>219.464860361798</v>
      </c>
      <c r="Y104" s="27">
        <f t="shared" si="3"/>
        <v>221.87872985684399</v>
      </c>
      <c r="Z104" s="27">
        <f t="shared" si="3"/>
        <v>223.605806611888</v>
      </c>
      <c r="AA104" s="27">
        <f t="shared" si="3"/>
        <v>0</v>
      </c>
      <c r="AB104" s="27">
        <f t="shared" si="3"/>
        <v>0</v>
      </c>
      <c r="AC104" s="27">
        <f t="shared" si="3"/>
        <v>0</v>
      </c>
      <c r="AD104" s="27">
        <f t="shared" si="3"/>
        <v>0</v>
      </c>
    </row>
    <row r="105" spans="3:30">
      <c r="F105" s="27">
        <f>MEDIAN(F$2:F$98)</f>
        <v>144.2629568959442</v>
      </c>
      <c r="G105" s="27">
        <f t="shared" ref="G105:AD105" si="4">MEDIAN(G$2:G$98)</f>
        <v>146.31438781285701</v>
      </c>
      <c r="H105" s="27">
        <f t="shared" si="4"/>
        <v>148.36183193616341</v>
      </c>
      <c r="I105" s="27">
        <f t="shared" si="4"/>
        <v>150.745</v>
      </c>
      <c r="J105" s="27">
        <f t="shared" si="4"/>
        <v>162.42509999999999</v>
      </c>
      <c r="K105" s="27">
        <f t="shared" si="4"/>
        <v>143.04920000000001</v>
      </c>
      <c r="L105" s="27">
        <f t="shared" si="4"/>
        <v>143.12870000000001</v>
      </c>
      <c r="M105" s="27">
        <f t="shared" si="4"/>
        <v>144.50744171440601</v>
      </c>
      <c r="N105" s="27">
        <f t="shared" si="4"/>
        <v>138.54451844096181</v>
      </c>
      <c r="O105" s="27">
        <f t="shared" si="4"/>
        <v>141.43294987530189</v>
      </c>
      <c r="P105" s="27">
        <f t="shared" si="4"/>
        <v>127.77412854135039</v>
      </c>
      <c r="Q105" s="27">
        <f t="shared" si="4"/>
        <v>144.86950000000002</v>
      </c>
      <c r="R105" s="27">
        <f t="shared" si="4"/>
        <v>130.86054340004921</v>
      </c>
      <c r="S105" s="27">
        <f t="shared" si="4"/>
        <v>101.46331354908943</v>
      </c>
      <c r="T105" s="27">
        <f t="shared" si="4"/>
        <v>131.19359555840489</v>
      </c>
      <c r="U105" s="27">
        <f t="shared" si="4"/>
        <v>102.9321516924858</v>
      </c>
      <c r="V105" s="27">
        <f t="shared" si="4"/>
        <v>132.23177498579031</v>
      </c>
      <c r="W105" s="27">
        <f t="shared" si="4"/>
        <v>100.46257375327946</v>
      </c>
      <c r="X105" s="27">
        <f t="shared" si="4"/>
        <v>126.3449</v>
      </c>
      <c r="Y105" s="27">
        <f t="shared" si="4"/>
        <v>100.39773962645531</v>
      </c>
      <c r="Z105" s="27">
        <f t="shared" si="4"/>
        <v>121.6367</v>
      </c>
      <c r="AA105" s="27" t="e">
        <f t="shared" si="4"/>
        <v>#NUM!</v>
      </c>
      <c r="AB105" s="27" t="e">
        <f t="shared" si="4"/>
        <v>#NUM!</v>
      </c>
      <c r="AC105" s="27" t="e">
        <f t="shared" si="4"/>
        <v>#NUM!</v>
      </c>
      <c r="AD105" s="27" t="e">
        <f t="shared" si="4"/>
        <v>#NUM!</v>
      </c>
    </row>
    <row r="106" spans="3:30">
      <c r="F106" s="27">
        <f>MIN(F$2:F$98)</f>
        <v>144.2629568959442</v>
      </c>
      <c r="G106" s="27">
        <f t="shared" ref="G106:AD106" si="5">MIN(G$2:G$98)</f>
        <v>133.17920000000001</v>
      </c>
      <c r="H106" s="27">
        <f t="shared" si="5"/>
        <v>130.125541</v>
      </c>
      <c r="I106" s="27">
        <f t="shared" si="5"/>
        <v>134.86978999999999</v>
      </c>
      <c r="J106" s="27">
        <f t="shared" si="5"/>
        <v>142.542472</v>
      </c>
      <c r="K106" s="27">
        <f t="shared" si="5"/>
        <v>91.119621923956956</v>
      </c>
      <c r="L106" s="27">
        <f t="shared" si="5"/>
        <v>85.938408483054602</v>
      </c>
      <c r="M106" s="27">
        <f t="shared" si="5"/>
        <v>79.904854728477702</v>
      </c>
      <c r="N106" s="27">
        <f t="shared" si="5"/>
        <v>67.049300000000002</v>
      </c>
      <c r="O106" s="27">
        <f t="shared" si="5"/>
        <v>49.030099999999997</v>
      </c>
      <c r="P106" s="27">
        <f t="shared" si="5"/>
        <v>32.830800000000004</v>
      </c>
      <c r="Q106" s="27">
        <f t="shared" si="5"/>
        <v>31.818999999999999</v>
      </c>
      <c r="R106" s="27">
        <f t="shared" si="5"/>
        <v>30.730699999999999</v>
      </c>
      <c r="S106" s="27">
        <f t="shared" si="5"/>
        <v>77.616203694641285</v>
      </c>
      <c r="T106" s="27">
        <f t="shared" si="5"/>
        <v>28.313600000000001</v>
      </c>
      <c r="U106" s="27">
        <f t="shared" si="5"/>
        <v>75.076662547886372</v>
      </c>
      <c r="V106" s="27">
        <f t="shared" si="5"/>
        <v>25.5794</v>
      </c>
      <c r="W106" s="27">
        <f t="shared" si="5"/>
        <v>70.741445504128933</v>
      </c>
      <c r="X106" s="27">
        <f t="shared" si="5"/>
        <v>22.679099999999998</v>
      </c>
      <c r="Y106" s="27">
        <f t="shared" si="5"/>
        <v>65.835408054292202</v>
      </c>
      <c r="Z106" s="27">
        <f t="shared" si="5"/>
        <v>19.5533</v>
      </c>
      <c r="AA106" s="27">
        <f t="shared" si="5"/>
        <v>0</v>
      </c>
      <c r="AB106" s="27">
        <f t="shared" si="5"/>
        <v>0</v>
      </c>
      <c r="AC106" s="27">
        <f t="shared" si="5"/>
        <v>0</v>
      </c>
      <c r="AD106" s="27">
        <f t="shared" si="5"/>
        <v>0</v>
      </c>
    </row>
  </sheetData>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FEF8DC-C872-47A4-940C-88AC51149CB0}">
  <sheetPr codeName="Sheet37">
    <tabColor theme="7" tint="0.79998168889431442"/>
  </sheetPr>
  <dimension ref="A1:AD106"/>
  <sheetViews>
    <sheetView workbookViewId="0">
      <pane ySplit="1" topLeftCell="A77" activePane="bottomLeft" state="frozen"/>
      <selection pane="bottomLeft" activeCell="K94" sqref="K94"/>
      <selection activeCell="P95" sqref="P95"/>
    </sheetView>
  </sheetViews>
  <sheetFormatPr defaultColWidth="9.140625" defaultRowHeight="15.75"/>
  <cols>
    <col min="1" max="16384" width="9.140625" style="27"/>
  </cols>
  <sheetData>
    <row r="1" spans="1:25">
      <c r="A1" s="27" t="s">
        <v>193</v>
      </c>
      <c r="B1" s="27" t="s">
        <v>194</v>
      </c>
      <c r="C1" s="27" t="s">
        <v>195</v>
      </c>
      <c r="D1" s="27" t="s">
        <v>64</v>
      </c>
      <c r="E1" s="27" t="s">
        <v>65</v>
      </c>
      <c r="F1" s="27">
        <v>2005</v>
      </c>
      <c r="G1" s="27">
        <v>2010</v>
      </c>
      <c r="H1" s="27">
        <v>2015</v>
      </c>
      <c r="I1" s="27">
        <v>2020</v>
      </c>
      <c r="J1" s="27">
        <v>2025</v>
      </c>
      <c r="K1" s="27">
        <v>2030</v>
      </c>
      <c r="L1" s="27">
        <v>2035</v>
      </c>
      <c r="M1" s="27">
        <v>2040</v>
      </c>
      <c r="N1" s="27">
        <v>2045</v>
      </c>
      <c r="O1" s="27">
        <v>2050</v>
      </c>
      <c r="P1" s="27">
        <v>2055</v>
      </c>
      <c r="Q1" s="27">
        <v>2060</v>
      </c>
      <c r="R1" s="27">
        <v>2065</v>
      </c>
      <c r="S1" s="27">
        <v>2070</v>
      </c>
      <c r="T1" s="27">
        <v>2075</v>
      </c>
      <c r="U1" s="27">
        <v>2080</v>
      </c>
      <c r="V1" s="27">
        <v>2085</v>
      </c>
      <c r="W1" s="27">
        <v>2090</v>
      </c>
      <c r="X1" s="27">
        <v>2095</v>
      </c>
      <c r="Y1" s="27">
        <v>2100</v>
      </c>
    </row>
    <row r="2" spans="1:25">
      <c r="A2" s="27" t="s">
        <v>203</v>
      </c>
      <c r="B2" s="27" t="s">
        <v>204</v>
      </c>
      <c r="C2" s="27" t="s">
        <v>198</v>
      </c>
      <c r="D2" s="27" t="s">
        <v>1158</v>
      </c>
      <c r="E2" s="27" t="s">
        <v>71</v>
      </c>
      <c r="F2" s="27">
        <v>58.443800000000003</v>
      </c>
      <c r="G2" s="27">
        <v>59.141199999999998</v>
      </c>
      <c r="H2" s="27">
        <v>61.145899999999997</v>
      </c>
      <c r="I2" s="27">
        <v>59.4024</v>
      </c>
      <c r="J2" s="27">
        <v>46.751800000000003</v>
      </c>
      <c r="K2" s="27">
        <v>31.480899999999998</v>
      </c>
      <c r="L2" s="27">
        <v>26.054099999999998</v>
      </c>
      <c r="M2" s="27">
        <v>23.843900000000001</v>
      </c>
      <c r="N2" s="27">
        <v>21.442499999999999</v>
      </c>
      <c r="O2" s="27">
        <v>18.642099999999999</v>
      </c>
      <c r="P2" s="27">
        <v>18.756599999999999</v>
      </c>
      <c r="Q2" s="27">
        <v>18.778500000000001</v>
      </c>
      <c r="R2" s="27" t="s">
        <v>200</v>
      </c>
      <c r="S2" s="27">
        <v>18.577100000000002</v>
      </c>
      <c r="T2" s="27" t="s">
        <v>200</v>
      </c>
      <c r="U2" s="27">
        <v>18.0335</v>
      </c>
      <c r="V2" s="27" t="s">
        <v>200</v>
      </c>
      <c r="W2" s="27">
        <v>17.2072</v>
      </c>
      <c r="X2" s="27" t="s">
        <v>200</v>
      </c>
      <c r="Y2" s="27">
        <v>16.1722</v>
      </c>
    </row>
    <row r="3" spans="1:25">
      <c r="A3" s="27" t="s">
        <v>209</v>
      </c>
      <c r="B3" s="27" t="s">
        <v>210</v>
      </c>
      <c r="C3" s="27" t="s">
        <v>198</v>
      </c>
      <c r="D3" s="27" t="s">
        <v>1158</v>
      </c>
      <c r="E3" s="27" t="s">
        <v>71</v>
      </c>
      <c r="F3" s="27" t="s">
        <v>200</v>
      </c>
      <c r="G3" s="27">
        <v>63.0625</v>
      </c>
      <c r="H3" s="27">
        <v>69.322199999999995</v>
      </c>
      <c r="I3" s="27">
        <v>75.492300000000014</v>
      </c>
      <c r="J3" s="27">
        <v>40.818399999999997</v>
      </c>
      <c r="K3" s="27">
        <v>31.906600000000001</v>
      </c>
      <c r="L3" s="27">
        <v>23.236799999999999</v>
      </c>
      <c r="M3" s="27">
        <v>17.279399999999999</v>
      </c>
      <c r="N3" s="27">
        <v>14.2407</v>
      </c>
      <c r="O3" s="27">
        <v>12.7447</v>
      </c>
      <c r="P3" s="27">
        <v>12.5511</v>
      </c>
      <c r="Q3" s="27">
        <v>10.9533</v>
      </c>
      <c r="R3" s="27">
        <v>9.8556000000000008</v>
      </c>
      <c r="S3" s="27">
        <v>10.1469</v>
      </c>
      <c r="T3" s="27">
        <v>10.3698</v>
      </c>
      <c r="U3" s="27">
        <v>10.0008</v>
      </c>
      <c r="V3" s="27">
        <v>10.0783</v>
      </c>
      <c r="W3" s="27">
        <v>10.201499999999999</v>
      </c>
      <c r="X3" s="27">
        <v>10.300700000000001</v>
      </c>
      <c r="Y3" s="27">
        <v>10.3689</v>
      </c>
    </row>
    <row r="4" spans="1:25">
      <c r="A4" s="27" t="s">
        <v>196</v>
      </c>
      <c r="B4" s="27" t="s">
        <v>213</v>
      </c>
      <c r="C4" s="27" t="s">
        <v>198</v>
      </c>
      <c r="D4" s="27" t="s">
        <v>1158</v>
      </c>
      <c r="E4" s="27" t="s">
        <v>71</v>
      </c>
      <c r="F4" s="27">
        <v>58.443800000000003</v>
      </c>
      <c r="G4" s="27">
        <v>59.141199999999998</v>
      </c>
      <c r="H4" s="27">
        <v>61.145899999999997</v>
      </c>
      <c r="I4" s="27">
        <v>59.4998</v>
      </c>
      <c r="J4" s="27">
        <v>49.034799999999997</v>
      </c>
      <c r="K4" s="27">
        <v>41.279299999999999</v>
      </c>
      <c r="L4" s="27">
        <v>34.578800000000001</v>
      </c>
      <c r="M4" s="27">
        <v>27.427199999999999</v>
      </c>
      <c r="N4" s="27">
        <v>21.959299999999999</v>
      </c>
      <c r="O4" s="27">
        <v>18.8032</v>
      </c>
      <c r="P4" s="27">
        <v>18.834299999999999</v>
      </c>
      <c r="Q4" s="27">
        <v>18.7407</v>
      </c>
      <c r="R4" s="27" t="s">
        <v>200</v>
      </c>
      <c r="S4" s="27">
        <v>18.228400000000001</v>
      </c>
      <c r="T4" s="27" t="s">
        <v>200</v>
      </c>
      <c r="U4" s="27">
        <v>17.302199999999999</v>
      </c>
      <c r="V4" s="27" t="s">
        <v>200</v>
      </c>
      <c r="W4" s="27">
        <v>16.069700000000001</v>
      </c>
      <c r="X4" s="27" t="s">
        <v>200</v>
      </c>
      <c r="Y4" s="27">
        <v>14.639799999999999</v>
      </c>
    </row>
    <row r="5" spans="1:25">
      <c r="A5" s="27" t="s">
        <v>222</v>
      </c>
      <c r="B5" s="27" t="s">
        <v>223</v>
      </c>
      <c r="C5" s="27" t="s">
        <v>198</v>
      </c>
      <c r="D5" s="27" t="s">
        <v>1158</v>
      </c>
      <c r="E5" s="27" t="s">
        <v>71</v>
      </c>
      <c r="F5" s="27">
        <v>58.443800000000003</v>
      </c>
      <c r="G5" s="27">
        <v>59.141199999999998</v>
      </c>
      <c r="H5" s="27">
        <v>61.145899999999997</v>
      </c>
      <c r="I5" s="27">
        <v>62.684199999999997</v>
      </c>
      <c r="J5" s="27">
        <v>54.550400000000003</v>
      </c>
      <c r="K5" s="27">
        <v>37.684800000000003</v>
      </c>
      <c r="L5" s="27">
        <v>27.351800000000001</v>
      </c>
      <c r="M5" s="27">
        <v>23.843900000000001</v>
      </c>
      <c r="N5" s="27">
        <v>21.442499999999999</v>
      </c>
      <c r="O5" s="27">
        <v>18.642099999999999</v>
      </c>
      <c r="P5" s="27">
        <v>18.756599999999999</v>
      </c>
      <c r="Q5" s="27">
        <v>18.778500000000001</v>
      </c>
      <c r="R5" s="27" t="s">
        <v>200</v>
      </c>
      <c r="S5" s="27">
        <v>18.577100000000002</v>
      </c>
      <c r="T5" s="27" t="s">
        <v>200</v>
      </c>
      <c r="U5" s="27">
        <v>18.0335</v>
      </c>
      <c r="V5" s="27" t="s">
        <v>200</v>
      </c>
      <c r="W5" s="27">
        <v>17.2072</v>
      </c>
      <c r="X5" s="27" t="s">
        <v>200</v>
      </c>
      <c r="Y5" s="27">
        <v>16.1722</v>
      </c>
    </row>
    <row r="6" spans="1:25">
      <c r="A6" s="27" t="s">
        <v>203</v>
      </c>
      <c r="B6" s="27" t="s">
        <v>249</v>
      </c>
      <c r="C6" s="27" t="s">
        <v>198</v>
      </c>
      <c r="D6" s="27" t="s">
        <v>1158</v>
      </c>
      <c r="E6" s="27" t="s">
        <v>71</v>
      </c>
      <c r="F6" s="27">
        <v>58.443800000000003</v>
      </c>
      <c r="G6" s="27">
        <v>59.141199999999998</v>
      </c>
      <c r="H6" s="27">
        <v>61.145899999999997</v>
      </c>
      <c r="I6" s="27">
        <v>59.4024</v>
      </c>
      <c r="J6" s="27">
        <v>46.870699999999999</v>
      </c>
      <c r="K6" s="27">
        <v>31.480899999999998</v>
      </c>
      <c r="L6" s="27">
        <v>26.054099999999998</v>
      </c>
      <c r="M6" s="27">
        <v>23.843900000000001</v>
      </c>
      <c r="N6" s="27">
        <v>21.442499999999999</v>
      </c>
      <c r="O6" s="27">
        <v>18.642099999999999</v>
      </c>
      <c r="P6" s="27">
        <v>18.756599999999999</v>
      </c>
      <c r="Q6" s="27">
        <v>18.778500000000001</v>
      </c>
      <c r="R6" s="27" t="s">
        <v>200</v>
      </c>
      <c r="S6" s="27">
        <v>18.577100000000002</v>
      </c>
      <c r="T6" s="27" t="s">
        <v>200</v>
      </c>
      <c r="U6" s="27">
        <v>18.0335</v>
      </c>
      <c r="V6" s="27" t="s">
        <v>200</v>
      </c>
      <c r="W6" s="27">
        <v>27.041599999999999</v>
      </c>
      <c r="X6" s="27" t="s">
        <v>200</v>
      </c>
      <c r="Y6" s="27">
        <v>16.792100000000001</v>
      </c>
    </row>
    <row r="7" spans="1:25">
      <c r="A7" s="27" t="s">
        <v>196</v>
      </c>
      <c r="B7" s="27" t="s">
        <v>250</v>
      </c>
      <c r="C7" s="27" t="s">
        <v>198</v>
      </c>
      <c r="D7" s="27" t="s">
        <v>1158</v>
      </c>
      <c r="E7" s="27" t="s">
        <v>71</v>
      </c>
      <c r="F7" s="27">
        <v>58.443800000000003</v>
      </c>
      <c r="G7" s="27">
        <v>59.141199999999998</v>
      </c>
      <c r="H7" s="27">
        <v>61.145899999999997</v>
      </c>
      <c r="I7" s="27">
        <v>59.303699999999999</v>
      </c>
      <c r="J7" s="27">
        <v>49.645899999999997</v>
      </c>
      <c r="K7" s="27">
        <v>36.731900000000003</v>
      </c>
      <c r="L7" s="27">
        <v>27.2958</v>
      </c>
      <c r="M7" s="27">
        <v>23.843900000000001</v>
      </c>
      <c r="N7" s="27">
        <v>21.442499999999999</v>
      </c>
      <c r="O7" s="27">
        <v>18.642099999999999</v>
      </c>
      <c r="P7" s="27">
        <v>18.756599999999999</v>
      </c>
      <c r="Q7" s="27">
        <v>18.778500000000001</v>
      </c>
      <c r="R7" s="27" t="s">
        <v>200</v>
      </c>
      <c r="S7" s="27">
        <v>18.577100000000002</v>
      </c>
      <c r="T7" s="27" t="s">
        <v>200</v>
      </c>
      <c r="U7" s="27">
        <v>18.0335</v>
      </c>
      <c r="V7" s="27" t="s">
        <v>200</v>
      </c>
      <c r="W7" s="27">
        <v>17.2072</v>
      </c>
      <c r="X7" s="27" t="s">
        <v>200</v>
      </c>
      <c r="Y7" s="27">
        <v>16.1722</v>
      </c>
    </row>
    <row r="8" spans="1:25">
      <c r="A8" s="27" t="s">
        <v>203</v>
      </c>
      <c r="B8" s="27" t="s">
        <v>251</v>
      </c>
      <c r="C8" s="27" t="s">
        <v>198</v>
      </c>
      <c r="D8" s="27" t="s">
        <v>1158</v>
      </c>
      <c r="E8" s="27" t="s">
        <v>71</v>
      </c>
      <c r="F8" s="27">
        <v>58.443800000000003</v>
      </c>
      <c r="G8" s="27">
        <v>59.141199999999998</v>
      </c>
      <c r="H8" s="27">
        <v>61.145899999999997</v>
      </c>
      <c r="I8" s="27">
        <v>59.4024</v>
      </c>
      <c r="J8" s="27">
        <v>46.751800000000003</v>
      </c>
      <c r="K8" s="27">
        <v>31.480899999999998</v>
      </c>
      <c r="L8" s="27">
        <v>26.054099999999998</v>
      </c>
      <c r="M8" s="27">
        <v>23.843900000000001</v>
      </c>
      <c r="N8" s="27">
        <v>21.442499999999999</v>
      </c>
      <c r="O8" s="27">
        <v>18.642099999999999</v>
      </c>
      <c r="P8" s="27">
        <v>18.756599999999999</v>
      </c>
      <c r="Q8" s="27">
        <v>18.778500000000001</v>
      </c>
      <c r="R8" s="27" t="s">
        <v>200</v>
      </c>
      <c r="S8" s="27">
        <v>18.577100000000002</v>
      </c>
      <c r="T8" s="27" t="s">
        <v>200</v>
      </c>
      <c r="U8" s="27">
        <v>18.0335</v>
      </c>
      <c r="V8" s="27" t="s">
        <v>200</v>
      </c>
      <c r="W8" s="27">
        <v>17.2072</v>
      </c>
      <c r="X8" s="27" t="s">
        <v>200</v>
      </c>
      <c r="Y8" s="27">
        <v>16.1722</v>
      </c>
    </row>
    <row r="9" spans="1:25">
      <c r="A9" s="27" t="s">
        <v>261</v>
      </c>
      <c r="B9" s="27" t="s">
        <v>262</v>
      </c>
      <c r="C9" s="27" t="s">
        <v>198</v>
      </c>
      <c r="D9" s="27" t="s">
        <v>1158</v>
      </c>
      <c r="E9" s="27" t="s">
        <v>71</v>
      </c>
      <c r="F9" s="27">
        <v>52.073451995849609</v>
      </c>
      <c r="G9" s="27">
        <v>55.955156326293952</v>
      </c>
      <c r="H9" s="27">
        <v>60.152853012084961</v>
      </c>
      <c r="I9" s="27">
        <v>61.476007461547852</v>
      </c>
      <c r="J9" s="27">
        <v>59.13361930847168</v>
      </c>
      <c r="K9" s="27">
        <v>52.329458236694343</v>
      </c>
      <c r="L9" s="27">
        <v>43.206138610839837</v>
      </c>
      <c r="M9" s="27">
        <v>36.339552879333503</v>
      </c>
      <c r="N9" s="27">
        <v>33.773165702819817</v>
      </c>
      <c r="O9" s="27">
        <v>31.334844589233398</v>
      </c>
      <c r="P9" s="27">
        <v>30.229912757873539</v>
      </c>
      <c r="Q9" s="27">
        <v>28.95070648193359</v>
      </c>
      <c r="R9" s="27">
        <v>27.324554443359379</v>
      </c>
      <c r="S9" s="27">
        <v>25.73459434509277</v>
      </c>
      <c r="T9" s="27">
        <v>24.00124549865723</v>
      </c>
      <c r="U9" s="27">
        <v>21.9921989440918</v>
      </c>
      <c r="V9" s="27">
        <v>20.051420211791989</v>
      </c>
      <c r="W9" s="27">
        <v>18.048462390899662</v>
      </c>
      <c r="X9" s="27">
        <v>15.79913377761841</v>
      </c>
      <c r="Y9" s="27">
        <v>13.685167551040649</v>
      </c>
    </row>
    <row r="10" spans="1:25">
      <c r="A10" s="27" t="s">
        <v>196</v>
      </c>
      <c r="B10" s="27" t="s">
        <v>264</v>
      </c>
      <c r="C10" s="27" t="s">
        <v>198</v>
      </c>
      <c r="D10" s="27" t="s">
        <v>1158</v>
      </c>
      <c r="E10" s="27" t="s">
        <v>71</v>
      </c>
      <c r="F10" s="27">
        <v>58.443800000000003</v>
      </c>
      <c r="G10" s="27">
        <v>59.141199999999998</v>
      </c>
      <c r="H10" s="27">
        <v>61.145899999999997</v>
      </c>
      <c r="I10" s="27">
        <v>59.328600000000002</v>
      </c>
      <c r="J10" s="27">
        <v>50.999099999999999</v>
      </c>
      <c r="K10" s="27">
        <v>37.080599999999997</v>
      </c>
      <c r="L10" s="27">
        <v>27.738900000000001</v>
      </c>
      <c r="M10" s="27">
        <v>24.0275</v>
      </c>
      <c r="N10" s="27">
        <v>21.6386</v>
      </c>
      <c r="O10" s="27">
        <v>18.8032</v>
      </c>
      <c r="P10" s="27">
        <v>18.834299999999999</v>
      </c>
      <c r="Q10" s="27">
        <v>18.7407</v>
      </c>
      <c r="R10" s="27" t="s">
        <v>200</v>
      </c>
      <c r="S10" s="27">
        <v>18.228400000000001</v>
      </c>
      <c r="T10" s="27" t="s">
        <v>200</v>
      </c>
      <c r="U10" s="27">
        <v>17.302199999999999</v>
      </c>
      <c r="V10" s="27" t="s">
        <v>200</v>
      </c>
      <c r="W10" s="27">
        <v>16.069700000000001</v>
      </c>
      <c r="X10" s="27" t="s">
        <v>200</v>
      </c>
      <c r="Y10" s="27">
        <v>14.639799999999999</v>
      </c>
    </row>
    <row r="11" spans="1:25">
      <c r="A11" s="27" t="s">
        <v>222</v>
      </c>
      <c r="B11" s="27" t="s">
        <v>269</v>
      </c>
      <c r="C11" s="27" t="s">
        <v>198</v>
      </c>
      <c r="D11" s="27" t="s">
        <v>1158</v>
      </c>
      <c r="E11" s="27" t="s">
        <v>71</v>
      </c>
      <c r="F11" s="27">
        <v>58.443800000000003</v>
      </c>
      <c r="G11" s="27">
        <v>59.141199999999998</v>
      </c>
      <c r="H11" s="27">
        <v>61.145899999999997</v>
      </c>
      <c r="I11" s="27">
        <v>62.684199999999997</v>
      </c>
      <c r="J11" s="27">
        <v>54.589100000000002</v>
      </c>
      <c r="K11" s="27">
        <v>39.030200000000001</v>
      </c>
      <c r="L11" s="27">
        <v>29.301200000000001</v>
      </c>
      <c r="M11" s="27">
        <v>24.575099999999999</v>
      </c>
      <c r="N11" s="27">
        <v>21.442499999999999</v>
      </c>
      <c r="O11" s="27">
        <v>18.642099999999999</v>
      </c>
      <c r="P11" s="27">
        <v>18.756599999999999</v>
      </c>
      <c r="Q11" s="27">
        <v>18.778500000000001</v>
      </c>
      <c r="R11" s="27" t="s">
        <v>200</v>
      </c>
      <c r="S11" s="27">
        <v>18.577100000000002</v>
      </c>
      <c r="T11" s="27" t="s">
        <v>200</v>
      </c>
      <c r="U11" s="27">
        <v>18.0335</v>
      </c>
      <c r="V11" s="27" t="s">
        <v>200</v>
      </c>
      <c r="W11" s="27">
        <v>17.2072</v>
      </c>
      <c r="X11" s="27" t="s">
        <v>200</v>
      </c>
      <c r="Y11" s="27">
        <v>16.1722</v>
      </c>
    </row>
    <row r="12" spans="1:25">
      <c r="A12" s="27" t="s">
        <v>196</v>
      </c>
      <c r="B12" s="27" t="s">
        <v>275</v>
      </c>
      <c r="C12" s="27" t="s">
        <v>198</v>
      </c>
      <c r="D12" s="27" t="s">
        <v>1158</v>
      </c>
      <c r="E12" s="27" t="s">
        <v>71</v>
      </c>
      <c r="F12" s="27">
        <v>58.443800000000003</v>
      </c>
      <c r="G12" s="27">
        <v>59.141199999999998</v>
      </c>
      <c r="H12" s="27">
        <v>61.145899999999997</v>
      </c>
      <c r="I12" s="27">
        <v>59.4998</v>
      </c>
      <c r="J12" s="27">
        <v>47.6374</v>
      </c>
      <c r="K12" s="27">
        <v>36.075800000000001</v>
      </c>
      <c r="L12" s="27">
        <v>27.703900000000001</v>
      </c>
      <c r="M12" s="27">
        <v>23.843900000000001</v>
      </c>
      <c r="N12" s="27">
        <v>21.442499999999999</v>
      </c>
      <c r="O12" s="27">
        <v>18.642099999999999</v>
      </c>
      <c r="P12" s="27">
        <v>18.756599999999999</v>
      </c>
      <c r="Q12" s="27">
        <v>18.778500000000001</v>
      </c>
      <c r="R12" s="27" t="s">
        <v>200</v>
      </c>
      <c r="S12" s="27">
        <v>18.577100000000002</v>
      </c>
      <c r="T12" s="27" t="s">
        <v>200</v>
      </c>
      <c r="U12" s="27">
        <v>18.0335</v>
      </c>
      <c r="V12" s="27" t="s">
        <v>200</v>
      </c>
      <c r="W12" s="27">
        <v>17.2072</v>
      </c>
      <c r="X12" s="27" t="s">
        <v>200</v>
      </c>
      <c r="Y12" s="27">
        <v>16.1722</v>
      </c>
    </row>
    <row r="13" spans="1:25">
      <c r="A13" s="27" t="s">
        <v>261</v>
      </c>
      <c r="B13" s="27" t="s">
        <v>276</v>
      </c>
      <c r="C13" s="27" t="s">
        <v>198</v>
      </c>
      <c r="D13" s="27" t="s">
        <v>1158</v>
      </c>
      <c r="E13" s="27" t="s">
        <v>71</v>
      </c>
      <c r="F13" s="27">
        <v>52.073451995849609</v>
      </c>
      <c r="G13" s="27">
        <v>55.955156326293952</v>
      </c>
      <c r="H13" s="27">
        <v>60.152853012084961</v>
      </c>
      <c r="I13" s="27">
        <v>61.476007461547852</v>
      </c>
      <c r="J13" s="27">
        <v>58.847841262817383</v>
      </c>
      <c r="K13" s="27">
        <v>52.121267318725593</v>
      </c>
      <c r="L13" s="27">
        <v>43.000062942504883</v>
      </c>
      <c r="M13" s="27">
        <v>36.312766075134277</v>
      </c>
      <c r="N13" s="27">
        <v>33.773165702819817</v>
      </c>
      <c r="O13" s="27">
        <v>31.334844589233398</v>
      </c>
      <c r="P13" s="27">
        <v>30.229912757873539</v>
      </c>
      <c r="Q13" s="27">
        <v>28.95070648193359</v>
      </c>
      <c r="R13" s="27">
        <v>27.324554443359379</v>
      </c>
      <c r="S13" s="27">
        <v>25.73459434509277</v>
      </c>
      <c r="T13" s="27">
        <v>24.00124549865723</v>
      </c>
      <c r="U13" s="27">
        <v>21.9921989440918</v>
      </c>
      <c r="V13" s="27">
        <v>20.051420211791989</v>
      </c>
      <c r="W13" s="27">
        <v>18.048462390899662</v>
      </c>
      <c r="X13" s="27">
        <v>15.79913377761841</v>
      </c>
      <c r="Y13" s="27">
        <v>13.685167551040649</v>
      </c>
    </row>
    <row r="14" spans="1:25">
      <c r="A14" s="27" t="s">
        <v>203</v>
      </c>
      <c r="B14" s="27" t="s">
        <v>277</v>
      </c>
      <c r="C14" s="27" t="s">
        <v>198</v>
      </c>
      <c r="D14" s="27" t="s">
        <v>1158</v>
      </c>
      <c r="E14" s="27" t="s">
        <v>71</v>
      </c>
      <c r="F14" s="27">
        <v>58.443800000000003</v>
      </c>
      <c r="G14" s="27">
        <v>59.141199999999998</v>
      </c>
      <c r="H14" s="27">
        <v>61.145899999999997</v>
      </c>
      <c r="I14" s="27">
        <v>59.4024</v>
      </c>
      <c r="J14" s="27">
        <v>46.751800000000003</v>
      </c>
      <c r="K14" s="27">
        <v>31.480899999999998</v>
      </c>
      <c r="L14" s="27">
        <v>26.054099999999998</v>
      </c>
      <c r="M14" s="27">
        <v>23.843900000000001</v>
      </c>
      <c r="N14" s="27">
        <v>21.442499999999999</v>
      </c>
      <c r="O14" s="27">
        <v>18.642099999999999</v>
      </c>
      <c r="P14" s="27">
        <v>18.756599999999999</v>
      </c>
      <c r="Q14" s="27">
        <v>18.778500000000001</v>
      </c>
      <c r="R14" s="27" t="s">
        <v>200</v>
      </c>
      <c r="S14" s="27">
        <v>18.577100000000002</v>
      </c>
      <c r="T14" s="27" t="s">
        <v>200</v>
      </c>
      <c r="U14" s="27">
        <v>18.0335</v>
      </c>
      <c r="V14" s="27" t="s">
        <v>200</v>
      </c>
      <c r="W14" s="27">
        <v>17.2072</v>
      </c>
      <c r="X14" s="27" t="s">
        <v>200</v>
      </c>
      <c r="Y14" s="27">
        <v>16.1722</v>
      </c>
    </row>
    <row r="15" spans="1:25">
      <c r="A15" s="27" t="s">
        <v>203</v>
      </c>
      <c r="B15" s="27" t="s">
        <v>278</v>
      </c>
      <c r="C15" s="27" t="s">
        <v>198</v>
      </c>
      <c r="D15" s="27" t="s">
        <v>1158</v>
      </c>
      <c r="E15" s="27" t="s">
        <v>71</v>
      </c>
      <c r="F15" s="27">
        <v>58.443800000000003</v>
      </c>
      <c r="G15" s="27">
        <v>59.141199999999998</v>
      </c>
      <c r="H15" s="27">
        <v>61.145899999999997</v>
      </c>
      <c r="I15" s="27">
        <v>59.4998</v>
      </c>
      <c r="J15" s="27">
        <v>46.789299999999997</v>
      </c>
      <c r="K15" s="27">
        <v>33.623899999999999</v>
      </c>
      <c r="L15" s="27">
        <v>27.5398</v>
      </c>
      <c r="M15" s="27">
        <v>25.4574</v>
      </c>
      <c r="N15" s="27">
        <v>23.334700000000002</v>
      </c>
      <c r="O15" s="27">
        <v>20.7209</v>
      </c>
      <c r="P15" s="27">
        <v>21.1631</v>
      </c>
      <c r="Q15" s="27">
        <v>21.515499999999999</v>
      </c>
      <c r="R15" s="27" t="s">
        <v>200</v>
      </c>
      <c r="S15" s="27">
        <v>22.0029</v>
      </c>
      <c r="T15" s="27" t="s">
        <v>200</v>
      </c>
      <c r="U15" s="27">
        <v>22.216899999999999</v>
      </c>
      <c r="V15" s="27" t="s">
        <v>200</v>
      </c>
      <c r="W15" s="27">
        <v>22.2241</v>
      </c>
      <c r="X15" s="27" t="s">
        <v>200</v>
      </c>
      <c r="Y15" s="27">
        <v>22.1097</v>
      </c>
    </row>
    <row r="16" spans="1:25">
      <c r="A16" s="27" t="s">
        <v>196</v>
      </c>
      <c r="B16" s="27" t="s">
        <v>279</v>
      </c>
      <c r="C16" s="27" t="s">
        <v>198</v>
      </c>
      <c r="D16" s="27" t="s">
        <v>1158</v>
      </c>
      <c r="E16" s="27" t="s">
        <v>71</v>
      </c>
      <c r="F16" s="27">
        <v>58.443800000000003</v>
      </c>
      <c r="G16" s="27">
        <v>59.141199999999998</v>
      </c>
      <c r="H16" s="27">
        <v>61.145899999999997</v>
      </c>
      <c r="I16" s="27">
        <v>59.4998</v>
      </c>
      <c r="J16" s="27">
        <v>47.3887</v>
      </c>
      <c r="K16" s="27">
        <v>36.030099999999997</v>
      </c>
      <c r="L16" s="27">
        <v>27.7637</v>
      </c>
      <c r="M16" s="27">
        <v>24.0275</v>
      </c>
      <c r="N16" s="27">
        <v>21.6386</v>
      </c>
      <c r="O16" s="27">
        <v>18.8032</v>
      </c>
      <c r="P16" s="27">
        <v>18.834299999999999</v>
      </c>
      <c r="Q16" s="27">
        <v>18.7407</v>
      </c>
      <c r="R16" s="27" t="s">
        <v>200</v>
      </c>
      <c r="S16" s="27">
        <v>18.228400000000001</v>
      </c>
      <c r="T16" s="27" t="s">
        <v>200</v>
      </c>
      <c r="U16" s="27">
        <v>17.302199999999999</v>
      </c>
      <c r="V16" s="27" t="s">
        <v>200</v>
      </c>
      <c r="W16" s="27">
        <v>16.069700000000001</v>
      </c>
      <c r="X16" s="27" t="s">
        <v>200</v>
      </c>
      <c r="Y16" s="27">
        <v>14.639799999999999</v>
      </c>
    </row>
    <row r="17" spans="1:25">
      <c r="A17" s="27" t="s">
        <v>203</v>
      </c>
      <c r="B17" s="27" t="s">
        <v>281</v>
      </c>
      <c r="C17" s="27" t="s">
        <v>198</v>
      </c>
      <c r="D17" s="27" t="s">
        <v>1158</v>
      </c>
      <c r="E17" s="27" t="s">
        <v>71</v>
      </c>
      <c r="F17" s="27">
        <v>58.443800000000003</v>
      </c>
      <c r="G17" s="27">
        <v>59.141199999999998</v>
      </c>
      <c r="H17" s="27">
        <v>61.145899999999997</v>
      </c>
      <c r="I17" s="27">
        <v>59.4998</v>
      </c>
      <c r="J17" s="27">
        <v>47.622199999999999</v>
      </c>
      <c r="K17" s="27">
        <v>35.812800000000003</v>
      </c>
      <c r="L17" s="27">
        <v>27.4878</v>
      </c>
      <c r="M17" s="27">
        <v>23.843900000000001</v>
      </c>
      <c r="N17" s="27">
        <v>21.442499999999999</v>
      </c>
      <c r="O17" s="27">
        <v>18.642099999999999</v>
      </c>
      <c r="P17" s="27">
        <v>18.756599999999999</v>
      </c>
      <c r="Q17" s="27">
        <v>18.778500000000001</v>
      </c>
      <c r="R17" s="27" t="s">
        <v>200</v>
      </c>
      <c r="S17" s="27">
        <v>18.577100000000002</v>
      </c>
      <c r="T17" s="27" t="s">
        <v>200</v>
      </c>
      <c r="U17" s="27">
        <v>18.0335</v>
      </c>
      <c r="V17" s="27" t="s">
        <v>200</v>
      </c>
      <c r="W17" s="27">
        <v>17.2072</v>
      </c>
      <c r="X17" s="27" t="s">
        <v>200</v>
      </c>
      <c r="Y17" s="27">
        <v>16.1722</v>
      </c>
    </row>
    <row r="18" spans="1:25">
      <c r="A18" s="27" t="s">
        <v>282</v>
      </c>
      <c r="B18" s="27" t="s">
        <v>283</v>
      </c>
      <c r="C18" s="27" t="s">
        <v>198</v>
      </c>
      <c r="D18" s="27" t="s">
        <v>1158</v>
      </c>
      <c r="E18" s="27" t="s">
        <v>71</v>
      </c>
      <c r="F18" s="27" t="s">
        <v>200</v>
      </c>
      <c r="G18" s="27">
        <v>72.334575669263984</v>
      </c>
      <c r="H18" s="27">
        <v>77.312474995869806</v>
      </c>
      <c r="I18" s="27">
        <v>80.606203887590553</v>
      </c>
      <c r="J18" s="27" t="s">
        <v>200</v>
      </c>
      <c r="K18" s="27">
        <v>73.470426404750015</v>
      </c>
      <c r="L18" s="27" t="s">
        <v>200</v>
      </c>
      <c r="M18" s="27">
        <v>59.128147810694607</v>
      </c>
      <c r="N18" s="27" t="s">
        <v>200</v>
      </c>
      <c r="O18" s="27">
        <v>36.56397397473004</v>
      </c>
      <c r="P18" s="27" t="s">
        <v>200</v>
      </c>
      <c r="Q18" s="27">
        <v>25.8986523435359</v>
      </c>
      <c r="R18" s="27" t="s">
        <v>200</v>
      </c>
      <c r="S18" s="27">
        <v>21.41519375579076</v>
      </c>
      <c r="T18" s="27" t="s">
        <v>200</v>
      </c>
      <c r="U18" s="27">
        <v>18.55803076768284</v>
      </c>
      <c r="V18" s="27" t="s">
        <v>200</v>
      </c>
      <c r="W18" s="27">
        <v>15.84713212317741</v>
      </c>
      <c r="X18" s="27" t="s">
        <v>200</v>
      </c>
      <c r="Y18" s="27">
        <v>13.7163467376417</v>
      </c>
    </row>
    <row r="19" spans="1:25">
      <c r="A19" s="27" t="s">
        <v>203</v>
      </c>
      <c r="B19" s="27" t="s">
        <v>284</v>
      </c>
      <c r="C19" s="27" t="s">
        <v>198</v>
      </c>
      <c r="D19" s="27" t="s">
        <v>1158</v>
      </c>
      <c r="E19" s="27" t="s">
        <v>71</v>
      </c>
      <c r="F19" s="27">
        <v>58.443800000000003</v>
      </c>
      <c r="G19" s="27">
        <v>59.141199999999998</v>
      </c>
      <c r="H19" s="27">
        <v>61.145899999999997</v>
      </c>
      <c r="I19" s="27">
        <v>59.4998</v>
      </c>
      <c r="J19" s="27">
        <v>47.371400000000001</v>
      </c>
      <c r="K19" s="27">
        <v>35.516100000000002</v>
      </c>
      <c r="L19" s="27">
        <v>27.447199999999999</v>
      </c>
      <c r="M19" s="27">
        <v>24.0275</v>
      </c>
      <c r="N19" s="27">
        <v>21.6386</v>
      </c>
      <c r="O19" s="27">
        <v>18.8032</v>
      </c>
      <c r="P19" s="27">
        <v>18.834299999999999</v>
      </c>
      <c r="Q19" s="27">
        <v>18.7407</v>
      </c>
      <c r="R19" s="27" t="s">
        <v>200</v>
      </c>
      <c r="S19" s="27">
        <v>18.228400000000001</v>
      </c>
      <c r="T19" s="27" t="s">
        <v>200</v>
      </c>
      <c r="U19" s="27">
        <v>17.302199999999999</v>
      </c>
      <c r="V19" s="27" t="s">
        <v>200</v>
      </c>
      <c r="W19" s="27">
        <v>16.069700000000001</v>
      </c>
      <c r="X19" s="27" t="s">
        <v>200</v>
      </c>
      <c r="Y19" s="27">
        <v>14.639799999999999</v>
      </c>
    </row>
    <row r="20" spans="1:25">
      <c r="A20" s="27" t="s">
        <v>203</v>
      </c>
      <c r="B20" s="27" t="s">
        <v>285</v>
      </c>
      <c r="C20" s="27" t="s">
        <v>198</v>
      </c>
      <c r="D20" s="27" t="s">
        <v>1158</v>
      </c>
      <c r="E20" s="27" t="s">
        <v>71</v>
      </c>
      <c r="F20" s="27">
        <v>58.443800000000003</v>
      </c>
      <c r="G20" s="27">
        <v>59.141199999999998</v>
      </c>
      <c r="H20" s="27">
        <v>61.145899999999997</v>
      </c>
      <c r="I20" s="27">
        <v>59.303699999999999</v>
      </c>
      <c r="J20" s="27">
        <v>37.662100000000002</v>
      </c>
      <c r="K20" s="27">
        <v>30.084900000000001</v>
      </c>
      <c r="L20" s="27">
        <v>25.8995</v>
      </c>
      <c r="M20" s="27">
        <v>24.0275</v>
      </c>
      <c r="N20" s="27">
        <v>21.6386</v>
      </c>
      <c r="O20" s="27">
        <v>18.8032</v>
      </c>
      <c r="P20" s="27">
        <v>18.834299999999999</v>
      </c>
      <c r="Q20" s="27">
        <v>18.7407</v>
      </c>
      <c r="R20" s="27" t="s">
        <v>200</v>
      </c>
      <c r="S20" s="27">
        <v>18.228400000000001</v>
      </c>
      <c r="T20" s="27" t="s">
        <v>200</v>
      </c>
      <c r="U20" s="27">
        <v>17.302199999999999</v>
      </c>
      <c r="V20" s="27" t="s">
        <v>200</v>
      </c>
      <c r="W20" s="27">
        <v>16.069700000000001</v>
      </c>
      <c r="X20" s="27" t="s">
        <v>200</v>
      </c>
      <c r="Y20" s="27">
        <v>14.639799999999999</v>
      </c>
    </row>
    <row r="21" spans="1:25">
      <c r="A21" s="27" t="s">
        <v>196</v>
      </c>
      <c r="B21" s="27" t="s">
        <v>289</v>
      </c>
      <c r="C21" s="27" t="s">
        <v>198</v>
      </c>
      <c r="D21" s="27" t="s">
        <v>1158</v>
      </c>
      <c r="E21" s="27" t="s">
        <v>71</v>
      </c>
      <c r="F21" s="27">
        <v>58.443800000000003</v>
      </c>
      <c r="G21" s="27">
        <v>59.141199999999998</v>
      </c>
      <c r="H21" s="27">
        <v>61.145899999999997</v>
      </c>
      <c r="I21" s="27">
        <v>59.328600000000002</v>
      </c>
      <c r="J21" s="27">
        <v>50.530900000000003</v>
      </c>
      <c r="K21" s="27">
        <v>33.614400000000003</v>
      </c>
      <c r="L21" s="27">
        <v>26.4163</v>
      </c>
      <c r="M21" s="27">
        <v>24.0275</v>
      </c>
      <c r="N21" s="27">
        <v>21.6386</v>
      </c>
      <c r="O21" s="27">
        <v>18.8032</v>
      </c>
      <c r="P21" s="27">
        <v>18.834299999999999</v>
      </c>
      <c r="Q21" s="27">
        <v>18.7407</v>
      </c>
      <c r="R21" s="27" t="s">
        <v>200</v>
      </c>
      <c r="S21" s="27">
        <v>18.228400000000001</v>
      </c>
      <c r="T21" s="27" t="s">
        <v>200</v>
      </c>
      <c r="U21" s="27">
        <v>17.302199999999999</v>
      </c>
      <c r="V21" s="27" t="s">
        <v>200</v>
      </c>
      <c r="W21" s="27">
        <v>16.069700000000001</v>
      </c>
      <c r="X21" s="27" t="s">
        <v>200</v>
      </c>
      <c r="Y21" s="27">
        <v>14.639799999999999</v>
      </c>
    </row>
    <row r="22" spans="1:25">
      <c r="A22" s="27" t="s">
        <v>261</v>
      </c>
      <c r="B22" s="27" t="s">
        <v>292</v>
      </c>
      <c r="C22" s="27" t="s">
        <v>198</v>
      </c>
      <c r="D22" s="27" t="s">
        <v>1158</v>
      </c>
      <c r="E22" s="27" t="s">
        <v>71</v>
      </c>
      <c r="F22" s="27">
        <v>52.073451995849609</v>
      </c>
      <c r="G22" s="27">
        <v>55.955156326293952</v>
      </c>
      <c r="H22" s="27">
        <v>60.152853012084961</v>
      </c>
      <c r="I22" s="27">
        <v>61.476007461547852</v>
      </c>
      <c r="J22" s="27">
        <v>59.898916244506843</v>
      </c>
      <c r="K22" s="27">
        <v>52.67308235168457</v>
      </c>
      <c r="L22" s="27">
        <v>43.569162368774407</v>
      </c>
      <c r="M22" s="27">
        <v>37.275508880615227</v>
      </c>
      <c r="N22" s="27">
        <v>34.889190673828118</v>
      </c>
      <c r="O22" s="27">
        <v>32.550412178039551</v>
      </c>
      <c r="P22" s="27">
        <v>31.54470252990723</v>
      </c>
      <c r="Q22" s="27">
        <v>30.36667442321777</v>
      </c>
      <c r="R22" s="27">
        <v>28.792531967163089</v>
      </c>
      <c r="S22" s="27">
        <v>27.270784378051761</v>
      </c>
      <c r="T22" s="27">
        <v>25.5826301574707</v>
      </c>
      <c r="U22" s="27">
        <v>23.595585823059078</v>
      </c>
      <c r="V22" s="27">
        <v>21.6770486831665</v>
      </c>
      <c r="W22" s="27">
        <v>19.697334766387939</v>
      </c>
      <c r="X22" s="27">
        <v>17.429769992828369</v>
      </c>
      <c r="Y22" s="27">
        <v>15.324076890945429</v>
      </c>
    </row>
    <row r="23" spans="1:25">
      <c r="A23" s="27" t="s">
        <v>261</v>
      </c>
      <c r="B23" s="27" t="s">
        <v>293</v>
      </c>
      <c r="C23" s="27" t="s">
        <v>198</v>
      </c>
      <c r="D23" s="27" t="s">
        <v>1158</v>
      </c>
      <c r="E23" s="27" t="s">
        <v>71</v>
      </c>
      <c r="F23" s="27">
        <v>52.073451995849609</v>
      </c>
      <c r="G23" s="27">
        <v>55.955156326293952</v>
      </c>
      <c r="H23" s="27">
        <v>60.152853012084961</v>
      </c>
      <c r="I23" s="27">
        <v>61.476007461547852</v>
      </c>
      <c r="J23" s="27">
        <v>59.45423698425293</v>
      </c>
      <c r="K23" s="27">
        <v>51.812995910644531</v>
      </c>
      <c r="L23" s="27">
        <v>42.478179931640618</v>
      </c>
      <c r="M23" s="27">
        <v>35.988375663757317</v>
      </c>
      <c r="N23" s="27">
        <v>33.34064769744873</v>
      </c>
      <c r="O23" s="27">
        <v>30.752436637878422</v>
      </c>
      <c r="P23" s="27">
        <v>29.457561492919918</v>
      </c>
      <c r="Q23" s="27">
        <v>28.017385482788089</v>
      </c>
      <c r="R23" s="27">
        <v>26.22286224365234</v>
      </c>
      <c r="S23" s="27">
        <v>24.49091720581055</v>
      </c>
      <c r="T23" s="27">
        <v>22.62202072143555</v>
      </c>
      <c r="U23" s="27">
        <v>20.495730400085449</v>
      </c>
      <c r="V23" s="27">
        <v>18.442971229553219</v>
      </c>
      <c r="W23" s="27">
        <v>16.349820137023929</v>
      </c>
      <c r="X23" s="27">
        <v>14.03982853889465</v>
      </c>
      <c r="Y23" s="27">
        <v>11.893744945526119</v>
      </c>
    </row>
    <row r="24" spans="1:25">
      <c r="A24" s="27" t="s">
        <v>261</v>
      </c>
      <c r="B24" s="27" t="s">
        <v>295</v>
      </c>
      <c r="C24" s="27" t="s">
        <v>198</v>
      </c>
      <c r="D24" s="27" t="s">
        <v>1158</v>
      </c>
      <c r="E24" s="27" t="s">
        <v>71</v>
      </c>
      <c r="F24" s="27">
        <v>52.073451995849609</v>
      </c>
      <c r="G24" s="27">
        <v>55.955156326293952</v>
      </c>
      <c r="H24" s="27">
        <v>60.152853012084961</v>
      </c>
      <c r="I24" s="27">
        <v>61.476007461547852</v>
      </c>
      <c r="J24" s="27">
        <v>59.15679931640625</v>
      </c>
      <c r="K24" s="27">
        <v>52.34797477722168</v>
      </c>
      <c r="L24" s="27">
        <v>43.225946426391602</v>
      </c>
      <c r="M24" s="27">
        <v>36.362746238708503</v>
      </c>
      <c r="N24" s="27">
        <v>33.773165702819817</v>
      </c>
      <c r="O24" s="27">
        <v>31.334844589233398</v>
      </c>
      <c r="P24" s="27">
        <v>30.229912757873539</v>
      </c>
      <c r="Q24" s="27">
        <v>28.95070648193359</v>
      </c>
      <c r="R24" s="27">
        <v>27.324554443359379</v>
      </c>
      <c r="S24" s="27">
        <v>25.73459434509277</v>
      </c>
      <c r="T24" s="27">
        <v>24.00124549865723</v>
      </c>
      <c r="U24" s="27">
        <v>21.9921989440918</v>
      </c>
      <c r="V24" s="27">
        <v>20.051420211791989</v>
      </c>
      <c r="W24" s="27">
        <v>18.048462390899662</v>
      </c>
      <c r="X24" s="27">
        <v>15.79913377761841</v>
      </c>
      <c r="Y24" s="27">
        <v>13.685167551040649</v>
      </c>
    </row>
    <row r="25" spans="1:25">
      <c r="A25" s="27" t="s">
        <v>196</v>
      </c>
      <c r="B25" s="27" t="s">
        <v>296</v>
      </c>
      <c r="C25" s="27" t="s">
        <v>198</v>
      </c>
      <c r="D25" s="27" t="s">
        <v>1158</v>
      </c>
      <c r="E25" s="27" t="s">
        <v>71</v>
      </c>
      <c r="F25" s="27">
        <v>58.443800000000003</v>
      </c>
      <c r="G25" s="27">
        <v>59.141199999999998</v>
      </c>
      <c r="H25" s="27">
        <v>61.145899999999997</v>
      </c>
      <c r="I25" s="27">
        <v>59.303699999999999</v>
      </c>
      <c r="J25" s="27">
        <v>47.759099999999997</v>
      </c>
      <c r="K25" s="27">
        <v>31.861899999999999</v>
      </c>
      <c r="L25" s="27">
        <v>26.054099999999998</v>
      </c>
      <c r="M25" s="27">
        <v>23.843900000000001</v>
      </c>
      <c r="N25" s="27">
        <v>21.442499999999999</v>
      </c>
      <c r="O25" s="27">
        <v>18.642099999999999</v>
      </c>
      <c r="P25" s="27">
        <v>18.756599999999999</v>
      </c>
      <c r="Q25" s="27">
        <v>18.778500000000001</v>
      </c>
      <c r="R25" s="27" t="s">
        <v>200</v>
      </c>
      <c r="S25" s="27">
        <v>18.577100000000002</v>
      </c>
      <c r="T25" s="27" t="s">
        <v>200</v>
      </c>
      <c r="U25" s="27">
        <v>18.0335</v>
      </c>
      <c r="V25" s="27" t="s">
        <v>200</v>
      </c>
      <c r="W25" s="27">
        <v>17.2072</v>
      </c>
      <c r="X25" s="27" t="s">
        <v>200</v>
      </c>
      <c r="Y25" s="27">
        <v>16.1722</v>
      </c>
    </row>
    <row r="26" spans="1:25">
      <c r="A26" s="27" t="s">
        <v>261</v>
      </c>
      <c r="B26" s="27" t="s">
        <v>298</v>
      </c>
      <c r="C26" s="27" t="s">
        <v>198</v>
      </c>
      <c r="D26" s="27" t="s">
        <v>1158</v>
      </c>
      <c r="E26" s="27" t="s">
        <v>71</v>
      </c>
      <c r="F26" s="27">
        <v>52.073451995849609</v>
      </c>
      <c r="G26" s="27">
        <v>55.955156326293952</v>
      </c>
      <c r="H26" s="27">
        <v>60.152853012084961</v>
      </c>
      <c r="I26" s="27">
        <v>61.476007461547852</v>
      </c>
      <c r="J26" s="27">
        <v>59.45423698425293</v>
      </c>
      <c r="K26" s="27">
        <v>51.812995910644531</v>
      </c>
      <c r="L26" s="27">
        <v>42.478179931640618</v>
      </c>
      <c r="M26" s="27">
        <v>35.988375663757317</v>
      </c>
      <c r="N26" s="27">
        <v>33.34064769744873</v>
      </c>
      <c r="O26" s="27">
        <v>30.752436637878422</v>
      </c>
      <c r="P26" s="27">
        <v>29.457561492919918</v>
      </c>
      <c r="Q26" s="27">
        <v>28.017385482788089</v>
      </c>
      <c r="R26" s="27">
        <v>26.22286224365234</v>
      </c>
      <c r="S26" s="27">
        <v>24.49091720581055</v>
      </c>
      <c r="T26" s="27">
        <v>22.62202072143555</v>
      </c>
      <c r="U26" s="27">
        <v>20.495730400085449</v>
      </c>
      <c r="V26" s="27">
        <v>18.442971229553219</v>
      </c>
      <c r="W26" s="27">
        <v>16.349820137023929</v>
      </c>
      <c r="X26" s="27">
        <v>14.03982853889465</v>
      </c>
      <c r="Y26" s="27">
        <v>11.893744945526119</v>
      </c>
    </row>
    <row r="27" spans="1:25">
      <c r="A27" s="27" t="s">
        <v>261</v>
      </c>
      <c r="B27" s="27" t="s">
        <v>299</v>
      </c>
      <c r="C27" s="27" t="s">
        <v>198</v>
      </c>
      <c r="D27" s="27" t="s">
        <v>1158</v>
      </c>
      <c r="E27" s="27" t="s">
        <v>71</v>
      </c>
      <c r="F27" s="27">
        <v>52.073451995849609</v>
      </c>
      <c r="G27" s="27">
        <v>55.955156326293952</v>
      </c>
      <c r="H27" s="27">
        <v>60.152853012084961</v>
      </c>
      <c r="I27" s="27">
        <v>61.476007461547852</v>
      </c>
      <c r="J27" s="27">
        <v>58.932409286499023</v>
      </c>
      <c r="K27" s="27">
        <v>61.853984832763672</v>
      </c>
      <c r="L27" s="27">
        <v>61.447423934936523</v>
      </c>
      <c r="M27" s="27">
        <v>48.154523849487298</v>
      </c>
      <c r="N27" s="27">
        <v>37.543357849121087</v>
      </c>
      <c r="O27" s="27">
        <v>31.44603443145752</v>
      </c>
      <c r="P27" s="27">
        <v>30.229912757873532</v>
      </c>
      <c r="Q27" s="27">
        <v>28.950706481933601</v>
      </c>
      <c r="R27" s="27">
        <v>27.324554443359371</v>
      </c>
      <c r="S27" s="27">
        <v>25.73459434509277</v>
      </c>
      <c r="T27" s="27">
        <v>24.00124549865723</v>
      </c>
      <c r="U27" s="27">
        <v>21.9921989440918</v>
      </c>
      <c r="V27" s="27">
        <v>20.051420211791989</v>
      </c>
      <c r="W27" s="27">
        <v>18.048462390899651</v>
      </c>
      <c r="X27" s="27">
        <v>15.79913377761841</v>
      </c>
      <c r="Y27" s="27">
        <v>13.685167551040649</v>
      </c>
    </row>
    <row r="100" spans="3:30">
      <c r="C100" s="3" t="s">
        <v>69</v>
      </c>
      <c r="F100" s="27">
        <f>MEDIAN(F2:F98)</f>
        <v>58.443800000000003</v>
      </c>
      <c r="G100" s="27">
        <f t="shared" ref="G100:Y100" si="0">MEDIAN(G2:G98)</f>
        <v>59.141199999999998</v>
      </c>
      <c r="H100" s="27">
        <f t="shared" si="0"/>
        <v>61.145899999999997</v>
      </c>
      <c r="I100" s="27">
        <f t="shared" si="0"/>
        <v>59.4998</v>
      </c>
      <c r="J100" s="27">
        <f t="shared" si="0"/>
        <v>49.034799999999997</v>
      </c>
      <c r="K100" s="27">
        <f t="shared" si="0"/>
        <v>36.403850000000006</v>
      </c>
      <c r="L100" s="27">
        <f t="shared" si="0"/>
        <v>27.5398</v>
      </c>
      <c r="M100" s="27">
        <f t="shared" si="0"/>
        <v>24.0275</v>
      </c>
      <c r="N100" s="27">
        <f t="shared" si="0"/>
        <v>21.6386</v>
      </c>
      <c r="O100" s="27">
        <f t="shared" si="0"/>
        <v>18.8032</v>
      </c>
      <c r="P100" s="27">
        <f t="shared" si="0"/>
        <v>18.834299999999999</v>
      </c>
      <c r="Q100" s="27">
        <f t="shared" si="0"/>
        <v>18.778500000000001</v>
      </c>
      <c r="R100" s="27">
        <f t="shared" si="0"/>
        <v>27.324554443359375</v>
      </c>
      <c r="S100" s="27">
        <f t="shared" si="0"/>
        <v>18.577100000000002</v>
      </c>
      <c r="T100" s="27">
        <f t="shared" si="0"/>
        <v>24.00124549865723</v>
      </c>
      <c r="U100" s="27">
        <f t="shared" si="0"/>
        <v>18.0335</v>
      </c>
      <c r="V100" s="27">
        <f t="shared" si="0"/>
        <v>20.051420211791989</v>
      </c>
      <c r="W100" s="27">
        <f t="shared" si="0"/>
        <v>17.2072</v>
      </c>
      <c r="X100" s="27">
        <f t="shared" si="0"/>
        <v>15.79913377761841</v>
      </c>
      <c r="Y100" s="27">
        <f t="shared" si="0"/>
        <v>14.639799999999999</v>
      </c>
    </row>
    <row r="101" spans="3:30">
      <c r="C101" s="3" t="s">
        <v>72</v>
      </c>
      <c r="F101" s="27">
        <f>_xlfn.PERCENTILE.INC(F2:F98,0.25)</f>
        <v>52.073451995849609</v>
      </c>
      <c r="G101" s="27">
        <f t="shared" ref="G101:Y101" si="1">_xlfn.PERCENTILE.INC(G2:G98,0.25)</f>
        <v>56.751667244720466</v>
      </c>
      <c r="H101" s="27">
        <f t="shared" si="1"/>
        <v>60.401114759063717</v>
      </c>
      <c r="I101" s="27">
        <f t="shared" si="1"/>
        <v>59.4024</v>
      </c>
      <c r="J101" s="27">
        <f t="shared" si="1"/>
        <v>46.870699999999999</v>
      </c>
      <c r="K101" s="27">
        <f t="shared" si="1"/>
        <v>32.333550000000002</v>
      </c>
      <c r="L101" s="27">
        <f t="shared" si="1"/>
        <v>26.054099999999998</v>
      </c>
      <c r="M101" s="27">
        <f t="shared" si="1"/>
        <v>23.843900000000001</v>
      </c>
      <c r="N101" s="27">
        <f t="shared" si="1"/>
        <v>21.442499999999999</v>
      </c>
      <c r="O101" s="27">
        <f t="shared" si="1"/>
        <v>18.642099999999999</v>
      </c>
      <c r="P101" s="27">
        <f t="shared" si="1"/>
        <v>18.756599999999999</v>
      </c>
      <c r="Q101" s="27">
        <f t="shared" si="1"/>
        <v>18.750150000000001</v>
      </c>
      <c r="R101" s="27">
        <f t="shared" si="1"/>
        <v>26.22286224365234</v>
      </c>
      <c r="S101" s="27">
        <f t="shared" si="1"/>
        <v>18.315575000000003</v>
      </c>
      <c r="T101" s="27">
        <f t="shared" si="1"/>
        <v>22.62202072143555</v>
      </c>
      <c r="U101" s="27">
        <f t="shared" si="1"/>
        <v>17.485025</v>
      </c>
      <c r="V101" s="27">
        <f t="shared" si="1"/>
        <v>18.442971229553219</v>
      </c>
      <c r="W101" s="27">
        <f t="shared" si="1"/>
        <v>16.069700000000001</v>
      </c>
      <c r="X101" s="27">
        <f t="shared" si="1"/>
        <v>14.03982853889465</v>
      </c>
      <c r="Y101" s="27">
        <f t="shared" si="1"/>
        <v>13.692962347690912</v>
      </c>
    </row>
    <row r="102" spans="3:30">
      <c r="C102" s="3" t="s">
        <v>73</v>
      </c>
      <c r="F102" s="27">
        <f>_xlfn.PERCENTILE.INC(F2:F98,0.75)</f>
        <v>58.443800000000003</v>
      </c>
      <c r="G102" s="27">
        <f t="shared" ref="G102:Y102" si="2">_xlfn.PERCENTILE.INC(G2:G98,0.75)</f>
        <v>59.141199999999998</v>
      </c>
      <c r="H102" s="27">
        <f t="shared" si="2"/>
        <v>61.145899999999997</v>
      </c>
      <c r="I102" s="27">
        <f t="shared" si="2"/>
        <v>61.476007461547852</v>
      </c>
      <c r="J102" s="27">
        <f t="shared" si="2"/>
        <v>58.847841262817383</v>
      </c>
      <c r="K102" s="27">
        <f t="shared" si="2"/>
        <v>51.812995910644531</v>
      </c>
      <c r="L102" s="27">
        <f t="shared" si="2"/>
        <v>42.478179931640618</v>
      </c>
      <c r="M102" s="27">
        <f t="shared" si="2"/>
        <v>35.988375663757317</v>
      </c>
      <c r="N102" s="27">
        <f t="shared" si="2"/>
        <v>33.34064769744873</v>
      </c>
      <c r="O102" s="27">
        <f t="shared" si="2"/>
        <v>30.752436637878422</v>
      </c>
      <c r="P102" s="27">
        <f t="shared" si="2"/>
        <v>29.457561492919918</v>
      </c>
      <c r="Q102" s="27">
        <f t="shared" si="2"/>
        <v>27.487702197975043</v>
      </c>
      <c r="R102" s="27">
        <f t="shared" si="2"/>
        <v>27.324554443359379</v>
      </c>
      <c r="S102" s="27">
        <f t="shared" si="2"/>
        <v>23.868912904357913</v>
      </c>
      <c r="T102" s="27">
        <f t="shared" si="2"/>
        <v>24.00124549865723</v>
      </c>
      <c r="U102" s="27">
        <f t="shared" si="2"/>
        <v>20.495730400085449</v>
      </c>
      <c r="V102" s="27">
        <f t="shared" si="2"/>
        <v>20.051420211791989</v>
      </c>
      <c r="W102" s="27">
        <f t="shared" si="2"/>
        <v>17.838146793174737</v>
      </c>
      <c r="X102" s="27">
        <f t="shared" si="2"/>
        <v>15.79913377761841</v>
      </c>
      <c r="Y102" s="27">
        <f t="shared" si="2"/>
        <v>16.1722</v>
      </c>
    </row>
    <row r="104" spans="3:30">
      <c r="F104" s="27">
        <f>MAX(F$2:F$98)</f>
        <v>58.443800000000003</v>
      </c>
      <c r="G104" s="27">
        <f t="shared" ref="G104:AD104" si="3">MAX(G$2:G$98)</f>
        <v>72.334575669263984</v>
      </c>
      <c r="H104" s="27">
        <f t="shared" si="3"/>
        <v>77.312474995869806</v>
      </c>
      <c r="I104" s="27">
        <f t="shared" si="3"/>
        <v>80.606203887590553</v>
      </c>
      <c r="J104" s="27">
        <f t="shared" si="3"/>
        <v>59.898916244506843</v>
      </c>
      <c r="K104" s="27">
        <f t="shared" si="3"/>
        <v>73.470426404750015</v>
      </c>
      <c r="L104" s="27">
        <f t="shared" si="3"/>
        <v>61.447423934936523</v>
      </c>
      <c r="M104" s="27">
        <f t="shared" si="3"/>
        <v>59.128147810694607</v>
      </c>
      <c r="N104" s="27">
        <f t="shared" si="3"/>
        <v>37.543357849121087</v>
      </c>
      <c r="O104" s="27">
        <f t="shared" si="3"/>
        <v>36.56397397473004</v>
      </c>
      <c r="P104" s="27">
        <f t="shared" si="3"/>
        <v>31.54470252990723</v>
      </c>
      <c r="Q104" s="27">
        <f t="shared" si="3"/>
        <v>30.36667442321777</v>
      </c>
      <c r="R104" s="27">
        <f t="shared" si="3"/>
        <v>28.792531967163089</v>
      </c>
      <c r="S104" s="27">
        <f t="shared" si="3"/>
        <v>27.270784378051761</v>
      </c>
      <c r="T104" s="27">
        <f t="shared" si="3"/>
        <v>25.5826301574707</v>
      </c>
      <c r="U104" s="27">
        <f t="shared" si="3"/>
        <v>23.595585823059078</v>
      </c>
      <c r="V104" s="27">
        <f t="shared" si="3"/>
        <v>21.6770486831665</v>
      </c>
      <c r="W104" s="27">
        <f t="shared" si="3"/>
        <v>27.041599999999999</v>
      </c>
      <c r="X104" s="27">
        <f t="shared" si="3"/>
        <v>17.429769992828369</v>
      </c>
      <c r="Y104" s="27">
        <f t="shared" si="3"/>
        <v>22.1097</v>
      </c>
      <c r="Z104" s="27">
        <f t="shared" si="3"/>
        <v>0</v>
      </c>
      <c r="AA104" s="27">
        <f t="shared" si="3"/>
        <v>0</v>
      </c>
      <c r="AB104" s="27">
        <f t="shared" si="3"/>
        <v>0</v>
      </c>
      <c r="AC104" s="27">
        <f t="shared" si="3"/>
        <v>0</v>
      </c>
      <c r="AD104" s="27">
        <f t="shared" si="3"/>
        <v>0</v>
      </c>
    </row>
    <row r="105" spans="3:30">
      <c r="F105" s="27">
        <f>MEDIAN(F$2:F$98)</f>
        <v>58.443800000000003</v>
      </c>
      <c r="G105" s="27">
        <f t="shared" ref="G105:AD105" si="4">MEDIAN(G$2:G$98)</f>
        <v>59.141199999999998</v>
      </c>
      <c r="H105" s="27">
        <f t="shared" si="4"/>
        <v>61.145899999999997</v>
      </c>
      <c r="I105" s="27">
        <f t="shared" si="4"/>
        <v>59.4998</v>
      </c>
      <c r="J105" s="27">
        <f t="shared" si="4"/>
        <v>49.034799999999997</v>
      </c>
      <c r="K105" s="27">
        <f t="shared" si="4"/>
        <v>36.403850000000006</v>
      </c>
      <c r="L105" s="27">
        <f t="shared" si="4"/>
        <v>27.5398</v>
      </c>
      <c r="M105" s="27">
        <f t="shared" si="4"/>
        <v>24.0275</v>
      </c>
      <c r="N105" s="27">
        <f t="shared" si="4"/>
        <v>21.6386</v>
      </c>
      <c r="O105" s="27">
        <f t="shared" si="4"/>
        <v>18.8032</v>
      </c>
      <c r="P105" s="27">
        <f t="shared" si="4"/>
        <v>18.834299999999999</v>
      </c>
      <c r="Q105" s="27">
        <f t="shared" si="4"/>
        <v>18.778500000000001</v>
      </c>
      <c r="R105" s="27">
        <f t="shared" si="4"/>
        <v>27.324554443359375</v>
      </c>
      <c r="S105" s="27">
        <f t="shared" si="4"/>
        <v>18.577100000000002</v>
      </c>
      <c r="T105" s="27">
        <f t="shared" si="4"/>
        <v>24.00124549865723</v>
      </c>
      <c r="U105" s="27">
        <f t="shared" si="4"/>
        <v>18.0335</v>
      </c>
      <c r="V105" s="27">
        <f t="shared" si="4"/>
        <v>20.051420211791989</v>
      </c>
      <c r="W105" s="27">
        <f t="shared" si="4"/>
        <v>17.2072</v>
      </c>
      <c r="X105" s="27">
        <f t="shared" si="4"/>
        <v>15.79913377761841</v>
      </c>
      <c r="Y105" s="27">
        <f t="shared" si="4"/>
        <v>14.639799999999999</v>
      </c>
      <c r="Z105" s="27" t="e">
        <f t="shared" si="4"/>
        <v>#NUM!</v>
      </c>
      <c r="AA105" s="27" t="e">
        <f t="shared" si="4"/>
        <v>#NUM!</v>
      </c>
      <c r="AB105" s="27" t="e">
        <f t="shared" si="4"/>
        <v>#NUM!</v>
      </c>
      <c r="AC105" s="27" t="e">
        <f t="shared" si="4"/>
        <v>#NUM!</v>
      </c>
      <c r="AD105" s="27" t="e">
        <f t="shared" si="4"/>
        <v>#NUM!</v>
      </c>
    </row>
    <row r="106" spans="3:30">
      <c r="F106" s="27">
        <f>MIN(F$2:F$98)</f>
        <v>52.073451995849609</v>
      </c>
      <c r="G106" s="27">
        <f t="shared" ref="G106:AD106" si="5">MIN(G$2:G$98)</f>
        <v>55.955156326293952</v>
      </c>
      <c r="H106" s="27">
        <f t="shared" si="5"/>
        <v>60.152853012084961</v>
      </c>
      <c r="I106" s="27">
        <f t="shared" si="5"/>
        <v>59.303699999999999</v>
      </c>
      <c r="J106" s="27">
        <f t="shared" si="5"/>
        <v>37.662100000000002</v>
      </c>
      <c r="K106" s="27">
        <f t="shared" si="5"/>
        <v>30.084900000000001</v>
      </c>
      <c r="L106" s="27">
        <f t="shared" si="5"/>
        <v>23.236799999999999</v>
      </c>
      <c r="M106" s="27">
        <f t="shared" si="5"/>
        <v>17.279399999999999</v>
      </c>
      <c r="N106" s="27">
        <f t="shared" si="5"/>
        <v>14.2407</v>
      </c>
      <c r="O106" s="27">
        <f t="shared" si="5"/>
        <v>12.7447</v>
      </c>
      <c r="P106" s="27">
        <f t="shared" si="5"/>
        <v>12.5511</v>
      </c>
      <c r="Q106" s="27">
        <f t="shared" si="5"/>
        <v>10.9533</v>
      </c>
      <c r="R106" s="27">
        <f t="shared" si="5"/>
        <v>9.8556000000000008</v>
      </c>
      <c r="S106" s="27">
        <f t="shared" si="5"/>
        <v>10.1469</v>
      </c>
      <c r="T106" s="27">
        <f t="shared" si="5"/>
        <v>10.3698</v>
      </c>
      <c r="U106" s="27">
        <f t="shared" si="5"/>
        <v>10.0008</v>
      </c>
      <c r="V106" s="27">
        <f t="shared" si="5"/>
        <v>10.0783</v>
      </c>
      <c r="W106" s="27">
        <f t="shared" si="5"/>
        <v>10.201499999999999</v>
      </c>
      <c r="X106" s="27">
        <f t="shared" si="5"/>
        <v>10.300700000000001</v>
      </c>
      <c r="Y106" s="27">
        <f t="shared" si="5"/>
        <v>10.3689</v>
      </c>
      <c r="Z106" s="27">
        <f t="shared" si="5"/>
        <v>0</v>
      </c>
      <c r="AA106" s="27">
        <f t="shared" si="5"/>
        <v>0</v>
      </c>
      <c r="AB106" s="27">
        <f t="shared" si="5"/>
        <v>0</v>
      </c>
      <c r="AC106" s="27">
        <f t="shared" si="5"/>
        <v>0</v>
      </c>
      <c r="AD106" s="27">
        <f t="shared" si="5"/>
        <v>0</v>
      </c>
    </row>
  </sheetData>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9B86B9-6D44-49C8-BC33-30D06E9A5815}">
  <sheetPr codeName="Sheet38">
    <tabColor theme="7" tint="0.79998168889431442"/>
  </sheetPr>
  <dimension ref="A1:AD106"/>
  <sheetViews>
    <sheetView workbookViewId="0">
      <pane ySplit="1" topLeftCell="A86" activePane="bottomLeft" state="frozen"/>
      <selection pane="bottomLeft" activeCell="F104" sqref="F104:AD106"/>
      <selection activeCell="P95" sqref="P95"/>
    </sheetView>
  </sheetViews>
  <sheetFormatPr defaultColWidth="9.140625" defaultRowHeight="15.75"/>
  <cols>
    <col min="1" max="16384" width="9.140625" style="27"/>
  </cols>
  <sheetData>
    <row r="1" spans="1:26">
      <c r="A1" s="27" t="s">
        <v>193</v>
      </c>
      <c r="B1" s="27" t="s">
        <v>194</v>
      </c>
      <c r="C1" s="27" t="s">
        <v>195</v>
      </c>
      <c r="D1" s="27" t="s">
        <v>64</v>
      </c>
      <c r="E1" s="27" t="s">
        <v>65</v>
      </c>
      <c r="F1" s="27">
        <v>2000</v>
      </c>
      <c r="G1" s="27">
        <v>2005</v>
      </c>
      <c r="H1" s="27">
        <v>2010</v>
      </c>
      <c r="I1" s="27">
        <v>2015</v>
      </c>
      <c r="J1" s="27">
        <v>2020</v>
      </c>
      <c r="K1" s="27">
        <v>2025</v>
      </c>
      <c r="L1" s="27">
        <v>2030</v>
      </c>
      <c r="M1" s="27">
        <v>2035</v>
      </c>
      <c r="N1" s="27">
        <v>2040</v>
      </c>
      <c r="O1" s="27">
        <v>2045</v>
      </c>
      <c r="P1" s="27">
        <v>2050</v>
      </c>
      <c r="Q1" s="27">
        <v>2055</v>
      </c>
      <c r="R1" s="27">
        <v>2060</v>
      </c>
      <c r="S1" s="27">
        <v>2065</v>
      </c>
      <c r="T1" s="27">
        <v>2070</v>
      </c>
      <c r="U1" s="27">
        <v>2075</v>
      </c>
      <c r="V1" s="27">
        <v>2080</v>
      </c>
      <c r="W1" s="27">
        <v>2085</v>
      </c>
      <c r="X1" s="27">
        <v>2090</v>
      </c>
      <c r="Y1" s="27">
        <v>2095</v>
      </c>
      <c r="Z1" s="27">
        <v>2100</v>
      </c>
    </row>
    <row r="2" spans="1:26">
      <c r="A2" s="27" t="s">
        <v>196</v>
      </c>
      <c r="B2" s="27" t="s">
        <v>197</v>
      </c>
      <c r="C2" s="27" t="s">
        <v>198</v>
      </c>
      <c r="D2" s="27" t="s">
        <v>1159</v>
      </c>
      <c r="E2" s="27" t="s">
        <v>83</v>
      </c>
      <c r="F2" s="27" t="s">
        <v>200</v>
      </c>
      <c r="G2" s="27">
        <v>6653.2909</v>
      </c>
      <c r="H2" s="27">
        <v>7329.7896000000001</v>
      </c>
      <c r="I2" s="27">
        <v>8288.0249999999996</v>
      </c>
      <c r="J2" s="27">
        <v>9024.9858999999997</v>
      </c>
      <c r="K2" s="27">
        <v>8226.4040999999997</v>
      </c>
      <c r="L2" s="27">
        <v>8802.9192000000003</v>
      </c>
      <c r="M2" s="27">
        <v>9284.1486000000004</v>
      </c>
      <c r="N2" s="27">
        <v>9637.7913000000008</v>
      </c>
      <c r="O2" s="27">
        <v>9951.2963</v>
      </c>
      <c r="P2" s="27">
        <v>10155.3364</v>
      </c>
      <c r="Q2" s="27">
        <v>10330.213299999999</v>
      </c>
      <c r="R2" s="27">
        <v>10433.3321</v>
      </c>
      <c r="S2" s="27" t="s">
        <v>200</v>
      </c>
      <c r="T2" s="27">
        <v>10313.7842</v>
      </c>
      <c r="U2" s="27" t="s">
        <v>200</v>
      </c>
      <c r="V2" s="27">
        <v>9932.6476999999995</v>
      </c>
      <c r="W2" s="27" t="s">
        <v>200</v>
      </c>
      <c r="X2" s="27">
        <v>9397.6849000000002</v>
      </c>
      <c r="Y2" s="27" t="s">
        <v>200</v>
      </c>
      <c r="Z2" s="27">
        <v>9041.4051999999992</v>
      </c>
    </row>
    <row r="3" spans="1:26">
      <c r="A3" s="27" t="s">
        <v>196</v>
      </c>
      <c r="B3" s="27" t="s">
        <v>201</v>
      </c>
      <c r="C3" s="27" t="s">
        <v>198</v>
      </c>
      <c r="D3" s="27" t="s">
        <v>1159</v>
      </c>
      <c r="E3" s="27" t="s">
        <v>83</v>
      </c>
      <c r="F3" s="27" t="s">
        <v>200</v>
      </c>
      <c r="G3" s="27" t="s">
        <v>200</v>
      </c>
      <c r="H3" s="27">
        <v>7353.5645999999997</v>
      </c>
      <c r="I3" s="27">
        <v>8333.1617000000006</v>
      </c>
      <c r="J3" s="27">
        <v>8498.2860999999994</v>
      </c>
      <c r="K3" s="27">
        <v>8138.5915000000005</v>
      </c>
      <c r="L3" s="27">
        <v>8565.4953000000005</v>
      </c>
      <c r="M3" s="27">
        <v>8949.2279999999992</v>
      </c>
      <c r="N3" s="27">
        <v>9380.4475000000002</v>
      </c>
      <c r="O3" s="27">
        <v>9811.0372000000007</v>
      </c>
      <c r="P3" s="27">
        <v>10069.776599999999</v>
      </c>
      <c r="Q3" s="27">
        <v>10319.3959</v>
      </c>
      <c r="R3" s="27">
        <v>10394.371999999999</v>
      </c>
      <c r="S3" s="27" t="s">
        <v>200</v>
      </c>
      <c r="T3" s="27">
        <v>10190.2201</v>
      </c>
      <c r="U3" s="27" t="s">
        <v>200</v>
      </c>
      <c r="V3" s="27">
        <v>9745.0959999999995</v>
      </c>
      <c r="W3" s="27" t="s">
        <v>200</v>
      </c>
      <c r="X3" s="27">
        <v>9197.0609000000004</v>
      </c>
      <c r="Y3" s="27" t="s">
        <v>200</v>
      </c>
      <c r="Z3" s="27">
        <v>8829.2212</v>
      </c>
    </row>
    <row r="4" spans="1:26">
      <c r="A4" s="27" t="s">
        <v>196</v>
      </c>
      <c r="B4" s="27" t="s">
        <v>202</v>
      </c>
      <c r="C4" s="27" t="s">
        <v>198</v>
      </c>
      <c r="D4" s="27" t="s">
        <v>1159</v>
      </c>
      <c r="E4" s="27" t="s">
        <v>83</v>
      </c>
      <c r="F4" s="27" t="s">
        <v>200</v>
      </c>
      <c r="G4" s="27">
        <v>6653.2909</v>
      </c>
      <c r="H4" s="27">
        <v>7330.2930999999999</v>
      </c>
      <c r="I4" s="27">
        <v>8290.1250999999993</v>
      </c>
      <c r="J4" s="27">
        <v>9031.9886999999999</v>
      </c>
      <c r="K4" s="27">
        <v>8234.2356999999993</v>
      </c>
      <c r="L4" s="27">
        <v>8808.2492999999995</v>
      </c>
      <c r="M4" s="27">
        <v>9290.0126</v>
      </c>
      <c r="N4" s="27">
        <v>9650.5120000000006</v>
      </c>
      <c r="O4" s="27">
        <v>9956.0218999999997</v>
      </c>
      <c r="P4" s="27">
        <v>10203.4887</v>
      </c>
      <c r="Q4" s="27">
        <v>10441.533100000001</v>
      </c>
      <c r="R4" s="27">
        <v>10562.2263</v>
      </c>
      <c r="S4" s="27" t="s">
        <v>200</v>
      </c>
      <c r="T4" s="27">
        <v>10561.2019</v>
      </c>
      <c r="U4" s="27" t="s">
        <v>200</v>
      </c>
      <c r="V4" s="27">
        <v>10201.962</v>
      </c>
      <c r="W4" s="27" t="s">
        <v>200</v>
      </c>
      <c r="X4" s="27">
        <v>9664.7126000000007</v>
      </c>
      <c r="Y4" s="27" t="s">
        <v>200</v>
      </c>
      <c r="Z4" s="27">
        <v>9337.7253000000001</v>
      </c>
    </row>
    <row r="5" spans="1:26">
      <c r="A5" s="27" t="s">
        <v>203</v>
      </c>
      <c r="B5" s="27" t="s">
        <v>204</v>
      </c>
      <c r="C5" s="27" t="s">
        <v>198</v>
      </c>
      <c r="D5" s="27" t="s">
        <v>1159</v>
      </c>
      <c r="E5" s="27" t="s">
        <v>83</v>
      </c>
      <c r="F5" s="27" t="s">
        <v>200</v>
      </c>
      <c r="G5" s="27">
        <v>6666.0285999999996</v>
      </c>
      <c r="H5" s="27">
        <v>7353.4795999999997</v>
      </c>
      <c r="I5" s="27">
        <v>8313.9251999999997</v>
      </c>
      <c r="J5" s="27">
        <v>9079.8241999999991</v>
      </c>
      <c r="K5" s="27">
        <v>8979.2983999999997</v>
      </c>
      <c r="L5" s="27">
        <v>9495.2934999999998</v>
      </c>
      <c r="M5" s="27">
        <v>9425.5419999999995</v>
      </c>
      <c r="N5" s="27">
        <v>9437.0910000000003</v>
      </c>
      <c r="O5" s="27">
        <v>9773.5980999999992</v>
      </c>
      <c r="P5" s="27">
        <v>10064.6466</v>
      </c>
      <c r="Q5" s="27">
        <v>10429.7307</v>
      </c>
      <c r="R5" s="27">
        <v>10654.9005</v>
      </c>
      <c r="S5" s="27" t="s">
        <v>200</v>
      </c>
      <c r="T5" s="27">
        <v>10688.1438</v>
      </c>
      <c r="U5" s="27" t="s">
        <v>200</v>
      </c>
      <c r="V5" s="27">
        <v>10424.252200000001</v>
      </c>
      <c r="W5" s="27" t="s">
        <v>200</v>
      </c>
      <c r="X5" s="27">
        <v>9947.4588999999996</v>
      </c>
      <c r="Y5" s="27" t="s">
        <v>200</v>
      </c>
      <c r="Z5" s="27">
        <v>9614.9236000000001</v>
      </c>
    </row>
    <row r="6" spans="1:26">
      <c r="A6" s="27" t="s">
        <v>207</v>
      </c>
      <c r="B6" s="27" t="s">
        <v>208</v>
      </c>
      <c r="C6" s="27" t="s">
        <v>198</v>
      </c>
      <c r="D6" s="27" t="s">
        <v>1159</v>
      </c>
      <c r="E6" s="27" t="s">
        <v>83</v>
      </c>
      <c r="F6" s="27">
        <v>5798.3527999999988</v>
      </c>
      <c r="G6" s="27">
        <v>6179.0123999999996</v>
      </c>
      <c r="H6" s="27">
        <v>6559.6720999999998</v>
      </c>
      <c r="I6" s="27">
        <v>6877.0460999999996</v>
      </c>
      <c r="J6" s="27">
        <v>7194.4201999999996</v>
      </c>
      <c r="K6" s="27">
        <v>6793.4476625489788</v>
      </c>
      <c r="L6" s="27">
        <v>6397.9639937875272</v>
      </c>
      <c r="M6" s="27">
        <v>6196.4674064297797</v>
      </c>
      <c r="N6" s="27">
        <v>6009.6333302211096</v>
      </c>
      <c r="O6" s="27">
        <v>5893.0822957934888</v>
      </c>
      <c r="P6" s="27">
        <v>5778.3325663529376</v>
      </c>
      <c r="Q6" s="27">
        <v>5699.3922893086483</v>
      </c>
      <c r="R6" s="27">
        <v>5698.27426847689</v>
      </c>
      <c r="S6" s="27" t="s">
        <v>200</v>
      </c>
      <c r="T6" s="27">
        <v>5641.8680762037438</v>
      </c>
      <c r="U6" s="27" t="s">
        <v>200</v>
      </c>
      <c r="V6" s="27">
        <v>5594.4382964687748</v>
      </c>
      <c r="W6" s="27" t="s">
        <v>200</v>
      </c>
      <c r="X6" s="27">
        <v>5458.6684352485354</v>
      </c>
      <c r="Y6" s="27" t="s">
        <v>200</v>
      </c>
      <c r="Z6" s="27">
        <v>5262.589327282526</v>
      </c>
    </row>
    <row r="7" spans="1:26">
      <c r="A7" s="27" t="s">
        <v>209</v>
      </c>
      <c r="B7" s="27" t="s">
        <v>210</v>
      </c>
      <c r="C7" s="27" t="s">
        <v>198</v>
      </c>
      <c r="D7" s="27" t="s">
        <v>1159</v>
      </c>
      <c r="E7" s="27" t="s">
        <v>83</v>
      </c>
      <c r="F7" s="27" t="s">
        <v>200</v>
      </c>
      <c r="G7" s="27" t="s">
        <v>200</v>
      </c>
      <c r="H7" s="27">
        <v>6936.9499999999989</v>
      </c>
      <c r="I7" s="27">
        <v>7427.7170999999998</v>
      </c>
      <c r="J7" s="27">
        <v>7941.9099000000006</v>
      </c>
      <c r="K7" s="27">
        <v>5324.0196999999998</v>
      </c>
      <c r="L7" s="27">
        <v>5139.4885999999988</v>
      </c>
      <c r="M7" s="27">
        <v>4990.9736000000003</v>
      </c>
      <c r="N7" s="27">
        <v>5075.8780000000006</v>
      </c>
      <c r="O7" s="27">
        <v>5520.4874000000009</v>
      </c>
      <c r="P7" s="27">
        <v>6249.5418000000009</v>
      </c>
      <c r="Q7" s="27">
        <v>6361.6378999999988</v>
      </c>
      <c r="R7" s="27">
        <v>6276.3842000000013</v>
      </c>
      <c r="S7" s="27">
        <v>6232.4979999999996</v>
      </c>
      <c r="T7" s="27">
        <v>6396.897899999999</v>
      </c>
      <c r="U7" s="27">
        <v>6540.3907000000008</v>
      </c>
      <c r="V7" s="27">
        <v>6574.1471000000001</v>
      </c>
      <c r="W7" s="27">
        <v>6659.3520000000008</v>
      </c>
      <c r="X7" s="27">
        <v>6746.8139000000001</v>
      </c>
      <c r="Y7" s="27">
        <v>6819.8318999999992</v>
      </c>
      <c r="Z7" s="27">
        <v>6875.2273999999998</v>
      </c>
    </row>
    <row r="8" spans="1:26">
      <c r="A8" s="27" t="s">
        <v>196</v>
      </c>
      <c r="B8" s="27" t="s">
        <v>213</v>
      </c>
      <c r="C8" s="27" t="s">
        <v>198</v>
      </c>
      <c r="D8" s="27" t="s">
        <v>1159</v>
      </c>
      <c r="E8" s="27" t="s">
        <v>83</v>
      </c>
      <c r="F8" s="27" t="s">
        <v>200</v>
      </c>
      <c r="G8" s="27">
        <v>6653.2909</v>
      </c>
      <c r="H8" s="27">
        <v>7330.2029000000002</v>
      </c>
      <c r="I8" s="27">
        <v>8288.8250000000007</v>
      </c>
      <c r="J8" s="27">
        <v>9026.1784000000007</v>
      </c>
      <c r="K8" s="27">
        <v>7173.1117999999997</v>
      </c>
      <c r="L8" s="27">
        <v>6513.1998000000003</v>
      </c>
      <c r="M8" s="27">
        <v>5705.6387000000004</v>
      </c>
      <c r="N8" s="27">
        <v>4708.4175999999998</v>
      </c>
      <c r="O8" s="27">
        <v>3895.2464</v>
      </c>
      <c r="P8" s="27">
        <v>3189.9270000000001</v>
      </c>
      <c r="Q8" s="27">
        <v>3166.9670999999998</v>
      </c>
      <c r="R8" s="27">
        <v>3131.9407999999999</v>
      </c>
      <c r="S8" s="27" t="s">
        <v>200</v>
      </c>
      <c r="T8" s="27">
        <v>2980.9803000000002</v>
      </c>
      <c r="U8" s="27" t="s">
        <v>200</v>
      </c>
      <c r="V8" s="27">
        <v>2770.5043000000001</v>
      </c>
      <c r="W8" s="27" t="s">
        <v>200</v>
      </c>
      <c r="X8" s="27">
        <v>2501.0232999999998</v>
      </c>
      <c r="Y8" s="27" t="s">
        <v>200</v>
      </c>
      <c r="Z8" s="27">
        <v>2218.0252</v>
      </c>
    </row>
    <row r="9" spans="1:26">
      <c r="A9" s="27" t="s">
        <v>214</v>
      </c>
      <c r="B9" s="27" t="s">
        <v>215</v>
      </c>
      <c r="C9" s="27" t="s">
        <v>198</v>
      </c>
      <c r="D9" s="27" t="s">
        <v>1159</v>
      </c>
      <c r="E9" s="27" t="s">
        <v>83</v>
      </c>
      <c r="F9" s="27" t="s">
        <v>200</v>
      </c>
      <c r="G9" s="27">
        <v>7349.2508769999977</v>
      </c>
      <c r="H9" s="27">
        <v>8004.551622</v>
      </c>
      <c r="I9" s="27" t="s">
        <v>200</v>
      </c>
      <c r="J9" s="27">
        <v>7539.9053590000003</v>
      </c>
      <c r="K9" s="27" t="s">
        <v>200</v>
      </c>
      <c r="L9" s="27">
        <v>7348.8770599999998</v>
      </c>
      <c r="M9" s="27" t="s">
        <v>200</v>
      </c>
      <c r="N9" s="27">
        <v>7165.1575060000014</v>
      </c>
      <c r="O9" s="27" t="s">
        <v>200</v>
      </c>
      <c r="P9" s="27">
        <v>6875.0937159999976</v>
      </c>
      <c r="Q9" s="27" t="s">
        <v>200</v>
      </c>
      <c r="R9" s="27">
        <v>6483.1395590000002</v>
      </c>
      <c r="S9" s="27" t="s">
        <v>200</v>
      </c>
      <c r="T9" s="27">
        <v>5890.1030360000004</v>
      </c>
      <c r="U9" s="27" t="s">
        <v>200</v>
      </c>
      <c r="V9" s="27">
        <v>5379.6393579999994</v>
      </c>
      <c r="W9" s="27" t="s">
        <v>200</v>
      </c>
      <c r="X9" s="27">
        <v>4746.2920679999997</v>
      </c>
      <c r="Y9" s="27" t="s">
        <v>200</v>
      </c>
      <c r="Z9" s="27">
        <v>4052.3520770000009</v>
      </c>
    </row>
    <row r="10" spans="1:26">
      <c r="A10" s="27" t="s">
        <v>218</v>
      </c>
      <c r="B10" s="27" t="s">
        <v>219</v>
      </c>
      <c r="C10" s="27" t="s">
        <v>198</v>
      </c>
      <c r="D10" s="27" t="s">
        <v>1159</v>
      </c>
      <c r="E10" s="27" t="s">
        <v>83</v>
      </c>
      <c r="F10" s="27" t="s">
        <v>200</v>
      </c>
      <c r="G10" s="27">
        <v>7110.7804999999998</v>
      </c>
      <c r="H10" s="27">
        <v>8050.0747000000001</v>
      </c>
      <c r="I10" s="27">
        <v>8635.6</v>
      </c>
      <c r="J10" s="27">
        <v>9386.7036000000007</v>
      </c>
      <c r="K10" s="27">
        <v>9671.9419999999991</v>
      </c>
      <c r="L10" s="27">
        <v>9986.741</v>
      </c>
      <c r="M10" s="27">
        <v>9971.7469999999994</v>
      </c>
      <c r="N10" s="27">
        <v>9993.5679999999993</v>
      </c>
      <c r="O10" s="27">
        <v>10154.15</v>
      </c>
      <c r="P10" s="27">
        <v>10138.540000000001</v>
      </c>
      <c r="Q10" s="27">
        <v>10280.42</v>
      </c>
      <c r="R10" s="27">
        <v>10378.99</v>
      </c>
      <c r="S10" s="27" t="s">
        <v>200</v>
      </c>
      <c r="T10" s="27">
        <v>10668.6</v>
      </c>
      <c r="U10" s="27" t="s">
        <v>200</v>
      </c>
      <c r="V10" s="27">
        <v>10587.95</v>
      </c>
      <c r="W10" s="27" t="s">
        <v>200</v>
      </c>
      <c r="X10" s="27">
        <v>10435.620000000001</v>
      </c>
      <c r="Y10" s="27" t="s">
        <v>200</v>
      </c>
      <c r="Z10" s="27">
        <v>9782.4060000000009</v>
      </c>
    </row>
    <row r="11" spans="1:26">
      <c r="A11" s="27" t="s">
        <v>220</v>
      </c>
      <c r="B11" s="27" t="s">
        <v>221</v>
      </c>
      <c r="C11" s="27" t="s">
        <v>198</v>
      </c>
      <c r="D11" s="27" t="s">
        <v>1159</v>
      </c>
      <c r="E11" s="27" t="s">
        <v>83</v>
      </c>
      <c r="F11" s="27" t="s">
        <v>200</v>
      </c>
      <c r="G11" s="27">
        <v>7058.3324404189407</v>
      </c>
      <c r="H11" s="27">
        <v>7481.5849060595301</v>
      </c>
      <c r="I11" s="27" t="s">
        <v>200</v>
      </c>
      <c r="J11" s="27">
        <v>7859.0718705406998</v>
      </c>
      <c r="K11" s="27" t="s">
        <v>200</v>
      </c>
      <c r="L11" s="27">
        <v>5875.7606919436503</v>
      </c>
      <c r="M11" s="27" t="s">
        <v>200</v>
      </c>
      <c r="N11" s="27">
        <v>5669.6458839775414</v>
      </c>
      <c r="O11" s="27" t="s">
        <v>200</v>
      </c>
      <c r="P11" s="27">
        <v>5522.1013639230714</v>
      </c>
      <c r="Q11" s="27" t="s">
        <v>200</v>
      </c>
      <c r="R11" s="27">
        <v>5382.9763277881202</v>
      </c>
      <c r="S11" s="27" t="s">
        <v>200</v>
      </c>
      <c r="T11" s="27">
        <v>5207.6755904915299</v>
      </c>
      <c r="U11" s="27" t="s">
        <v>200</v>
      </c>
      <c r="V11" s="27">
        <v>5015.8770109530396</v>
      </c>
      <c r="W11" s="27" t="s">
        <v>200</v>
      </c>
      <c r="X11" s="27">
        <v>4791.9924855805602</v>
      </c>
      <c r="Y11" s="27" t="s">
        <v>200</v>
      </c>
      <c r="Z11" s="27">
        <v>4538.78513705365</v>
      </c>
    </row>
    <row r="12" spans="1:26">
      <c r="A12" s="27" t="s">
        <v>222</v>
      </c>
      <c r="B12" s="27" t="s">
        <v>223</v>
      </c>
      <c r="C12" s="27" t="s">
        <v>198</v>
      </c>
      <c r="D12" s="27" t="s">
        <v>1159</v>
      </c>
      <c r="E12" s="27" t="s">
        <v>83</v>
      </c>
      <c r="F12" s="27" t="s">
        <v>200</v>
      </c>
      <c r="G12" s="27">
        <v>6844.4237000000003</v>
      </c>
      <c r="H12" s="27">
        <v>7524.4458999999997</v>
      </c>
      <c r="I12" s="27">
        <v>8496.6077999999998</v>
      </c>
      <c r="J12" s="27">
        <v>9227.2883999999995</v>
      </c>
      <c r="K12" s="27">
        <v>8571.3014000000003</v>
      </c>
      <c r="L12" s="27">
        <v>9056.9074000000001</v>
      </c>
      <c r="M12" s="27">
        <v>9354.7960999999996</v>
      </c>
      <c r="N12" s="27">
        <v>9669.5216999999993</v>
      </c>
      <c r="O12" s="27">
        <v>9989.9491999999991</v>
      </c>
      <c r="P12" s="27">
        <v>10171.895699999999</v>
      </c>
      <c r="Q12" s="27">
        <v>10330.741400000001</v>
      </c>
      <c r="R12" s="27">
        <v>10394.789500000001</v>
      </c>
      <c r="S12" s="27" t="s">
        <v>200</v>
      </c>
      <c r="T12" s="27">
        <v>10316.305899999999</v>
      </c>
      <c r="U12" s="27" t="s">
        <v>200</v>
      </c>
      <c r="V12" s="27">
        <v>9939.4801000000007</v>
      </c>
      <c r="W12" s="27" t="s">
        <v>200</v>
      </c>
      <c r="X12" s="27">
        <v>9384.8050999999996</v>
      </c>
      <c r="Y12" s="27" t="s">
        <v>200</v>
      </c>
      <c r="Z12" s="27">
        <v>8999.9444000000003</v>
      </c>
    </row>
    <row r="13" spans="1:26">
      <c r="A13" s="27" t="s">
        <v>196</v>
      </c>
      <c r="B13" s="27" t="s">
        <v>224</v>
      </c>
      <c r="C13" s="27" t="s">
        <v>198</v>
      </c>
      <c r="D13" s="27" t="s">
        <v>1159</v>
      </c>
      <c r="E13" s="27" t="s">
        <v>83</v>
      </c>
      <c r="F13" s="27" t="s">
        <v>200</v>
      </c>
      <c r="G13" s="27">
        <v>6653.2909</v>
      </c>
      <c r="H13" s="27">
        <v>7329.7896000000001</v>
      </c>
      <c r="I13" s="27">
        <v>8288.0249999999996</v>
      </c>
      <c r="J13" s="27">
        <v>9024.9858999999997</v>
      </c>
      <c r="K13" s="27">
        <v>8233.4043999999994</v>
      </c>
      <c r="L13" s="27">
        <v>8815.5283999999992</v>
      </c>
      <c r="M13" s="27">
        <v>9292.6404000000002</v>
      </c>
      <c r="N13" s="27">
        <v>9638.4246999999996</v>
      </c>
      <c r="O13" s="27">
        <v>9937.7739000000001</v>
      </c>
      <c r="P13" s="27">
        <v>10138.876099999999</v>
      </c>
      <c r="Q13" s="27">
        <v>10309.7032</v>
      </c>
      <c r="R13" s="27">
        <v>10413.2639</v>
      </c>
      <c r="S13" s="27" t="s">
        <v>200</v>
      </c>
      <c r="T13" s="27">
        <v>10307.890600000001</v>
      </c>
      <c r="U13" s="27" t="s">
        <v>200</v>
      </c>
      <c r="V13" s="27">
        <v>9937.4873000000007</v>
      </c>
      <c r="W13" s="27" t="s">
        <v>200</v>
      </c>
      <c r="X13" s="27">
        <v>9398.4138999999996</v>
      </c>
      <c r="Y13" s="27" t="s">
        <v>200</v>
      </c>
      <c r="Z13" s="27">
        <v>9039.6785999999993</v>
      </c>
    </row>
    <row r="14" spans="1:26">
      <c r="A14" s="27" t="s">
        <v>207</v>
      </c>
      <c r="B14" s="27" t="s">
        <v>225</v>
      </c>
      <c r="C14" s="27" t="s">
        <v>198</v>
      </c>
      <c r="D14" s="27" t="s">
        <v>1159</v>
      </c>
      <c r="E14" s="27" t="s">
        <v>83</v>
      </c>
      <c r="F14" s="27">
        <v>5798.3527999999988</v>
      </c>
      <c r="G14" s="27">
        <v>6179.0123999999996</v>
      </c>
      <c r="H14" s="27">
        <v>6559.6720999999998</v>
      </c>
      <c r="I14" s="27">
        <v>6877.0460999999996</v>
      </c>
      <c r="J14" s="27">
        <v>7194.4201999999996</v>
      </c>
      <c r="K14" s="27">
        <v>6756.3053999999993</v>
      </c>
      <c r="L14" s="27">
        <v>6326.0881444824063</v>
      </c>
      <c r="M14" s="27">
        <v>6130.6650007217186</v>
      </c>
      <c r="N14" s="27">
        <v>5941.9153244413783</v>
      </c>
      <c r="O14" s="27">
        <v>5801.2201807662696</v>
      </c>
      <c r="P14" s="27">
        <v>5681.4845294889037</v>
      </c>
      <c r="Q14" s="27">
        <v>5605.7781913183171</v>
      </c>
      <c r="R14" s="27">
        <v>5556.5056645074819</v>
      </c>
      <c r="S14" s="27" t="s">
        <v>200</v>
      </c>
      <c r="T14" s="27">
        <v>5561.4570500038026</v>
      </c>
      <c r="U14" s="27" t="s">
        <v>200</v>
      </c>
      <c r="V14" s="27">
        <v>5549.3738975312936</v>
      </c>
      <c r="W14" s="27" t="s">
        <v>200</v>
      </c>
      <c r="X14" s="27">
        <v>5432.9551175185879</v>
      </c>
      <c r="Y14" s="27" t="s">
        <v>200</v>
      </c>
      <c r="Z14" s="27">
        <v>5246.3880073514219</v>
      </c>
    </row>
    <row r="15" spans="1:26">
      <c r="A15" s="27" t="s">
        <v>226</v>
      </c>
      <c r="B15" s="27" t="s">
        <v>227</v>
      </c>
      <c r="C15" s="27" t="s">
        <v>198</v>
      </c>
      <c r="D15" s="27" t="s">
        <v>1159</v>
      </c>
      <c r="E15" s="27" t="s">
        <v>83</v>
      </c>
      <c r="F15" s="27" t="s">
        <v>200</v>
      </c>
      <c r="G15" s="27">
        <v>7098.9782999999998</v>
      </c>
      <c r="H15" s="27">
        <v>8047.42</v>
      </c>
      <c r="I15" s="27">
        <v>8695.3665999999994</v>
      </c>
      <c r="J15" s="27">
        <v>9608.2219000000005</v>
      </c>
      <c r="K15" s="27">
        <v>8557.1641999999993</v>
      </c>
      <c r="L15" s="27">
        <v>8284.4056999999993</v>
      </c>
      <c r="M15" s="27">
        <v>7594.8065999999999</v>
      </c>
      <c r="N15" s="27">
        <v>7643.0464000000002</v>
      </c>
      <c r="O15" s="27">
        <v>7430.8963999999996</v>
      </c>
      <c r="P15" s="27">
        <v>7687.2093000000004</v>
      </c>
      <c r="Q15" s="27">
        <v>7634.9045999999998</v>
      </c>
      <c r="R15" s="27">
        <v>7506.4542000000001</v>
      </c>
      <c r="S15" s="27" t="s">
        <v>200</v>
      </c>
      <c r="T15" s="27">
        <v>7266.9611000000004</v>
      </c>
      <c r="U15" s="27" t="s">
        <v>200</v>
      </c>
      <c r="V15" s="27">
        <v>6920.5819999999994</v>
      </c>
      <c r="W15" s="27" t="s">
        <v>200</v>
      </c>
      <c r="X15" s="27">
        <v>6479.7999</v>
      </c>
      <c r="Y15" s="27" t="s">
        <v>200</v>
      </c>
      <c r="Z15" s="27">
        <v>5989.5173000000004</v>
      </c>
    </row>
    <row r="16" spans="1:26">
      <c r="A16" s="27" t="s">
        <v>226</v>
      </c>
      <c r="B16" s="27" t="s">
        <v>228</v>
      </c>
      <c r="C16" s="27" t="s">
        <v>198</v>
      </c>
      <c r="D16" s="27" t="s">
        <v>1159</v>
      </c>
      <c r="E16" s="27" t="s">
        <v>83</v>
      </c>
      <c r="F16" s="27" t="s">
        <v>200</v>
      </c>
      <c r="G16" s="27">
        <v>7098.2164000000002</v>
      </c>
      <c r="H16" s="27">
        <v>8047.1898000000001</v>
      </c>
      <c r="I16" s="27">
        <v>8688.1411000000007</v>
      </c>
      <c r="J16" s="27">
        <v>9561.9169000000002</v>
      </c>
      <c r="K16" s="27">
        <v>8567.9881000000005</v>
      </c>
      <c r="L16" s="27">
        <v>8301.0285000000003</v>
      </c>
      <c r="M16" s="27">
        <v>7639.3635999999997</v>
      </c>
      <c r="N16" s="27">
        <v>7730.1949000000004</v>
      </c>
      <c r="O16" s="27">
        <v>7623.7972</v>
      </c>
      <c r="P16" s="27">
        <v>8015.8153000000002</v>
      </c>
      <c r="Q16" s="27">
        <v>8052.8293999999996</v>
      </c>
      <c r="R16" s="27">
        <v>8089.8482000000004</v>
      </c>
      <c r="S16" s="27" t="s">
        <v>200</v>
      </c>
      <c r="T16" s="27">
        <v>8223.2662</v>
      </c>
      <c r="U16" s="27" t="s">
        <v>200</v>
      </c>
      <c r="V16" s="27">
        <v>8057.1442999999999</v>
      </c>
      <c r="W16" s="27" t="s">
        <v>200</v>
      </c>
      <c r="X16" s="27">
        <v>7687.0388000000003</v>
      </c>
      <c r="Y16" s="27" t="s">
        <v>200</v>
      </c>
      <c r="Z16" s="27">
        <v>7286.2524999999996</v>
      </c>
    </row>
    <row r="17" spans="1:26">
      <c r="A17" s="27" t="s">
        <v>207</v>
      </c>
      <c r="B17" s="27" t="s">
        <v>229</v>
      </c>
      <c r="C17" s="27" t="s">
        <v>198</v>
      </c>
      <c r="D17" s="27" t="s">
        <v>1159</v>
      </c>
      <c r="E17" s="27" t="s">
        <v>83</v>
      </c>
      <c r="F17" s="27">
        <v>5798.3527999999988</v>
      </c>
      <c r="G17" s="27">
        <v>6179.0123999999996</v>
      </c>
      <c r="H17" s="27">
        <v>6559.6720999999998</v>
      </c>
      <c r="I17" s="27">
        <v>6877.0460999999996</v>
      </c>
      <c r="J17" s="27">
        <v>7194.4201999999996</v>
      </c>
      <c r="K17" s="27">
        <v>6753.3903073148249</v>
      </c>
      <c r="L17" s="27">
        <v>6313.6787874804622</v>
      </c>
      <c r="M17" s="27">
        <v>6113.7302093643557</v>
      </c>
      <c r="N17" s="27">
        <v>5925.2722900596473</v>
      </c>
      <c r="O17" s="27">
        <v>5787.2207575039283</v>
      </c>
      <c r="P17" s="27">
        <v>5648.1034042959509</v>
      </c>
      <c r="Q17" s="27">
        <v>5563.8134256419371</v>
      </c>
      <c r="R17" s="27">
        <v>5505.8458086284809</v>
      </c>
      <c r="S17" s="27" t="s">
        <v>200</v>
      </c>
      <c r="T17" s="27">
        <v>5521.4972961219537</v>
      </c>
      <c r="U17" s="27" t="s">
        <v>200</v>
      </c>
      <c r="V17" s="27">
        <v>5514.0152356073631</v>
      </c>
      <c r="W17" s="27" t="s">
        <v>200</v>
      </c>
      <c r="X17" s="27">
        <v>5419.1755405151825</v>
      </c>
      <c r="Y17" s="27" t="s">
        <v>200</v>
      </c>
      <c r="Z17" s="27">
        <v>5239.6219459334834</v>
      </c>
    </row>
    <row r="18" spans="1:26">
      <c r="A18" s="27" t="s">
        <v>207</v>
      </c>
      <c r="B18" s="27" t="s">
        <v>230</v>
      </c>
      <c r="C18" s="27" t="s">
        <v>198</v>
      </c>
      <c r="D18" s="27" t="s">
        <v>1159</v>
      </c>
      <c r="E18" s="27" t="s">
        <v>83</v>
      </c>
      <c r="F18" s="27">
        <v>5798.3527999999988</v>
      </c>
      <c r="G18" s="27">
        <v>6179.0123999999996</v>
      </c>
      <c r="H18" s="27">
        <v>6559.6720999999998</v>
      </c>
      <c r="I18" s="27">
        <v>6877.0460999999996</v>
      </c>
      <c r="J18" s="27">
        <v>7194.4201999999996</v>
      </c>
      <c r="K18" s="27">
        <v>6622.0272316367518</v>
      </c>
      <c r="L18" s="27">
        <v>6045.7596111702442</v>
      </c>
      <c r="M18" s="27">
        <v>5814.7367786919594</v>
      </c>
      <c r="N18" s="27">
        <v>5581.563700307277</v>
      </c>
      <c r="O18" s="27">
        <v>5395.4637111739203</v>
      </c>
      <c r="P18" s="27">
        <v>5229.3330664424657</v>
      </c>
      <c r="Q18" s="27">
        <v>5267.9057804708909</v>
      </c>
      <c r="R18" s="27">
        <v>5314.2424841088587</v>
      </c>
      <c r="S18" s="27" t="s">
        <v>200</v>
      </c>
      <c r="T18" s="27">
        <v>5363.9781912356502</v>
      </c>
      <c r="U18" s="27" t="s">
        <v>200</v>
      </c>
      <c r="V18" s="27">
        <v>5418.6973377188751</v>
      </c>
      <c r="W18" s="27" t="s">
        <v>200</v>
      </c>
      <c r="X18" s="27">
        <v>5372.7987808472162</v>
      </c>
      <c r="Y18" s="27" t="s">
        <v>200</v>
      </c>
      <c r="Z18" s="27">
        <v>5227.5274782326114</v>
      </c>
    </row>
    <row r="19" spans="1:26">
      <c r="A19" s="27" t="s">
        <v>231</v>
      </c>
      <c r="B19" s="27" t="s">
        <v>232</v>
      </c>
      <c r="C19" s="27" t="s">
        <v>198</v>
      </c>
      <c r="D19" s="27" t="s">
        <v>1159</v>
      </c>
      <c r="E19" s="27" t="s">
        <v>83</v>
      </c>
      <c r="F19" s="27" t="s">
        <v>200</v>
      </c>
      <c r="G19" s="27">
        <v>6870.2088015372901</v>
      </c>
      <c r="H19" s="27">
        <v>7477.0491701382898</v>
      </c>
      <c r="I19" s="27">
        <v>7845.3727100443803</v>
      </c>
      <c r="J19" s="27">
        <v>8400.2811448858192</v>
      </c>
      <c r="K19" s="27">
        <v>8369.8066665587194</v>
      </c>
      <c r="L19" s="27">
        <v>8879.7918306794709</v>
      </c>
      <c r="M19" s="27">
        <v>9065.3030784792609</v>
      </c>
      <c r="N19" s="27">
        <v>9187.26513918212</v>
      </c>
      <c r="O19" s="27">
        <v>9298.1765086790292</v>
      </c>
      <c r="P19" s="27">
        <v>9462.0977579396404</v>
      </c>
      <c r="Q19" s="27">
        <v>9506.7746194398806</v>
      </c>
      <c r="R19" s="27">
        <v>9534.6563478600201</v>
      </c>
      <c r="S19" s="27">
        <v>9562.2600866105804</v>
      </c>
      <c r="T19" s="27">
        <v>9591.8007318929504</v>
      </c>
      <c r="U19" s="27">
        <v>9623.3991771917299</v>
      </c>
      <c r="V19" s="27">
        <v>9658.8516209736699</v>
      </c>
      <c r="W19" s="27">
        <v>9670.3204851318405</v>
      </c>
      <c r="X19" s="27">
        <v>9658.9438205247097</v>
      </c>
      <c r="Y19" s="27">
        <v>9632.7045013446495</v>
      </c>
      <c r="Z19" s="27">
        <v>9591.8602426903108</v>
      </c>
    </row>
    <row r="20" spans="1:26">
      <c r="A20" s="27" t="s">
        <v>233</v>
      </c>
      <c r="B20" s="27" t="s">
        <v>224</v>
      </c>
      <c r="C20" s="27" t="s">
        <v>198</v>
      </c>
      <c r="D20" s="27" t="s">
        <v>1159</v>
      </c>
      <c r="E20" s="27" t="s">
        <v>83</v>
      </c>
      <c r="F20" s="27" t="s">
        <v>200</v>
      </c>
      <c r="G20" s="27" t="s">
        <v>200</v>
      </c>
      <c r="H20" s="27">
        <v>7439.1262296134801</v>
      </c>
      <c r="I20" s="27">
        <v>7677.3479789000003</v>
      </c>
      <c r="J20" s="27">
        <v>8443.4883105383669</v>
      </c>
      <c r="K20" s="27">
        <v>6342.7337975812816</v>
      </c>
      <c r="L20" s="27">
        <v>5754.0752445033004</v>
      </c>
      <c r="M20" s="27">
        <v>5495.7963152573984</v>
      </c>
      <c r="N20" s="27">
        <v>5239.8205365272352</v>
      </c>
      <c r="O20" s="27">
        <v>5002.0177501269718</v>
      </c>
      <c r="P20" s="27">
        <v>4760.8322510772123</v>
      </c>
      <c r="Q20" s="27">
        <v>4812.2915536036207</v>
      </c>
      <c r="R20" s="27">
        <v>4863.3916774657719</v>
      </c>
      <c r="S20" s="27">
        <v>4905.6752927035004</v>
      </c>
      <c r="T20" s="27">
        <v>4945.9117611248221</v>
      </c>
      <c r="U20" s="27">
        <v>4978.9041424296647</v>
      </c>
      <c r="V20" s="27">
        <v>5011.8965237345064</v>
      </c>
      <c r="W20" s="27">
        <v>5016.0529023599784</v>
      </c>
      <c r="X20" s="27">
        <v>5020.2092809854548</v>
      </c>
      <c r="Y20" s="27">
        <v>4997.8257470609587</v>
      </c>
      <c r="Z20" s="27">
        <v>4975.442213136459</v>
      </c>
    </row>
    <row r="21" spans="1:26">
      <c r="A21" s="27" t="s">
        <v>220</v>
      </c>
      <c r="B21" s="27" t="s">
        <v>215</v>
      </c>
      <c r="C21" s="27" t="s">
        <v>198</v>
      </c>
      <c r="D21" s="27" t="s">
        <v>1159</v>
      </c>
      <c r="E21" s="27" t="s">
        <v>83</v>
      </c>
      <c r="F21" s="27" t="s">
        <v>200</v>
      </c>
      <c r="G21" s="27">
        <v>7058.3324404189407</v>
      </c>
      <c r="H21" s="27">
        <v>7481.5849060595301</v>
      </c>
      <c r="I21" s="27" t="s">
        <v>200</v>
      </c>
      <c r="J21" s="27">
        <v>7795.0937841537907</v>
      </c>
      <c r="K21" s="27" t="s">
        <v>200</v>
      </c>
      <c r="L21" s="27">
        <v>5878.4908625396802</v>
      </c>
      <c r="M21" s="27" t="s">
        <v>200</v>
      </c>
      <c r="N21" s="27">
        <v>5671.5044734799703</v>
      </c>
      <c r="O21" s="27" t="s">
        <v>200</v>
      </c>
      <c r="P21" s="27">
        <v>5520.9657010513602</v>
      </c>
      <c r="Q21" s="27" t="s">
        <v>200</v>
      </c>
      <c r="R21" s="27">
        <v>5382.4175047945791</v>
      </c>
      <c r="S21" s="27" t="s">
        <v>200</v>
      </c>
      <c r="T21" s="27">
        <v>5207.6732639827796</v>
      </c>
      <c r="U21" s="27" t="s">
        <v>200</v>
      </c>
      <c r="V21" s="27">
        <v>5015.4867951882707</v>
      </c>
      <c r="W21" s="27" t="s">
        <v>200</v>
      </c>
      <c r="X21" s="27">
        <v>4788.5620320339895</v>
      </c>
      <c r="Y21" s="27" t="s">
        <v>200</v>
      </c>
      <c r="Z21" s="27">
        <v>4530.2205884817886</v>
      </c>
    </row>
    <row r="22" spans="1:26">
      <c r="A22" s="27" t="s">
        <v>226</v>
      </c>
      <c r="B22" s="27" t="s">
        <v>234</v>
      </c>
      <c r="C22" s="27" t="s">
        <v>198</v>
      </c>
      <c r="D22" s="27" t="s">
        <v>1159</v>
      </c>
      <c r="E22" s="27" t="s">
        <v>83</v>
      </c>
      <c r="F22" s="27" t="s">
        <v>200</v>
      </c>
      <c r="G22" s="27">
        <v>7098.9782999999998</v>
      </c>
      <c r="H22" s="27">
        <v>8047.42</v>
      </c>
      <c r="I22" s="27">
        <v>8695.3665999999994</v>
      </c>
      <c r="J22" s="27">
        <v>9608.2219000000005</v>
      </c>
      <c r="K22" s="27">
        <v>7976.134</v>
      </c>
      <c r="L22" s="27">
        <v>7939.4758000000002</v>
      </c>
      <c r="M22" s="27">
        <v>7862.4360999999999</v>
      </c>
      <c r="N22" s="27">
        <v>8459.8356999999996</v>
      </c>
      <c r="O22" s="27">
        <v>7947.7790999999997</v>
      </c>
      <c r="P22" s="27">
        <v>7780.79</v>
      </c>
      <c r="Q22" s="27">
        <v>7575.0033999999996</v>
      </c>
      <c r="R22" s="27">
        <v>7431.4549999999999</v>
      </c>
      <c r="S22" s="27" t="s">
        <v>200</v>
      </c>
      <c r="T22" s="27">
        <v>7186.9793</v>
      </c>
      <c r="U22" s="27" t="s">
        <v>200</v>
      </c>
      <c r="V22" s="27">
        <v>6799.2551999999996</v>
      </c>
      <c r="W22" s="27" t="s">
        <v>200</v>
      </c>
      <c r="X22" s="27">
        <v>6436.241</v>
      </c>
      <c r="Y22" s="27" t="s">
        <v>200</v>
      </c>
      <c r="Z22" s="27">
        <v>5941.8531000000003</v>
      </c>
    </row>
    <row r="23" spans="1:26">
      <c r="A23" s="27" t="s">
        <v>196</v>
      </c>
      <c r="B23" s="27" t="s">
        <v>236</v>
      </c>
      <c r="C23" s="27" t="s">
        <v>198</v>
      </c>
      <c r="D23" s="27" t="s">
        <v>1159</v>
      </c>
      <c r="E23" s="27" t="s">
        <v>83</v>
      </c>
      <c r="F23" s="27" t="s">
        <v>200</v>
      </c>
      <c r="G23" s="27" t="s">
        <v>200</v>
      </c>
      <c r="H23" s="27">
        <v>7353.5631000000003</v>
      </c>
      <c r="I23" s="27">
        <v>8333.2065999999995</v>
      </c>
      <c r="J23" s="27">
        <v>8501.9585999999999</v>
      </c>
      <c r="K23" s="27">
        <v>7938.0693000000001</v>
      </c>
      <c r="L23" s="27">
        <v>8437.0400000000009</v>
      </c>
      <c r="M23" s="27">
        <v>8915.6236000000008</v>
      </c>
      <c r="N23" s="27">
        <v>9382.9930000000004</v>
      </c>
      <c r="O23" s="27">
        <v>9815.9513999999999</v>
      </c>
      <c r="P23" s="27">
        <v>10076.3513</v>
      </c>
      <c r="Q23" s="27">
        <v>10325.1114</v>
      </c>
      <c r="R23" s="27">
        <v>10397.4228</v>
      </c>
      <c r="S23" s="27" t="s">
        <v>200</v>
      </c>
      <c r="T23" s="27">
        <v>10190.2201</v>
      </c>
      <c r="U23" s="27" t="s">
        <v>200</v>
      </c>
      <c r="V23" s="27">
        <v>9745.0959999999995</v>
      </c>
      <c r="W23" s="27" t="s">
        <v>200</v>
      </c>
      <c r="X23" s="27">
        <v>9197.0609000000004</v>
      </c>
      <c r="Y23" s="27" t="s">
        <v>200</v>
      </c>
      <c r="Z23" s="27">
        <v>8829.2212</v>
      </c>
    </row>
    <row r="24" spans="1:26">
      <c r="A24" s="27" t="s">
        <v>231</v>
      </c>
      <c r="B24" s="27" t="s">
        <v>237</v>
      </c>
      <c r="C24" s="27" t="s">
        <v>198</v>
      </c>
      <c r="D24" s="27" t="s">
        <v>1159</v>
      </c>
      <c r="E24" s="27" t="s">
        <v>83</v>
      </c>
      <c r="F24" s="27" t="s">
        <v>200</v>
      </c>
      <c r="G24" s="27">
        <v>6870.2088015372901</v>
      </c>
      <c r="H24" s="27">
        <v>7477.0491701382898</v>
      </c>
      <c r="I24" s="27">
        <v>7845.3727100443803</v>
      </c>
      <c r="J24" s="27">
        <v>8400.2811448858192</v>
      </c>
      <c r="K24" s="27">
        <v>8480.8569735476794</v>
      </c>
      <c r="L24" s="27">
        <v>8749.2512849020295</v>
      </c>
      <c r="M24" s="27">
        <v>9073.7680895950907</v>
      </c>
      <c r="N24" s="27">
        <v>9324.8634612328697</v>
      </c>
      <c r="O24" s="27">
        <v>9279.40207017803</v>
      </c>
      <c r="P24" s="27">
        <v>9443.5090633269901</v>
      </c>
      <c r="Q24" s="27">
        <v>9487.9988956933503</v>
      </c>
      <c r="R24" s="27">
        <v>9527.1581713986598</v>
      </c>
      <c r="S24" s="27">
        <v>9564.2092731050107</v>
      </c>
      <c r="T24" s="27">
        <v>9592.8139528044903</v>
      </c>
      <c r="U24" s="27">
        <v>9617.8937071086293</v>
      </c>
      <c r="V24" s="27">
        <v>9653.0515653384991</v>
      </c>
      <c r="W24" s="27">
        <v>9674.7494471628506</v>
      </c>
      <c r="X24" s="27">
        <v>9673.1960524026108</v>
      </c>
      <c r="Y24" s="27">
        <v>9646.9111101546296</v>
      </c>
      <c r="Z24" s="27">
        <v>9587.0548472225091</v>
      </c>
    </row>
    <row r="25" spans="1:26">
      <c r="A25" s="27" t="s">
        <v>233</v>
      </c>
      <c r="B25" s="27" t="s">
        <v>238</v>
      </c>
      <c r="C25" s="27" t="s">
        <v>198</v>
      </c>
      <c r="D25" s="27" t="s">
        <v>1159</v>
      </c>
      <c r="E25" s="27" t="s">
        <v>83</v>
      </c>
      <c r="F25" s="27" t="s">
        <v>200</v>
      </c>
      <c r="G25" s="27" t="s">
        <v>200</v>
      </c>
      <c r="H25" s="27">
        <v>7439.1262296134801</v>
      </c>
      <c r="I25" s="27">
        <v>7677.3479789000003</v>
      </c>
      <c r="J25" s="27">
        <v>8443.4883105383669</v>
      </c>
      <c r="K25" s="27">
        <v>6392.1347845971013</v>
      </c>
      <c r="L25" s="27">
        <v>5810.1504707651984</v>
      </c>
      <c r="M25" s="27">
        <v>5495.7963700021928</v>
      </c>
      <c r="N25" s="27">
        <v>5239.820538947466</v>
      </c>
      <c r="O25" s="27">
        <v>5002.0290068534096</v>
      </c>
      <c r="P25" s="27">
        <v>4760.8671110949299</v>
      </c>
      <c r="Q25" s="27">
        <v>4812.2400242850608</v>
      </c>
      <c r="R25" s="27">
        <v>4863.3916774657719</v>
      </c>
      <c r="S25" s="27">
        <v>4904.6517192952961</v>
      </c>
      <c r="T25" s="27">
        <v>4946.7576419897059</v>
      </c>
      <c r="U25" s="27">
        <v>4978.9041424296647</v>
      </c>
      <c r="V25" s="27">
        <v>5011.8965237345064</v>
      </c>
      <c r="W25" s="27">
        <v>5016.0529023599784</v>
      </c>
      <c r="X25" s="27">
        <v>5020.2092809854548</v>
      </c>
      <c r="Y25" s="27">
        <v>4997.8257470609587</v>
      </c>
      <c r="Z25" s="27">
        <v>4975.442213136459</v>
      </c>
    </row>
    <row r="26" spans="1:26">
      <c r="A26" s="27" t="s">
        <v>239</v>
      </c>
      <c r="B26" s="27" t="s">
        <v>240</v>
      </c>
      <c r="C26" s="27" t="s">
        <v>198</v>
      </c>
      <c r="D26" s="27" t="s">
        <v>1159</v>
      </c>
      <c r="E26" s="27" t="s">
        <v>83</v>
      </c>
      <c r="F26" s="27" t="s">
        <v>200</v>
      </c>
      <c r="G26" s="27">
        <v>7158.0811999999996</v>
      </c>
      <c r="H26" s="27">
        <v>7881.4955</v>
      </c>
      <c r="I26" s="27" t="s">
        <v>200</v>
      </c>
      <c r="J26" s="27">
        <v>8662.0848999999998</v>
      </c>
      <c r="K26" s="27" t="s">
        <v>200</v>
      </c>
      <c r="L26" s="27">
        <v>8170.4847</v>
      </c>
      <c r="M26" s="27" t="s">
        <v>200</v>
      </c>
      <c r="N26" s="27">
        <v>8784.2610000000004</v>
      </c>
      <c r="O26" s="27" t="s">
        <v>200</v>
      </c>
      <c r="P26" s="27">
        <v>9239.0804000000007</v>
      </c>
      <c r="Q26" s="27" t="s">
        <v>200</v>
      </c>
      <c r="R26" s="27">
        <v>8749.9004000000004</v>
      </c>
      <c r="S26" s="27" t="s">
        <v>200</v>
      </c>
      <c r="T26" s="27">
        <v>8780.6764000000003</v>
      </c>
      <c r="U26" s="27" t="s">
        <v>200</v>
      </c>
      <c r="V26" s="27">
        <v>8607.0128000000004</v>
      </c>
      <c r="W26" s="27" t="s">
        <v>200</v>
      </c>
      <c r="X26" s="27">
        <v>8342.3873000000003</v>
      </c>
      <c r="Y26" s="27" t="s">
        <v>200</v>
      </c>
      <c r="Z26" s="27">
        <v>8090.3194999999996</v>
      </c>
    </row>
    <row r="27" spans="1:26">
      <c r="A27" s="27" t="s">
        <v>207</v>
      </c>
      <c r="B27" s="27" t="s">
        <v>241</v>
      </c>
      <c r="C27" s="27" t="s">
        <v>198</v>
      </c>
      <c r="D27" s="27" t="s">
        <v>1159</v>
      </c>
      <c r="E27" s="27" t="s">
        <v>83</v>
      </c>
      <c r="F27" s="27">
        <v>5798.3527999999988</v>
      </c>
      <c r="G27" s="27">
        <v>6179.0123999999996</v>
      </c>
      <c r="H27" s="27">
        <v>6559.6720999999998</v>
      </c>
      <c r="I27" s="27">
        <v>6877.0460999999996</v>
      </c>
      <c r="J27" s="27">
        <v>7194.4201999999996</v>
      </c>
      <c r="K27" s="27">
        <v>6753.9629288632077</v>
      </c>
      <c r="L27" s="27">
        <v>6313.1835783865936</v>
      </c>
      <c r="M27" s="27">
        <v>6087.386649878883</v>
      </c>
      <c r="N27" s="27">
        <v>5884.578249895666</v>
      </c>
      <c r="O27" s="27">
        <v>5743.415437951764</v>
      </c>
      <c r="P27" s="27">
        <v>5608.6374427163173</v>
      </c>
      <c r="Q27" s="27">
        <v>5514.2149342837256</v>
      </c>
      <c r="R27" s="27">
        <v>5436.5285191444373</v>
      </c>
      <c r="S27" s="27" t="s">
        <v>200</v>
      </c>
      <c r="T27" s="27">
        <v>5456.159836792026</v>
      </c>
      <c r="U27" s="27" t="s">
        <v>200</v>
      </c>
      <c r="V27" s="27">
        <v>5476.4916471886208</v>
      </c>
      <c r="W27" s="27" t="s">
        <v>200</v>
      </c>
      <c r="X27" s="27">
        <v>5405.5805853360098</v>
      </c>
      <c r="Y27" s="27" t="s">
        <v>200</v>
      </c>
      <c r="Z27" s="27">
        <v>5235.7825840598734</v>
      </c>
    </row>
    <row r="28" spans="1:26">
      <c r="A28" s="27" t="s">
        <v>242</v>
      </c>
      <c r="B28" s="27" t="s">
        <v>243</v>
      </c>
      <c r="C28" s="27" t="s">
        <v>198</v>
      </c>
      <c r="D28" s="27" t="s">
        <v>1159</v>
      </c>
      <c r="E28" s="27" t="s">
        <v>83</v>
      </c>
      <c r="F28" s="27" t="s">
        <v>200</v>
      </c>
      <c r="G28" s="27">
        <v>9037.8522767535997</v>
      </c>
      <c r="H28" s="27">
        <v>8779.6753024241789</v>
      </c>
      <c r="I28" s="27">
        <v>8850.3310959606988</v>
      </c>
      <c r="J28" s="27">
        <v>8994.4898755023296</v>
      </c>
      <c r="K28" s="27">
        <v>6403.1119358336709</v>
      </c>
      <c r="L28" s="27">
        <v>5697.1569505852003</v>
      </c>
      <c r="M28" s="27">
        <v>5215.6010559898896</v>
      </c>
      <c r="N28" s="27">
        <v>4798.0083501839799</v>
      </c>
      <c r="O28" s="27">
        <v>4417.3436814900206</v>
      </c>
      <c r="P28" s="27">
        <v>4046.6781372711998</v>
      </c>
      <c r="Q28" s="27" t="s">
        <v>200</v>
      </c>
      <c r="R28" s="27">
        <v>3877.6928516471398</v>
      </c>
      <c r="S28" s="27" t="s">
        <v>200</v>
      </c>
      <c r="T28" s="27">
        <v>3656.2826185119802</v>
      </c>
      <c r="U28" s="27" t="s">
        <v>200</v>
      </c>
      <c r="V28" s="27">
        <v>3592.2695889552201</v>
      </c>
      <c r="W28" s="27" t="s">
        <v>200</v>
      </c>
      <c r="X28" s="27">
        <v>3572.8891638992891</v>
      </c>
      <c r="Y28" s="27" t="s">
        <v>200</v>
      </c>
      <c r="Z28" s="27">
        <v>3558.8573965614801</v>
      </c>
    </row>
    <row r="29" spans="1:26">
      <c r="A29" s="27" t="s">
        <v>242</v>
      </c>
      <c r="B29" s="27" t="s">
        <v>245</v>
      </c>
      <c r="C29" s="27" t="s">
        <v>198</v>
      </c>
      <c r="D29" s="27" t="s">
        <v>1159</v>
      </c>
      <c r="E29" s="27" t="s">
        <v>83</v>
      </c>
      <c r="F29" s="27" t="s">
        <v>200</v>
      </c>
      <c r="G29" s="27">
        <v>9037.8522767535997</v>
      </c>
      <c r="H29" s="27">
        <v>8779.6753024241789</v>
      </c>
      <c r="I29" s="27">
        <v>8850.3310959606988</v>
      </c>
      <c r="J29" s="27">
        <v>8994.4898755023296</v>
      </c>
      <c r="K29" s="27">
        <v>6980.0584562334398</v>
      </c>
      <c r="L29" s="27">
        <v>6335.64092607766</v>
      </c>
      <c r="M29" s="27">
        <v>5849.5139885718509</v>
      </c>
      <c r="N29" s="27">
        <v>5444.3045455127703</v>
      </c>
      <c r="O29" s="27">
        <v>5023.9131068877796</v>
      </c>
      <c r="P29" s="27">
        <v>4627.5707814206899</v>
      </c>
      <c r="Q29" s="27" t="s">
        <v>200</v>
      </c>
      <c r="R29" s="27">
        <v>4450.9671485873396</v>
      </c>
      <c r="S29" s="27" t="s">
        <v>200</v>
      </c>
      <c r="T29" s="27">
        <v>4244.81063755165</v>
      </c>
      <c r="U29" s="27" t="s">
        <v>200</v>
      </c>
      <c r="V29" s="27">
        <v>4019.1159461750499</v>
      </c>
      <c r="W29" s="27" t="s">
        <v>200</v>
      </c>
      <c r="X29" s="27">
        <v>3829.2703736367298</v>
      </c>
      <c r="Y29" s="27" t="s">
        <v>200</v>
      </c>
      <c r="Z29" s="27">
        <v>3558.8573965614801</v>
      </c>
    </row>
    <row r="30" spans="1:26">
      <c r="A30" s="27" t="s">
        <v>246</v>
      </c>
      <c r="B30" s="27" t="s">
        <v>243</v>
      </c>
      <c r="C30" s="27" t="s">
        <v>198</v>
      </c>
      <c r="D30" s="27" t="s">
        <v>1159</v>
      </c>
      <c r="E30" s="27" t="s">
        <v>83</v>
      </c>
      <c r="F30" s="27" t="s">
        <v>200</v>
      </c>
      <c r="G30" s="27">
        <v>6460.4321</v>
      </c>
      <c r="H30" s="27">
        <v>7002.9795000000004</v>
      </c>
      <c r="I30" s="27">
        <v>7448.3427000000001</v>
      </c>
      <c r="J30" s="27">
        <v>7832.6751000000004</v>
      </c>
      <c r="K30" s="27">
        <v>5392.2074000000002</v>
      </c>
      <c r="L30" s="27">
        <v>4983.6324000000004</v>
      </c>
      <c r="M30" s="27">
        <v>4813.2194</v>
      </c>
      <c r="N30" s="27">
        <v>4931.1805999999997</v>
      </c>
      <c r="O30" s="27">
        <v>5023.0430999999999</v>
      </c>
      <c r="P30" s="27">
        <v>5273.1034</v>
      </c>
      <c r="Q30" s="27">
        <v>5345.4546</v>
      </c>
      <c r="R30" s="27">
        <v>5475.7835999999998</v>
      </c>
      <c r="S30" s="27">
        <v>5620.5577000000003</v>
      </c>
      <c r="T30" s="27">
        <v>5763.2313000000004</v>
      </c>
      <c r="U30" s="27">
        <v>5850.3226000000004</v>
      </c>
      <c r="V30" s="27">
        <v>5810.9863999999998</v>
      </c>
      <c r="W30" s="27">
        <v>5809.6206000000002</v>
      </c>
      <c r="X30" s="27">
        <v>5860.1640000000016</v>
      </c>
      <c r="Y30" s="27">
        <v>5891.9838</v>
      </c>
      <c r="Z30" s="27">
        <v>5748.2398999999996</v>
      </c>
    </row>
    <row r="31" spans="1:26">
      <c r="A31" s="27" t="s">
        <v>203</v>
      </c>
      <c r="B31" s="27" t="s">
        <v>249</v>
      </c>
      <c r="C31" s="27" t="s">
        <v>198</v>
      </c>
      <c r="D31" s="27" t="s">
        <v>1159</v>
      </c>
      <c r="E31" s="27" t="s">
        <v>83</v>
      </c>
      <c r="F31" s="27" t="s">
        <v>200</v>
      </c>
      <c r="G31" s="27">
        <v>6666.0285999999996</v>
      </c>
      <c r="H31" s="27">
        <v>7353.4795999999997</v>
      </c>
      <c r="I31" s="27">
        <v>8313.9251999999997</v>
      </c>
      <c r="J31" s="27">
        <v>9079.8241999999991</v>
      </c>
      <c r="K31" s="27">
        <v>9000.0568999999996</v>
      </c>
      <c r="L31" s="27">
        <v>9491.7850999999991</v>
      </c>
      <c r="M31" s="27">
        <v>9528.1524000000009</v>
      </c>
      <c r="N31" s="27">
        <v>9582.2374999999993</v>
      </c>
      <c r="O31" s="27">
        <v>9873.6574999999993</v>
      </c>
      <c r="P31" s="27">
        <v>10084.9696</v>
      </c>
      <c r="Q31" s="27">
        <v>10295.429899999999</v>
      </c>
      <c r="R31" s="27">
        <v>10423.1679</v>
      </c>
      <c r="S31" s="27" t="s">
        <v>200</v>
      </c>
      <c r="T31" s="27">
        <v>10297.806200000001</v>
      </c>
      <c r="U31" s="27" t="s">
        <v>200</v>
      </c>
      <c r="V31" s="27">
        <v>9934.4979000000003</v>
      </c>
      <c r="W31" s="27" t="s">
        <v>200</v>
      </c>
      <c r="X31" s="27">
        <v>10050.2055</v>
      </c>
      <c r="Y31" s="27" t="s">
        <v>200</v>
      </c>
      <c r="Z31" s="27">
        <v>9084.5216</v>
      </c>
    </row>
    <row r="32" spans="1:26">
      <c r="A32" s="27" t="s">
        <v>196</v>
      </c>
      <c r="B32" s="27" t="s">
        <v>250</v>
      </c>
      <c r="C32" s="27" t="s">
        <v>198</v>
      </c>
      <c r="D32" s="27" t="s">
        <v>1159</v>
      </c>
      <c r="E32" s="27" t="s">
        <v>83</v>
      </c>
      <c r="F32" s="27" t="s">
        <v>200</v>
      </c>
      <c r="G32" s="27">
        <v>6653.2909</v>
      </c>
      <c r="H32" s="27">
        <v>7330.5155999999997</v>
      </c>
      <c r="I32" s="27">
        <v>8288.8335000000006</v>
      </c>
      <c r="J32" s="27">
        <v>9022.2469999999994</v>
      </c>
      <c r="K32" s="27">
        <v>8456.6164000000008</v>
      </c>
      <c r="L32" s="27">
        <v>9008.9706999999999</v>
      </c>
      <c r="M32" s="27">
        <v>9388.9380000000001</v>
      </c>
      <c r="N32" s="27">
        <v>9736.4303999999993</v>
      </c>
      <c r="O32" s="27">
        <v>10101.652</v>
      </c>
      <c r="P32" s="27">
        <v>10325.9331</v>
      </c>
      <c r="Q32" s="27">
        <v>10504.138000000001</v>
      </c>
      <c r="R32" s="27">
        <v>10663.387699999999</v>
      </c>
      <c r="S32" s="27" t="s">
        <v>200</v>
      </c>
      <c r="T32" s="27">
        <v>10579.6163</v>
      </c>
      <c r="U32" s="27" t="s">
        <v>200</v>
      </c>
      <c r="V32" s="27">
        <v>10213.9997</v>
      </c>
      <c r="W32" s="27" t="s">
        <v>200</v>
      </c>
      <c r="X32" s="27">
        <v>9704.2909999999993</v>
      </c>
      <c r="Y32" s="27" t="s">
        <v>200</v>
      </c>
      <c r="Z32" s="27">
        <v>9397.3758999999991</v>
      </c>
    </row>
    <row r="33" spans="1:26">
      <c r="A33" s="27" t="s">
        <v>203</v>
      </c>
      <c r="B33" s="27" t="s">
        <v>251</v>
      </c>
      <c r="C33" s="27" t="s">
        <v>198</v>
      </c>
      <c r="D33" s="27" t="s">
        <v>1159</v>
      </c>
      <c r="E33" s="27" t="s">
        <v>83</v>
      </c>
      <c r="F33" s="27" t="s">
        <v>200</v>
      </c>
      <c r="G33" s="27">
        <v>6666.0285999999996</v>
      </c>
      <c r="H33" s="27">
        <v>7353.4795999999997</v>
      </c>
      <c r="I33" s="27">
        <v>8313.9251999999997</v>
      </c>
      <c r="J33" s="27">
        <v>9079.8241999999991</v>
      </c>
      <c r="K33" s="27">
        <v>9002.0966000000008</v>
      </c>
      <c r="L33" s="27">
        <v>9503.3855000000003</v>
      </c>
      <c r="M33" s="27">
        <v>9581.7839000000004</v>
      </c>
      <c r="N33" s="27">
        <v>9586.7289999999994</v>
      </c>
      <c r="O33" s="27">
        <v>9873.5067999999992</v>
      </c>
      <c r="P33" s="27">
        <v>10135.963599999999</v>
      </c>
      <c r="Q33" s="27">
        <v>10492.2294</v>
      </c>
      <c r="R33" s="27">
        <v>10715.7253</v>
      </c>
      <c r="S33" s="27" t="s">
        <v>200</v>
      </c>
      <c r="T33" s="27">
        <v>10751.361999999999</v>
      </c>
      <c r="U33" s="27" t="s">
        <v>200</v>
      </c>
      <c r="V33" s="27">
        <v>10472.207200000001</v>
      </c>
      <c r="W33" s="27" t="s">
        <v>200</v>
      </c>
      <c r="X33" s="27">
        <v>9982.8029999999999</v>
      </c>
      <c r="Y33" s="27" t="s">
        <v>200</v>
      </c>
      <c r="Z33" s="27">
        <v>9636.3716999999997</v>
      </c>
    </row>
    <row r="34" spans="1:26">
      <c r="A34" s="27" t="s">
        <v>255</v>
      </c>
      <c r="B34" s="27" t="s">
        <v>256</v>
      </c>
      <c r="C34" s="27" t="s">
        <v>198</v>
      </c>
      <c r="D34" s="27" t="s">
        <v>1159</v>
      </c>
      <c r="E34" s="27" t="s">
        <v>83</v>
      </c>
      <c r="F34" s="27" t="s">
        <v>200</v>
      </c>
      <c r="G34" s="27">
        <v>6727.25846774194</v>
      </c>
      <c r="H34" s="27">
        <v>7253.9838709677406</v>
      </c>
      <c r="I34" s="27">
        <v>7587.45887096774</v>
      </c>
      <c r="J34" s="27">
        <v>7862.1056451612903</v>
      </c>
      <c r="K34" s="27">
        <v>7088.1935483870993</v>
      </c>
      <c r="L34" s="27">
        <v>6381.8826612903194</v>
      </c>
      <c r="M34" s="27">
        <v>5641.5427419354801</v>
      </c>
      <c r="N34" s="27">
        <v>5636.9697580645206</v>
      </c>
      <c r="O34" s="27">
        <v>5622.6108870967701</v>
      </c>
      <c r="P34" s="27">
        <v>5622.6028225806394</v>
      </c>
      <c r="Q34" s="27">
        <v>5629.6225806451603</v>
      </c>
      <c r="R34" s="27">
        <v>5650.5387096774202</v>
      </c>
      <c r="S34" s="27">
        <v>5670.9846774193502</v>
      </c>
      <c r="T34" s="27">
        <v>5690.0157258064501</v>
      </c>
      <c r="U34" s="27">
        <v>5705.2463709677404</v>
      </c>
      <c r="V34" s="27">
        <v>5718.9834677419394</v>
      </c>
      <c r="W34" s="27">
        <v>5741.52983870968</v>
      </c>
      <c r="X34" s="27">
        <v>5770.8463709677389</v>
      </c>
      <c r="Y34" s="27">
        <v>5759.6020161290298</v>
      </c>
      <c r="Z34" s="27">
        <v>5751.0108870967697</v>
      </c>
    </row>
    <row r="35" spans="1:26">
      <c r="A35" s="27" t="s">
        <v>257</v>
      </c>
      <c r="B35" s="27" t="s">
        <v>197</v>
      </c>
      <c r="C35" s="27" t="s">
        <v>198</v>
      </c>
      <c r="D35" s="27" t="s">
        <v>1159</v>
      </c>
      <c r="E35" s="27" t="s">
        <v>83</v>
      </c>
      <c r="F35" s="27" t="s">
        <v>200</v>
      </c>
      <c r="G35" s="27" t="s">
        <v>200</v>
      </c>
      <c r="H35" s="27">
        <v>7019.3023999999996</v>
      </c>
      <c r="I35" s="27">
        <v>7614.5823</v>
      </c>
      <c r="J35" s="27">
        <v>8179.7610999999997</v>
      </c>
      <c r="K35" s="27">
        <v>6550.3032000000003</v>
      </c>
      <c r="L35" s="27">
        <v>6277.5649999999996</v>
      </c>
      <c r="M35" s="27">
        <v>6206.1068999999998</v>
      </c>
      <c r="N35" s="27">
        <v>6451.0924999999997</v>
      </c>
      <c r="O35" s="27">
        <v>6628.8167000000003</v>
      </c>
      <c r="P35" s="27">
        <v>6564.7601000000004</v>
      </c>
      <c r="Q35" s="27">
        <v>6641.9633000000003</v>
      </c>
      <c r="R35" s="27">
        <v>6712.1652999999997</v>
      </c>
      <c r="S35" s="27">
        <v>6749.6320999999998</v>
      </c>
      <c r="T35" s="27">
        <v>6804.1158999999998</v>
      </c>
      <c r="U35" s="27">
        <v>6943.8491000000004</v>
      </c>
      <c r="V35" s="27">
        <v>7099.3764000000001</v>
      </c>
      <c r="W35" s="27">
        <v>7230.9105</v>
      </c>
      <c r="X35" s="27">
        <v>7336.4872999999998</v>
      </c>
      <c r="Y35" s="27">
        <v>7423.424</v>
      </c>
      <c r="Z35" s="27">
        <v>7492.6097</v>
      </c>
    </row>
    <row r="36" spans="1:26">
      <c r="A36" s="27" t="s">
        <v>196</v>
      </c>
      <c r="B36" s="27" t="s">
        <v>258</v>
      </c>
      <c r="C36" s="27" t="s">
        <v>198</v>
      </c>
      <c r="D36" s="27" t="s">
        <v>1159</v>
      </c>
      <c r="E36" s="27" t="s">
        <v>83</v>
      </c>
      <c r="F36" s="27" t="s">
        <v>200</v>
      </c>
      <c r="G36" s="27">
        <v>6653.2909</v>
      </c>
      <c r="H36" s="27">
        <v>7330.2930999999999</v>
      </c>
      <c r="I36" s="27">
        <v>8290.1250999999993</v>
      </c>
      <c r="J36" s="27">
        <v>9031.9886999999999</v>
      </c>
      <c r="K36" s="27">
        <v>8459.7752999999993</v>
      </c>
      <c r="L36" s="27">
        <v>9029.8415999999997</v>
      </c>
      <c r="M36" s="27">
        <v>9433.2649999999994</v>
      </c>
      <c r="N36" s="27">
        <v>9667.473</v>
      </c>
      <c r="O36" s="27">
        <v>9905.3762999999999</v>
      </c>
      <c r="P36" s="27">
        <v>10097.0833</v>
      </c>
      <c r="Q36" s="27">
        <v>10293.1018</v>
      </c>
      <c r="R36" s="27">
        <v>10479.102699999999</v>
      </c>
      <c r="S36" s="27" t="s">
        <v>200</v>
      </c>
      <c r="T36" s="27">
        <v>10573.1389</v>
      </c>
      <c r="U36" s="27" t="s">
        <v>200</v>
      </c>
      <c r="V36" s="27">
        <v>10310.9699</v>
      </c>
      <c r="W36" s="27" t="s">
        <v>200</v>
      </c>
      <c r="X36" s="27">
        <v>9846.1175000000003</v>
      </c>
      <c r="Y36" s="27" t="s">
        <v>200</v>
      </c>
      <c r="Z36" s="27">
        <v>9543.3662000000004</v>
      </c>
    </row>
    <row r="37" spans="1:26">
      <c r="A37" s="27" t="s">
        <v>233</v>
      </c>
      <c r="B37" s="27" t="s">
        <v>260</v>
      </c>
      <c r="C37" s="27" t="s">
        <v>198</v>
      </c>
      <c r="D37" s="27" t="s">
        <v>1159</v>
      </c>
      <c r="E37" s="27" t="s">
        <v>83</v>
      </c>
      <c r="F37" s="27" t="s">
        <v>200</v>
      </c>
      <c r="G37" s="27" t="s">
        <v>200</v>
      </c>
      <c r="H37" s="27">
        <v>7439.1262296134801</v>
      </c>
      <c r="I37" s="27">
        <v>7677.3479789000003</v>
      </c>
      <c r="J37" s="27">
        <v>8443.4883105383669</v>
      </c>
      <c r="K37" s="27">
        <v>6467.5966981420279</v>
      </c>
      <c r="L37" s="27">
        <v>5870.4379756059852</v>
      </c>
      <c r="M37" s="27">
        <v>5495.7964340718509</v>
      </c>
      <c r="N37" s="27">
        <v>5239.8207461098691</v>
      </c>
      <c r="O37" s="27">
        <v>5002.3714037586869</v>
      </c>
      <c r="P37" s="27">
        <v>4762.0629608296431</v>
      </c>
      <c r="Q37" s="27">
        <v>4812.3285597306467</v>
      </c>
      <c r="R37" s="27">
        <v>4863.8665201312551</v>
      </c>
      <c r="S37" s="27">
        <v>4904.6517192952961</v>
      </c>
      <c r="T37" s="27">
        <v>4946.7576419897059</v>
      </c>
      <c r="U37" s="27">
        <v>4978.9041424296647</v>
      </c>
      <c r="V37" s="27">
        <v>5011.8965237345064</v>
      </c>
      <c r="W37" s="27">
        <v>5016.0529023599784</v>
      </c>
      <c r="X37" s="27">
        <v>5020.2092809854548</v>
      </c>
      <c r="Y37" s="27">
        <v>4997.8257470609587</v>
      </c>
      <c r="Z37" s="27">
        <v>4975.442213136459</v>
      </c>
    </row>
    <row r="38" spans="1:26">
      <c r="A38" s="27" t="s">
        <v>261</v>
      </c>
      <c r="B38" s="27" t="s">
        <v>262</v>
      </c>
      <c r="C38" s="27" t="s">
        <v>198</v>
      </c>
      <c r="D38" s="27" t="s">
        <v>1159</v>
      </c>
      <c r="E38" s="27" t="s">
        <v>83</v>
      </c>
      <c r="F38" s="27" t="s">
        <v>200</v>
      </c>
      <c r="G38" s="27">
        <v>7470.5472123790987</v>
      </c>
      <c r="H38" s="27">
        <v>7919.6809694923559</v>
      </c>
      <c r="I38" s="27">
        <v>8256.6557051713608</v>
      </c>
      <c r="J38" s="27">
        <v>8559.3582820751853</v>
      </c>
      <c r="K38" s="27">
        <v>8523.2188348430209</v>
      </c>
      <c r="L38" s="27">
        <v>8535.9877101148777</v>
      </c>
      <c r="M38" s="27">
        <v>8470.6262010331011</v>
      </c>
      <c r="N38" s="27">
        <v>8268.6569696093138</v>
      </c>
      <c r="O38" s="27">
        <v>8067.7635145456297</v>
      </c>
      <c r="P38" s="27">
        <v>7870.5356968056431</v>
      </c>
      <c r="Q38" s="27">
        <v>7835.1091585440081</v>
      </c>
      <c r="R38" s="27">
        <v>7858.0383982897911</v>
      </c>
      <c r="S38" s="27">
        <v>7746.4315931340434</v>
      </c>
      <c r="T38" s="27">
        <v>7687.9029987434178</v>
      </c>
      <c r="U38" s="27">
        <v>7622.2144017229448</v>
      </c>
      <c r="V38" s="27">
        <v>7504.7454611286839</v>
      </c>
      <c r="W38" s="27">
        <v>7391.061325005292</v>
      </c>
      <c r="X38" s="27">
        <v>7244.1871149133294</v>
      </c>
      <c r="Y38" s="27">
        <v>7128.6260750926012</v>
      </c>
      <c r="Z38" s="27">
        <v>6983.7151038971706</v>
      </c>
    </row>
    <row r="39" spans="1:26">
      <c r="A39" s="27" t="s">
        <v>218</v>
      </c>
      <c r="B39" s="27" t="s">
        <v>263</v>
      </c>
      <c r="C39" s="27" t="s">
        <v>198</v>
      </c>
      <c r="D39" s="27" t="s">
        <v>1159</v>
      </c>
      <c r="E39" s="27" t="s">
        <v>83</v>
      </c>
      <c r="F39" s="27" t="s">
        <v>200</v>
      </c>
      <c r="G39" s="27">
        <v>7110.7804999999998</v>
      </c>
      <c r="H39" s="27">
        <v>8050.0747000000001</v>
      </c>
      <c r="I39" s="27">
        <v>8635.6</v>
      </c>
      <c r="J39" s="27">
        <v>9386.7036000000007</v>
      </c>
      <c r="K39" s="27">
        <v>9657.7980000000007</v>
      </c>
      <c r="L39" s="27">
        <v>9922.5720000000001</v>
      </c>
      <c r="M39" s="27">
        <v>9798.9349999999995</v>
      </c>
      <c r="N39" s="27">
        <v>9726.107</v>
      </c>
      <c r="O39" s="27">
        <v>9970.9369999999999</v>
      </c>
      <c r="P39" s="27">
        <v>10177.56</v>
      </c>
      <c r="Q39" s="27">
        <v>10495.33</v>
      </c>
      <c r="R39" s="27">
        <v>10653.81</v>
      </c>
      <c r="S39" s="27" t="s">
        <v>200</v>
      </c>
      <c r="T39" s="27">
        <v>10772.38</v>
      </c>
      <c r="U39" s="27" t="s">
        <v>200</v>
      </c>
      <c r="V39" s="27">
        <v>10417.15</v>
      </c>
      <c r="W39" s="27" t="s">
        <v>200</v>
      </c>
      <c r="X39" s="27">
        <v>10241.07</v>
      </c>
      <c r="Y39" s="27" t="s">
        <v>200</v>
      </c>
      <c r="Z39" s="27">
        <v>9898.92</v>
      </c>
    </row>
    <row r="40" spans="1:26">
      <c r="A40" s="27" t="s">
        <v>196</v>
      </c>
      <c r="B40" s="27" t="s">
        <v>264</v>
      </c>
      <c r="C40" s="27" t="s">
        <v>198</v>
      </c>
      <c r="D40" s="27" t="s">
        <v>1159</v>
      </c>
      <c r="E40" s="27" t="s">
        <v>83</v>
      </c>
      <c r="F40" s="27" t="s">
        <v>200</v>
      </c>
      <c r="G40" s="27">
        <v>6653.5258999999996</v>
      </c>
      <c r="H40" s="27">
        <v>7330.7340999999997</v>
      </c>
      <c r="I40" s="27">
        <v>8287.0792000000001</v>
      </c>
      <c r="J40" s="27">
        <v>9021.5918000000001</v>
      </c>
      <c r="K40" s="27">
        <v>7984.6794</v>
      </c>
      <c r="L40" s="27">
        <v>8167.0495000000001</v>
      </c>
      <c r="M40" s="27">
        <v>8130.6774999999998</v>
      </c>
      <c r="N40" s="27">
        <v>8034.1451999999999</v>
      </c>
      <c r="O40" s="27">
        <v>7919.3064000000004</v>
      </c>
      <c r="P40" s="27">
        <v>7653.6509999999998</v>
      </c>
      <c r="Q40" s="27">
        <v>7488.2654000000002</v>
      </c>
      <c r="R40" s="27">
        <v>7204.1108999999997</v>
      </c>
      <c r="S40" s="27" t="s">
        <v>200</v>
      </c>
      <c r="T40" s="27">
        <v>6327.8729999999996</v>
      </c>
      <c r="U40" s="27" t="s">
        <v>200</v>
      </c>
      <c r="V40" s="27">
        <v>5401.9375</v>
      </c>
      <c r="W40" s="27" t="s">
        <v>200</v>
      </c>
      <c r="X40" s="27">
        <v>4512.6827999999996</v>
      </c>
      <c r="Y40" s="27" t="s">
        <v>200</v>
      </c>
      <c r="Z40" s="27">
        <v>3855.8045999999999</v>
      </c>
    </row>
    <row r="41" spans="1:26">
      <c r="A41" s="27" t="s">
        <v>218</v>
      </c>
      <c r="B41" s="27" t="s">
        <v>265</v>
      </c>
      <c r="C41" s="27" t="s">
        <v>198</v>
      </c>
      <c r="D41" s="27" t="s">
        <v>1159</v>
      </c>
      <c r="E41" s="27" t="s">
        <v>83</v>
      </c>
      <c r="F41" s="27" t="s">
        <v>200</v>
      </c>
      <c r="G41" s="27">
        <v>7110.7804999999998</v>
      </c>
      <c r="H41" s="27">
        <v>8050.0747000000001</v>
      </c>
      <c r="I41" s="27">
        <v>8635.6</v>
      </c>
      <c r="J41" s="27">
        <v>9386.7036000000007</v>
      </c>
      <c r="K41" s="27">
        <v>9666.4380000000001</v>
      </c>
      <c r="L41" s="27">
        <v>9935.6540000000005</v>
      </c>
      <c r="M41" s="27">
        <v>9790.8780000000006</v>
      </c>
      <c r="N41" s="27">
        <v>9653.6890000000003</v>
      </c>
      <c r="O41" s="27">
        <v>9780.652</v>
      </c>
      <c r="P41" s="27">
        <v>9801.4220000000005</v>
      </c>
      <c r="Q41" s="27">
        <v>9918.1</v>
      </c>
      <c r="R41" s="27">
        <v>9958.0239999999994</v>
      </c>
      <c r="S41" s="27" t="s">
        <v>200</v>
      </c>
      <c r="T41" s="27">
        <v>10169.33</v>
      </c>
      <c r="U41" s="27" t="s">
        <v>200</v>
      </c>
      <c r="V41" s="27">
        <v>10147.61</v>
      </c>
      <c r="W41" s="27" t="s">
        <v>200</v>
      </c>
      <c r="X41" s="27">
        <v>10328.02</v>
      </c>
      <c r="Y41" s="27" t="s">
        <v>200</v>
      </c>
      <c r="Z41" s="27">
        <v>10070.16</v>
      </c>
    </row>
    <row r="42" spans="1:26">
      <c r="A42" s="27" t="s">
        <v>226</v>
      </c>
      <c r="B42" s="27" t="s">
        <v>243</v>
      </c>
      <c r="C42" s="27" t="s">
        <v>198</v>
      </c>
      <c r="D42" s="27" t="s">
        <v>1159</v>
      </c>
      <c r="E42" s="27" t="s">
        <v>83</v>
      </c>
      <c r="F42" s="27" t="s">
        <v>200</v>
      </c>
      <c r="G42" s="27">
        <v>7097.8917000000001</v>
      </c>
      <c r="H42" s="27">
        <v>8046.3982999999998</v>
      </c>
      <c r="I42" s="27">
        <v>8694.9361000000008</v>
      </c>
      <c r="J42" s="27">
        <v>9144.3250000000007</v>
      </c>
      <c r="K42" s="27">
        <v>8037.8891999999996</v>
      </c>
      <c r="L42" s="27">
        <v>8010.6156000000001</v>
      </c>
      <c r="M42" s="27">
        <v>7627.5825000000004</v>
      </c>
      <c r="N42" s="27">
        <v>7931.0470999999998</v>
      </c>
      <c r="O42" s="27">
        <v>7809.4074000000001</v>
      </c>
      <c r="P42" s="27">
        <v>8286.9287000000004</v>
      </c>
      <c r="Q42" s="27">
        <v>8325.8561000000009</v>
      </c>
      <c r="R42" s="27">
        <v>8358.1903000000002</v>
      </c>
      <c r="S42" s="27" t="s">
        <v>200</v>
      </c>
      <c r="T42" s="27">
        <v>8426.7319000000007</v>
      </c>
      <c r="U42" s="27" t="s">
        <v>200</v>
      </c>
      <c r="V42" s="27">
        <v>8228.2667000000001</v>
      </c>
      <c r="W42" s="27" t="s">
        <v>200</v>
      </c>
      <c r="X42" s="27">
        <v>7843.2565000000004</v>
      </c>
      <c r="Y42" s="27" t="s">
        <v>200</v>
      </c>
      <c r="Z42" s="27">
        <v>7457.5847999999996</v>
      </c>
    </row>
    <row r="43" spans="1:26">
      <c r="A43" s="27" t="s">
        <v>231</v>
      </c>
      <c r="B43" s="27" t="s">
        <v>266</v>
      </c>
      <c r="C43" s="27" t="s">
        <v>198</v>
      </c>
      <c r="D43" s="27" t="s">
        <v>1159</v>
      </c>
      <c r="E43" s="27" t="s">
        <v>83</v>
      </c>
      <c r="F43" s="27" t="s">
        <v>200</v>
      </c>
      <c r="G43" s="27">
        <v>6870.2088015372901</v>
      </c>
      <c r="H43" s="27">
        <v>7477.0491701382898</v>
      </c>
      <c r="I43" s="27">
        <v>7845.3727100443803</v>
      </c>
      <c r="J43" s="27">
        <v>8400.2811448858192</v>
      </c>
      <c r="K43" s="27">
        <v>8444.1396521631905</v>
      </c>
      <c r="L43" s="27">
        <v>8661.0078912918398</v>
      </c>
      <c r="M43" s="27">
        <v>9178.9672993061795</v>
      </c>
      <c r="N43" s="27">
        <v>9170.4622518666092</v>
      </c>
      <c r="O43" s="27">
        <v>9288.6348424152802</v>
      </c>
      <c r="P43" s="27">
        <v>9446.9859083222509</v>
      </c>
      <c r="Q43" s="27">
        <v>9493.1353580477498</v>
      </c>
      <c r="R43" s="27">
        <v>9528.8822251402107</v>
      </c>
      <c r="S43" s="27">
        <v>9563.3040223117005</v>
      </c>
      <c r="T43" s="27">
        <v>9590.7635830335093</v>
      </c>
      <c r="U43" s="27">
        <v>9618.0664129590095</v>
      </c>
      <c r="V43" s="27">
        <v>9655.9974360562592</v>
      </c>
      <c r="W43" s="27">
        <v>9674.3901695046297</v>
      </c>
      <c r="X43" s="27">
        <v>9667.1991330096407</v>
      </c>
      <c r="Y43" s="27">
        <v>9641.7075202746692</v>
      </c>
      <c r="Z43" s="27">
        <v>9595.37636470098</v>
      </c>
    </row>
    <row r="44" spans="1:26">
      <c r="A44" s="27" t="s">
        <v>233</v>
      </c>
      <c r="B44" s="27" t="s">
        <v>267</v>
      </c>
      <c r="C44" s="27" t="s">
        <v>198</v>
      </c>
      <c r="D44" s="27" t="s">
        <v>1159</v>
      </c>
      <c r="E44" s="27" t="s">
        <v>83</v>
      </c>
      <c r="F44" s="27" t="s">
        <v>200</v>
      </c>
      <c r="G44" s="27" t="s">
        <v>200</v>
      </c>
      <c r="H44" s="27">
        <v>7439.1262296134801</v>
      </c>
      <c r="I44" s="27">
        <v>7677.3479789000003</v>
      </c>
      <c r="J44" s="27">
        <v>8443.4883105383669</v>
      </c>
      <c r="K44" s="27">
        <v>6059.99440795795</v>
      </c>
      <c r="L44" s="27">
        <v>5753.451009577564</v>
      </c>
      <c r="M44" s="27">
        <v>5495.7947062192661</v>
      </c>
      <c r="N44" s="27">
        <v>5239.8201060554347</v>
      </c>
      <c r="O44" s="27">
        <v>5001.7908171834679</v>
      </c>
      <c r="P44" s="27">
        <v>4762.3101442965071</v>
      </c>
      <c r="Q44" s="27">
        <v>4814.6839109103357</v>
      </c>
      <c r="R44" s="27">
        <v>4866.7254519157996</v>
      </c>
      <c r="S44" s="27">
        <v>4908.1237276756656</v>
      </c>
      <c r="T44" s="27">
        <v>4947.8247678788803</v>
      </c>
      <c r="U44" s="27">
        <v>4983.2676840000604</v>
      </c>
      <c r="V44" s="27">
        <v>5019.6396616258444</v>
      </c>
      <c r="W44" s="27">
        <v>5022.7280669691281</v>
      </c>
      <c r="X44" s="27">
        <v>5025.6961680808772</v>
      </c>
      <c r="Y44" s="27">
        <v>5001.6861746405684</v>
      </c>
      <c r="Z44" s="27">
        <v>4977.5706193448104</v>
      </c>
    </row>
    <row r="45" spans="1:26">
      <c r="A45" s="27" t="s">
        <v>196</v>
      </c>
      <c r="B45" s="27" t="s">
        <v>268</v>
      </c>
      <c r="C45" s="27" t="s">
        <v>198</v>
      </c>
      <c r="D45" s="27" t="s">
        <v>1159</v>
      </c>
      <c r="E45" s="27" t="s">
        <v>83</v>
      </c>
      <c r="F45" s="27" t="s">
        <v>200</v>
      </c>
      <c r="G45" s="27">
        <v>6653.2909</v>
      </c>
      <c r="H45" s="27">
        <v>7329.7896000000001</v>
      </c>
      <c r="I45" s="27">
        <v>8288.0249999999996</v>
      </c>
      <c r="J45" s="27">
        <v>9024.9858999999997</v>
      </c>
      <c r="K45" s="27">
        <v>8211.6951000000008</v>
      </c>
      <c r="L45" s="27">
        <v>8789.4269000000004</v>
      </c>
      <c r="M45" s="27">
        <v>9277.5779000000002</v>
      </c>
      <c r="N45" s="27">
        <v>9631.5012999999999</v>
      </c>
      <c r="O45" s="27">
        <v>9969.8708000000006</v>
      </c>
      <c r="P45" s="27">
        <v>10162.4722</v>
      </c>
      <c r="Q45" s="27">
        <v>10341.9462</v>
      </c>
      <c r="R45" s="27">
        <v>10434.5844</v>
      </c>
      <c r="S45" s="27" t="s">
        <v>200</v>
      </c>
      <c r="T45" s="27">
        <v>10308.0471</v>
      </c>
      <c r="U45" s="27" t="s">
        <v>200</v>
      </c>
      <c r="V45" s="27">
        <v>9928.9279000000006</v>
      </c>
      <c r="W45" s="27" t="s">
        <v>200</v>
      </c>
      <c r="X45" s="27">
        <v>9396.7242999999999</v>
      </c>
      <c r="Y45" s="27" t="s">
        <v>200</v>
      </c>
      <c r="Z45" s="27">
        <v>9040.6458999999995</v>
      </c>
    </row>
    <row r="46" spans="1:26">
      <c r="A46" s="27" t="s">
        <v>222</v>
      </c>
      <c r="B46" s="27" t="s">
        <v>269</v>
      </c>
      <c r="C46" s="27" t="s">
        <v>198</v>
      </c>
      <c r="D46" s="27" t="s">
        <v>1159</v>
      </c>
      <c r="E46" s="27" t="s">
        <v>83</v>
      </c>
      <c r="F46" s="27" t="s">
        <v>200</v>
      </c>
      <c r="G46" s="27">
        <v>6844.4237000000003</v>
      </c>
      <c r="H46" s="27">
        <v>7524.4458999999997</v>
      </c>
      <c r="I46" s="27">
        <v>8496.6077999999998</v>
      </c>
      <c r="J46" s="27">
        <v>9227.2883999999995</v>
      </c>
      <c r="K46" s="27">
        <v>8705.7870999999996</v>
      </c>
      <c r="L46" s="27">
        <v>9372.0419999999995</v>
      </c>
      <c r="M46" s="27">
        <v>9786.6059000000005</v>
      </c>
      <c r="N46" s="27">
        <v>10293.656000000001</v>
      </c>
      <c r="O46" s="27">
        <v>10802.0453</v>
      </c>
      <c r="P46" s="27">
        <v>11222.160599999999</v>
      </c>
      <c r="Q46" s="27">
        <v>11577.1533</v>
      </c>
      <c r="R46" s="27">
        <v>11731.15</v>
      </c>
      <c r="S46" s="27" t="s">
        <v>200</v>
      </c>
      <c r="T46" s="27">
        <v>11749.435600000001</v>
      </c>
      <c r="U46" s="27" t="s">
        <v>200</v>
      </c>
      <c r="V46" s="27">
        <v>11382.389499999999</v>
      </c>
      <c r="W46" s="27" t="s">
        <v>200</v>
      </c>
      <c r="X46" s="27">
        <v>10847.6384</v>
      </c>
      <c r="Y46" s="27" t="s">
        <v>200</v>
      </c>
      <c r="Z46" s="27">
        <v>10493.1407</v>
      </c>
    </row>
    <row r="47" spans="1:26">
      <c r="A47" s="27" t="s">
        <v>231</v>
      </c>
      <c r="B47" s="27" t="s">
        <v>270</v>
      </c>
      <c r="C47" s="27" t="s">
        <v>198</v>
      </c>
      <c r="D47" s="27" t="s">
        <v>1159</v>
      </c>
      <c r="E47" s="27" t="s">
        <v>83</v>
      </c>
      <c r="F47" s="27" t="s">
        <v>200</v>
      </c>
      <c r="G47" s="27">
        <v>6870.2088015372901</v>
      </c>
      <c r="H47" s="27">
        <v>7477.0491701382898</v>
      </c>
      <c r="I47" s="27">
        <v>7845.3727100443803</v>
      </c>
      <c r="J47" s="27">
        <v>8400.2811448858192</v>
      </c>
      <c r="K47" s="27">
        <v>8511.6058331839795</v>
      </c>
      <c r="L47" s="27">
        <v>8830.3175892466497</v>
      </c>
      <c r="M47" s="27">
        <v>9011.0527892159407</v>
      </c>
      <c r="N47" s="27">
        <v>9344.69479248678</v>
      </c>
      <c r="O47" s="27">
        <v>9481.1790783932192</v>
      </c>
      <c r="P47" s="27">
        <v>9433.3042356079895</v>
      </c>
      <c r="Q47" s="27">
        <v>9481.7118099688905</v>
      </c>
      <c r="R47" s="27">
        <v>9523.4360277037304</v>
      </c>
      <c r="S47" s="27">
        <v>9563.3404110982301</v>
      </c>
      <c r="T47" s="27">
        <v>9596.4016198895806</v>
      </c>
      <c r="U47" s="27">
        <v>9620.6621325063297</v>
      </c>
      <c r="V47" s="27">
        <v>9655.6341289540396</v>
      </c>
      <c r="W47" s="27">
        <v>9676.8114655017307</v>
      </c>
      <c r="X47" s="27">
        <v>9675.8124793537809</v>
      </c>
      <c r="Y47" s="27">
        <v>9645.2980626962599</v>
      </c>
      <c r="Z47" s="27">
        <v>9583.2890955748408</v>
      </c>
    </row>
    <row r="48" spans="1:26">
      <c r="A48" s="27" t="s">
        <v>231</v>
      </c>
      <c r="B48" s="27" t="s">
        <v>271</v>
      </c>
      <c r="C48" s="27" t="s">
        <v>198</v>
      </c>
      <c r="D48" s="27" t="s">
        <v>1159</v>
      </c>
      <c r="E48" s="27" t="s">
        <v>83</v>
      </c>
      <c r="F48" s="27" t="s">
        <v>200</v>
      </c>
      <c r="G48" s="27">
        <v>6870.2088015372901</v>
      </c>
      <c r="H48" s="27">
        <v>7477.0491701382898</v>
      </c>
      <c r="I48" s="27">
        <v>7845.3727100443803</v>
      </c>
      <c r="J48" s="27">
        <v>8400.2811448858192</v>
      </c>
      <c r="K48" s="27">
        <v>8255.2945692935591</v>
      </c>
      <c r="L48" s="27">
        <v>9029.8268284040605</v>
      </c>
      <c r="M48" s="27">
        <v>9210.9991074155296</v>
      </c>
      <c r="N48" s="27">
        <v>9383.5905679873504</v>
      </c>
      <c r="O48" s="27">
        <v>9590.9102494762792</v>
      </c>
      <c r="P48" s="27">
        <v>9784.3221152335409</v>
      </c>
      <c r="Q48" s="27">
        <v>9817.7023212967197</v>
      </c>
      <c r="R48" s="27">
        <v>9824.8414900130392</v>
      </c>
      <c r="S48" s="27">
        <v>9860.9263082661801</v>
      </c>
      <c r="T48" s="27">
        <v>9930.9707337801392</v>
      </c>
      <c r="U48" s="27">
        <v>9984.95033378876</v>
      </c>
      <c r="V48" s="27">
        <v>10011.463287734699</v>
      </c>
      <c r="W48" s="27">
        <v>10023.90199144</v>
      </c>
      <c r="X48" s="27">
        <v>10012.554981560999</v>
      </c>
      <c r="Y48" s="27">
        <v>9977.8263419422292</v>
      </c>
      <c r="Z48" s="27">
        <v>9926.1842647127505</v>
      </c>
    </row>
    <row r="49" spans="1:26">
      <c r="A49" s="27" t="s">
        <v>196</v>
      </c>
      <c r="B49" s="27" t="s">
        <v>273</v>
      </c>
      <c r="C49" s="27" t="s">
        <v>198</v>
      </c>
      <c r="D49" s="27" t="s">
        <v>1159</v>
      </c>
      <c r="E49" s="27" t="s">
        <v>83</v>
      </c>
      <c r="F49" s="27" t="s">
        <v>200</v>
      </c>
      <c r="G49" s="27" t="s">
        <v>200</v>
      </c>
      <c r="H49" s="27">
        <v>7353.5645999999997</v>
      </c>
      <c r="I49" s="27">
        <v>8333.1617000000006</v>
      </c>
      <c r="J49" s="27">
        <v>8498.2860999999994</v>
      </c>
      <c r="K49" s="27">
        <v>8166.9400999999998</v>
      </c>
      <c r="L49" s="27">
        <v>8618.9315000000006</v>
      </c>
      <c r="M49" s="27">
        <v>8938.93</v>
      </c>
      <c r="N49" s="27">
        <v>9280.4097999999994</v>
      </c>
      <c r="O49" s="27">
        <v>9676.1407999999992</v>
      </c>
      <c r="P49" s="27">
        <v>9942.4490000000005</v>
      </c>
      <c r="Q49" s="27">
        <v>10226.2271</v>
      </c>
      <c r="R49" s="27">
        <v>10346.8542</v>
      </c>
      <c r="S49" s="27" t="s">
        <v>200</v>
      </c>
      <c r="T49" s="27">
        <v>10187.9139</v>
      </c>
      <c r="U49" s="27" t="s">
        <v>200</v>
      </c>
      <c r="V49" s="27">
        <v>9745.0959999999995</v>
      </c>
      <c r="W49" s="27" t="s">
        <v>200</v>
      </c>
      <c r="X49" s="27">
        <v>9197.0609000000004</v>
      </c>
      <c r="Y49" s="27" t="s">
        <v>200</v>
      </c>
      <c r="Z49" s="27">
        <v>8829.2212</v>
      </c>
    </row>
    <row r="50" spans="1:26">
      <c r="A50" s="27" t="s">
        <v>226</v>
      </c>
      <c r="B50" s="27" t="s">
        <v>274</v>
      </c>
      <c r="C50" s="27" t="s">
        <v>198</v>
      </c>
      <c r="D50" s="27" t="s">
        <v>1159</v>
      </c>
      <c r="E50" s="27" t="s">
        <v>83</v>
      </c>
      <c r="F50" s="27" t="s">
        <v>200</v>
      </c>
      <c r="G50" s="27">
        <v>7098.6716999999999</v>
      </c>
      <c r="H50" s="27">
        <v>8045.8721999999998</v>
      </c>
      <c r="I50" s="27">
        <v>8672.59</v>
      </c>
      <c r="J50" s="27">
        <v>8461.5439999999999</v>
      </c>
      <c r="K50" s="27">
        <v>7960.0317999999997</v>
      </c>
      <c r="L50" s="27">
        <v>7121.7563</v>
      </c>
      <c r="M50" s="27">
        <v>6490.3833000000004</v>
      </c>
      <c r="N50" s="27">
        <v>6228.0967000000001</v>
      </c>
      <c r="O50" s="27">
        <v>5814.0973000000004</v>
      </c>
      <c r="P50" s="27">
        <v>5632.6958000000004</v>
      </c>
      <c r="Q50" s="27">
        <v>5448.6969999999992</v>
      </c>
      <c r="R50" s="27">
        <v>5467.0128000000004</v>
      </c>
      <c r="S50" s="27" t="s">
        <v>200</v>
      </c>
      <c r="T50" s="27">
        <v>5538.8777</v>
      </c>
      <c r="U50" s="27" t="s">
        <v>200</v>
      </c>
      <c r="V50" s="27">
        <v>5268.0729000000001</v>
      </c>
      <c r="W50" s="27" t="s">
        <v>200</v>
      </c>
      <c r="X50" s="27">
        <v>4974.3690999999999</v>
      </c>
      <c r="Y50" s="27" t="s">
        <v>200</v>
      </c>
      <c r="Z50" s="27">
        <v>4731.6754000000001</v>
      </c>
    </row>
    <row r="51" spans="1:26">
      <c r="A51" s="27" t="s">
        <v>196</v>
      </c>
      <c r="B51" s="27" t="s">
        <v>275</v>
      </c>
      <c r="C51" s="27" t="s">
        <v>198</v>
      </c>
      <c r="D51" s="27" t="s">
        <v>1159</v>
      </c>
      <c r="E51" s="27" t="s">
        <v>83</v>
      </c>
      <c r="F51" s="27" t="s">
        <v>200</v>
      </c>
      <c r="G51" s="27">
        <v>6653.2909</v>
      </c>
      <c r="H51" s="27">
        <v>7330.2029000000002</v>
      </c>
      <c r="I51" s="27">
        <v>8288.8250000000007</v>
      </c>
      <c r="J51" s="27">
        <v>9026.1784000000007</v>
      </c>
      <c r="K51" s="27">
        <v>8432.6671999999999</v>
      </c>
      <c r="L51" s="27">
        <v>9003.2775000000001</v>
      </c>
      <c r="M51" s="27">
        <v>9391.6776000000009</v>
      </c>
      <c r="N51" s="27">
        <v>9739.27</v>
      </c>
      <c r="O51" s="27">
        <v>10133.4565</v>
      </c>
      <c r="P51" s="27">
        <v>10413.2448</v>
      </c>
      <c r="Q51" s="27">
        <v>10670.401400000001</v>
      </c>
      <c r="R51" s="27">
        <v>10753.383900000001</v>
      </c>
      <c r="S51" s="27" t="s">
        <v>200</v>
      </c>
      <c r="T51" s="27">
        <v>10761.357900000001</v>
      </c>
      <c r="U51" s="27" t="s">
        <v>200</v>
      </c>
      <c r="V51" s="27">
        <v>10409.111199999999</v>
      </c>
      <c r="W51" s="27" t="s">
        <v>200</v>
      </c>
      <c r="X51" s="27">
        <v>9897.1520999999993</v>
      </c>
      <c r="Y51" s="27" t="s">
        <v>200</v>
      </c>
      <c r="Z51" s="27">
        <v>9581.9878000000008</v>
      </c>
    </row>
    <row r="52" spans="1:26">
      <c r="A52" s="27" t="s">
        <v>261</v>
      </c>
      <c r="B52" s="27" t="s">
        <v>276</v>
      </c>
      <c r="C52" s="27" t="s">
        <v>198</v>
      </c>
      <c r="D52" s="27" t="s">
        <v>1159</v>
      </c>
      <c r="E52" s="27" t="s">
        <v>83</v>
      </c>
      <c r="F52" s="27" t="s">
        <v>200</v>
      </c>
      <c r="G52" s="27">
        <v>7470.3091349302167</v>
      </c>
      <c r="H52" s="27">
        <v>7918.6278182172127</v>
      </c>
      <c r="I52" s="27">
        <v>8256.8277140646333</v>
      </c>
      <c r="J52" s="27">
        <v>8560.3559898548319</v>
      </c>
      <c r="K52" s="27">
        <v>8172.8958683416531</v>
      </c>
      <c r="L52" s="27">
        <v>7786.368170492211</v>
      </c>
      <c r="M52" s="27">
        <v>7491.1393018498129</v>
      </c>
      <c r="N52" s="27">
        <v>7109.3126135514813</v>
      </c>
      <c r="O52" s="27">
        <v>6692.7565918012269</v>
      </c>
      <c r="P52" s="27">
        <v>6304.0262271553756</v>
      </c>
      <c r="Q52" s="27">
        <v>6231.9382146034559</v>
      </c>
      <c r="R52" s="27">
        <v>6321.2215899146977</v>
      </c>
      <c r="S52" s="27">
        <v>6254.795727875945</v>
      </c>
      <c r="T52" s="27">
        <v>6210.4278682158229</v>
      </c>
      <c r="U52" s="27">
        <v>6151.6538729877748</v>
      </c>
      <c r="V52" s="27">
        <v>6089.8645061888546</v>
      </c>
      <c r="W52" s="27">
        <v>6014.9722896476515</v>
      </c>
      <c r="X52" s="27">
        <v>5950.4996231893138</v>
      </c>
      <c r="Y52" s="27">
        <v>5847.4081641613329</v>
      </c>
      <c r="Z52" s="27">
        <v>5763.1282430789206</v>
      </c>
    </row>
    <row r="53" spans="1:26">
      <c r="A53" s="27" t="s">
        <v>218</v>
      </c>
      <c r="B53" s="27" t="s">
        <v>256</v>
      </c>
      <c r="C53" s="27" t="s">
        <v>198</v>
      </c>
      <c r="D53" s="27" t="s">
        <v>1159</v>
      </c>
      <c r="E53" s="27" t="s">
        <v>83</v>
      </c>
      <c r="F53" s="27" t="s">
        <v>200</v>
      </c>
      <c r="G53" s="27">
        <v>7110.7804999999998</v>
      </c>
      <c r="H53" s="27">
        <v>8049.2847000000002</v>
      </c>
      <c r="I53" s="27">
        <v>8634.0504999999994</v>
      </c>
      <c r="J53" s="27">
        <v>9172.4179000000004</v>
      </c>
      <c r="K53" s="27">
        <v>8191.45</v>
      </c>
      <c r="L53" s="27">
        <v>8325.1550000000007</v>
      </c>
      <c r="M53" s="27">
        <v>8134.2489999999998</v>
      </c>
      <c r="N53" s="27">
        <v>8095.0509999999977</v>
      </c>
      <c r="O53" s="27">
        <v>8206.7000000000007</v>
      </c>
      <c r="P53" s="27">
        <v>8192.9189999999999</v>
      </c>
      <c r="Q53" s="27">
        <v>8453.9050000000007</v>
      </c>
      <c r="R53" s="27">
        <v>8616.8310000000001</v>
      </c>
      <c r="S53" s="27" t="s">
        <v>200</v>
      </c>
      <c r="T53" s="27">
        <v>8818.723</v>
      </c>
      <c r="U53" s="27" t="s">
        <v>200</v>
      </c>
      <c r="V53" s="27">
        <v>8607.8729999999996</v>
      </c>
      <c r="W53" s="27" t="s">
        <v>200</v>
      </c>
      <c r="X53" s="27">
        <v>8378.4660000000003</v>
      </c>
      <c r="Y53" s="27" t="s">
        <v>200</v>
      </c>
      <c r="Z53" s="27">
        <v>8062.0450000000001</v>
      </c>
    </row>
    <row r="54" spans="1:26">
      <c r="A54" s="27" t="s">
        <v>203</v>
      </c>
      <c r="B54" s="27" t="s">
        <v>277</v>
      </c>
      <c r="C54" s="27" t="s">
        <v>198</v>
      </c>
      <c r="D54" s="27" t="s">
        <v>1159</v>
      </c>
      <c r="E54" s="27" t="s">
        <v>83</v>
      </c>
      <c r="F54" s="27" t="s">
        <v>200</v>
      </c>
      <c r="G54" s="27">
        <v>6666.0285999999996</v>
      </c>
      <c r="H54" s="27">
        <v>7353.4795999999997</v>
      </c>
      <c r="I54" s="27">
        <v>8313.9251999999997</v>
      </c>
      <c r="J54" s="27">
        <v>9079.8241999999991</v>
      </c>
      <c r="K54" s="27">
        <v>9007.7330000000002</v>
      </c>
      <c r="L54" s="27">
        <v>9565.7003000000004</v>
      </c>
      <c r="M54" s="27">
        <v>9674.8814000000002</v>
      </c>
      <c r="N54" s="27">
        <v>9582.5540999999994</v>
      </c>
      <c r="O54" s="27">
        <v>9900.4138999999996</v>
      </c>
      <c r="P54" s="27">
        <v>10234.4321</v>
      </c>
      <c r="Q54" s="27">
        <v>10641.1579</v>
      </c>
      <c r="R54" s="27">
        <v>10866.4396</v>
      </c>
      <c r="S54" s="27" t="s">
        <v>200</v>
      </c>
      <c r="T54" s="27">
        <v>10854.950999999999</v>
      </c>
      <c r="U54" s="27" t="s">
        <v>200</v>
      </c>
      <c r="V54" s="27">
        <v>10540.472599999999</v>
      </c>
      <c r="W54" s="27" t="s">
        <v>200</v>
      </c>
      <c r="X54" s="27">
        <v>9998.2127999999993</v>
      </c>
      <c r="Y54" s="27" t="s">
        <v>200</v>
      </c>
      <c r="Z54" s="27">
        <v>9606.8703999999998</v>
      </c>
    </row>
    <row r="55" spans="1:26">
      <c r="A55" s="27" t="s">
        <v>203</v>
      </c>
      <c r="B55" s="27" t="s">
        <v>278</v>
      </c>
      <c r="C55" s="27" t="s">
        <v>198</v>
      </c>
      <c r="D55" s="27" t="s">
        <v>1159</v>
      </c>
      <c r="E55" s="27" t="s">
        <v>83</v>
      </c>
      <c r="F55" s="27" t="s">
        <v>200</v>
      </c>
      <c r="G55" s="27">
        <v>6662.0344999999998</v>
      </c>
      <c r="H55" s="27">
        <v>7356.3477000000003</v>
      </c>
      <c r="I55" s="27">
        <v>8334.3387000000002</v>
      </c>
      <c r="J55" s="27">
        <v>9131.7008999999998</v>
      </c>
      <c r="K55" s="27">
        <v>7894.5681999999997</v>
      </c>
      <c r="L55" s="27">
        <v>8429.7199999999993</v>
      </c>
      <c r="M55" s="27">
        <v>9062.0941999999995</v>
      </c>
      <c r="N55" s="27">
        <v>9722.3372999999992</v>
      </c>
      <c r="O55" s="27">
        <v>10150.152</v>
      </c>
      <c r="P55" s="27">
        <v>10347.366900000001</v>
      </c>
      <c r="Q55" s="27">
        <v>10517.2788</v>
      </c>
      <c r="R55" s="27">
        <v>10431.602500000001</v>
      </c>
      <c r="S55" s="27" t="s">
        <v>200</v>
      </c>
      <c r="T55" s="27">
        <v>9896.2670999999991</v>
      </c>
      <c r="U55" s="27" t="s">
        <v>200</v>
      </c>
      <c r="V55" s="27">
        <v>9117.0841</v>
      </c>
      <c r="W55" s="27" t="s">
        <v>200</v>
      </c>
      <c r="X55" s="27">
        <v>8338.4868000000006</v>
      </c>
      <c r="Y55" s="27" t="s">
        <v>200</v>
      </c>
      <c r="Z55" s="27">
        <v>7769.0686999999998</v>
      </c>
    </row>
    <row r="56" spans="1:26">
      <c r="A56" s="27" t="s">
        <v>196</v>
      </c>
      <c r="B56" s="27" t="s">
        <v>279</v>
      </c>
      <c r="C56" s="27" t="s">
        <v>198</v>
      </c>
      <c r="D56" s="27" t="s">
        <v>1159</v>
      </c>
      <c r="E56" s="27" t="s">
        <v>83</v>
      </c>
      <c r="F56" s="27" t="s">
        <v>200</v>
      </c>
      <c r="G56" s="27">
        <v>6653.2909</v>
      </c>
      <c r="H56" s="27">
        <v>7330.2029000000002</v>
      </c>
      <c r="I56" s="27">
        <v>8288.8250000000007</v>
      </c>
      <c r="J56" s="27">
        <v>9026.1784000000007</v>
      </c>
      <c r="K56" s="27">
        <v>7951.5412999999999</v>
      </c>
      <c r="L56" s="27">
        <v>8151.2070999999996</v>
      </c>
      <c r="M56" s="27">
        <v>8111.8945999999996</v>
      </c>
      <c r="N56" s="27">
        <v>8022.5388999999996</v>
      </c>
      <c r="O56" s="27">
        <v>7939.0875999999998</v>
      </c>
      <c r="P56" s="27">
        <v>7692.2428</v>
      </c>
      <c r="Q56" s="27">
        <v>7572.7290000000003</v>
      </c>
      <c r="R56" s="27">
        <v>7302.5883000000003</v>
      </c>
      <c r="S56" s="27" t="s">
        <v>200</v>
      </c>
      <c r="T56" s="27">
        <v>6442.6503000000002</v>
      </c>
      <c r="U56" s="27" t="s">
        <v>200</v>
      </c>
      <c r="V56" s="27">
        <v>5515.7204000000002</v>
      </c>
      <c r="W56" s="27" t="s">
        <v>200</v>
      </c>
      <c r="X56" s="27">
        <v>4620.2919000000002</v>
      </c>
      <c r="Y56" s="27" t="s">
        <v>200</v>
      </c>
      <c r="Z56" s="27">
        <v>3961.7819</v>
      </c>
    </row>
    <row r="57" spans="1:26">
      <c r="A57" s="27" t="s">
        <v>257</v>
      </c>
      <c r="B57" s="27" t="s">
        <v>280</v>
      </c>
      <c r="C57" s="27" t="s">
        <v>198</v>
      </c>
      <c r="D57" s="27" t="s">
        <v>1159</v>
      </c>
      <c r="E57" s="27" t="s">
        <v>83</v>
      </c>
      <c r="F57" s="27" t="s">
        <v>200</v>
      </c>
      <c r="G57" s="27" t="s">
        <v>200</v>
      </c>
      <c r="H57" s="27">
        <v>7019.3023999999996</v>
      </c>
      <c r="I57" s="27">
        <v>7614.5823</v>
      </c>
      <c r="J57" s="27">
        <v>8179.7610999999997</v>
      </c>
      <c r="K57" s="27">
        <v>6550.3032000000003</v>
      </c>
      <c r="L57" s="27">
        <v>6277.5649999999996</v>
      </c>
      <c r="M57" s="27">
        <v>6161.5262000000002</v>
      </c>
      <c r="N57" s="27">
        <v>6247.7151000000003</v>
      </c>
      <c r="O57" s="27">
        <v>6395.9951000000001</v>
      </c>
      <c r="P57" s="27">
        <v>6410.3784999999998</v>
      </c>
      <c r="Q57" s="27">
        <v>6674.6026000000002</v>
      </c>
      <c r="R57" s="27">
        <v>6903.3878000000004</v>
      </c>
      <c r="S57" s="27">
        <v>7102.2659000000003</v>
      </c>
      <c r="T57" s="27">
        <v>7282.8914999999997</v>
      </c>
      <c r="U57" s="27">
        <v>7441.7547999999997</v>
      </c>
      <c r="V57" s="27">
        <v>7579.5469999999996</v>
      </c>
      <c r="W57" s="27">
        <v>7692.3181999999997</v>
      </c>
      <c r="X57" s="27">
        <v>7785.5009</v>
      </c>
      <c r="Y57" s="27">
        <v>7859.3693000000003</v>
      </c>
      <c r="Z57" s="27">
        <v>7915.1373000000003</v>
      </c>
    </row>
    <row r="58" spans="1:26">
      <c r="A58" s="27" t="s">
        <v>211</v>
      </c>
      <c r="B58" s="27" t="s">
        <v>240</v>
      </c>
      <c r="C58" s="27" t="s">
        <v>198</v>
      </c>
      <c r="D58" s="27" t="s">
        <v>1159</v>
      </c>
      <c r="E58" s="27" t="s">
        <v>83</v>
      </c>
      <c r="F58" s="27" t="s">
        <v>200</v>
      </c>
      <c r="G58" s="27">
        <v>6106.3368936422903</v>
      </c>
      <c r="H58" s="27">
        <v>6443.2454232845903</v>
      </c>
      <c r="I58" s="27" t="s">
        <v>200</v>
      </c>
      <c r="J58" s="27">
        <v>6983.3748763613294</v>
      </c>
      <c r="K58" s="27" t="s">
        <v>200</v>
      </c>
      <c r="L58" s="27">
        <v>7378.6499791189208</v>
      </c>
      <c r="M58" s="27" t="s">
        <v>200</v>
      </c>
      <c r="N58" s="27">
        <v>7068.7855459175207</v>
      </c>
      <c r="O58" s="27" t="s">
        <v>200</v>
      </c>
      <c r="P58" s="27">
        <v>6467.8589417244493</v>
      </c>
      <c r="Q58" s="27" t="s">
        <v>200</v>
      </c>
      <c r="R58" s="27">
        <v>5790.4861009306796</v>
      </c>
      <c r="S58" s="27" t="s">
        <v>200</v>
      </c>
      <c r="T58" s="27">
        <v>5295.82729572891</v>
      </c>
      <c r="U58" s="27" t="s">
        <v>200</v>
      </c>
      <c r="V58" s="27">
        <v>4822.4449054824399</v>
      </c>
      <c r="W58" s="27" t="s">
        <v>200</v>
      </c>
      <c r="X58" s="27">
        <v>4384.9683401086704</v>
      </c>
      <c r="Y58" s="27" t="s">
        <v>200</v>
      </c>
      <c r="Z58" s="27">
        <v>4007.44032033351</v>
      </c>
    </row>
    <row r="59" spans="1:26">
      <c r="A59" s="27" t="s">
        <v>203</v>
      </c>
      <c r="B59" s="27" t="s">
        <v>281</v>
      </c>
      <c r="C59" s="27" t="s">
        <v>198</v>
      </c>
      <c r="D59" s="27" t="s">
        <v>1159</v>
      </c>
      <c r="E59" s="27" t="s">
        <v>83</v>
      </c>
      <c r="F59" s="27" t="s">
        <v>200</v>
      </c>
      <c r="G59" s="27">
        <v>6662.0344999999998</v>
      </c>
      <c r="H59" s="27">
        <v>7356.3477000000003</v>
      </c>
      <c r="I59" s="27">
        <v>8334.3387000000002</v>
      </c>
      <c r="J59" s="27">
        <v>9131.7008999999998</v>
      </c>
      <c r="K59" s="27">
        <v>8120.4101000000001</v>
      </c>
      <c r="L59" s="27">
        <v>8603.4261000000006</v>
      </c>
      <c r="M59" s="27">
        <v>8972.6188999999995</v>
      </c>
      <c r="N59" s="27">
        <v>9462.2850999999991</v>
      </c>
      <c r="O59" s="27">
        <v>9975.7795999999998</v>
      </c>
      <c r="P59" s="27">
        <v>10338.3783</v>
      </c>
      <c r="Q59" s="27">
        <v>10694.264999999999</v>
      </c>
      <c r="R59" s="27">
        <v>10856.507600000001</v>
      </c>
      <c r="S59" s="27" t="s">
        <v>200</v>
      </c>
      <c r="T59" s="27">
        <v>10767.757</v>
      </c>
      <c r="U59" s="27" t="s">
        <v>200</v>
      </c>
      <c r="V59" s="27">
        <v>10371.0237</v>
      </c>
      <c r="W59" s="27" t="s">
        <v>200</v>
      </c>
      <c r="X59" s="27">
        <v>9886.1813000000002</v>
      </c>
      <c r="Y59" s="27" t="s">
        <v>200</v>
      </c>
      <c r="Z59" s="27">
        <v>9623.4735999999994</v>
      </c>
    </row>
    <row r="60" spans="1:26">
      <c r="A60" s="27" t="s">
        <v>282</v>
      </c>
      <c r="B60" s="27" t="s">
        <v>283</v>
      </c>
      <c r="C60" s="27" t="s">
        <v>198</v>
      </c>
      <c r="D60" s="27" t="s">
        <v>1159</v>
      </c>
      <c r="E60" s="27" t="s">
        <v>83</v>
      </c>
      <c r="F60" s="27" t="s">
        <v>200</v>
      </c>
      <c r="G60" s="27" t="s">
        <v>200</v>
      </c>
      <c r="H60" s="27">
        <v>6559.6720999999998</v>
      </c>
      <c r="I60" s="27">
        <v>6877.0460999999996</v>
      </c>
      <c r="J60" s="27">
        <v>7194.4201999999996</v>
      </c>
      <c r="K60" s="27" t="s">
        <v>200</v>
      </c>
      <c r="L60" s="27">
        <v>6715.4133029212808</v>
      </c>
      <c r="M60" s="27" t="s">
        <v>200</v>
      </c>
      <c r="N60" s="27">
        <v>6461.9471193570571</v>
      </c>
      <c r="O60" s="27" t="s">
        <v>200</v>
      </c>
      <c r="P60" s="27">
        <v>6353.7633350554024</v>
      </c>
      <c r="Q60" s="27" t="s">
        <v>200</v>
      </c>
      <c r="R60" s="27">
        <v>6325.7740512981336</v>
      </c>
      <c r="S60" s="27" t="s">
        <v>200</v>
      </c>
      <c r="T60" s="27">
        <v>6211.9703919033154</v>
      </c>
      <c r="U60" s="27" t="s">
        <v>200</v>
      </c>
      <c r="V60" s="27">
        <v>6082.7873196567398</v>
      </c>
      <c r="W60" s="27" t="s">
        <v>200</v>
      </c>
      <c r="X60" s="27">
        <v>6072.7185531041896</v>
      </c>
      <c r="Y60" s="27" t="s">
        <v>200</v>
      </c>
      <c r="Z60" s="27">
        <v>6011.5527474592636</v>
      </c>
    </row>
    <row r="61" spans="1:26">
      <c r="A61" s="27" t="s">
        <v>203</v>
      </c>
      <c r="B61" s="27" t="s">
        <v>284</v>
      </c>
      <c r="C61" s="27" t="s">
        <v>198</v>
      </c>
      <c r="D61" s="27" t="s">
        <v>1159</v>
      </c>
      <c r="E61" s="27" t="s">
        <v>83</v>
      </c>
      <c r="F61" s="27" t="s">
        <v>200</v>
      </c>
      <c r="G61" s="27">
        <v>6662.0344999999998</v>
      </c>
      <c r="H61" s="27">
        <v>7356.3477000000003</v>
      </c>
      <c r="I61" s="27">
        <v>8334.3387000000002</v>
      </c>
      <c r="J61" s="27">
        <v>9131.7008999999998</v>
      </c>
      <c r="K61" s="27">
        <v>7641.6590999999999</v>
      </c>
      <c r="L61" s="27">
        <v>7768.8980000000001</v>
      </c>
      <c r="M61" s="27">
        <v>7704.4089999999997</v>
      </c>
      <c r="N61" s="27">
        <v>7630.9426000000003</v>
      </c>
      <c r="O61" s="27">
        <v>7580.6126999999997</v>
      </c>
      <c r="P61" s="27">
        <v>7430.3852999999999</v>
      </c>
      <c r="Q61" s="27">
        <v>7396.4507999999996</v>
      </c>
      <c r="R61" s="27">
        <v>7163.9611999999997</v>
      </c>
      <c r="S61" s="27" t="s">
        <v>200</v>
      </c>
      <c r="T61" s="27">
        <v>6364.8827000000001</v>
      </c>
      <c r="U61" s="27" t="s">
        <v>200</v>
      </c>
      <c r="V61" s="27">
        <v>5449.1472999999996</v>
      </c>
      <c r="W61" s="27" t="s">
        <v>200</v>
      </c>
      <c r="X61" s="27">
        <v>4635.4084999999995</v>
      </c>
      <c r="Y61" s="27" t="s">
        <v>200</v>
      </c>
      <c r="Z61" s="27">
        <v>4007.1642999999999</v>
      </c>
    </row>
    <row r="62" spans="1:26">
      <c r="A62" s="27" t="s">
        <v>203</v>
      </c>
      <c r="B62" s="27" t="s">
        <v>285</v>
      </c>
      <c r="C62" s="27" t="s">
        <v>198</v>
      </c>
      <c r="D62" s="27" t="s">
        <v>1159</v>
      </c>
      <c r="E62" s="27" t="s">
        <v>83</v>
      </c>
      <c r="F62" s="27" t="s">
        <v>200</v>
      </c>
      <c r="G62" s="27">
        <v>6666.0285999999996</v>
      </c>
      <c r="H62" s="27">
        <v>7353.2173000000003</v>
      </c>
      <c r="I62" s="27">
        <v>8313.3047000000006</v>
      </c>
      <c r="J62" s="27">
        <v>9073.8019999999997</v>
      </c>
      <c r="K62" s="27">
        <v>8569.1434000000008</v>
      </c>
      <c r="L62" s="27">
        <v>8808.7684000000008</v>
      </c>
      <c r="M62" s="27">
        <v>8581.3065999999999</v>
      </c>
      <c r="N62" s="27">
        <v>7777.5299000000005</v>
      </c>
      <c r="O62" s="27">
        <v>7396.0050000000001</v>
      </c>
      <c r="P62" s="27">
        <v>7041.6238999999996</v>
      </c>
      <c r="Q62" s="27">
        <v>6977.3966</v>
      </c>
      <c r="R62" s="27">
        <v>6820.6692000000003</v>
      </c>
      <c r="S62" s="27" t="s">
        <v>200</v>
      </c>
      <c r="T62" s="27">
        <v>6185.2699000000002</v>
      </c>
      <c r="U62" s="27" t="s">
        <v>200</v>
      </c>
      <c r="V62" s="27">
        <v>5368.8450000000003</v>
      </c>
      <c r="W62" s="27" t="s">
        <v>200</v>
      </c>
      <c r="X62" s="27">
        <v>4596.0616</v>
      </c>
      <c r="Y62" s="27" t="s">
        <v>200</v>
      </c>
      <c r="Z62" s="27">
        <v>3996.4436999999998</v>
      </c>
    </row>
    <row r="63" spans="1:26">
      <c r="A63" s="27" t="s">
        <v>196</v>
      </c>
      <c r="B63" s="27" t="s">
        <v>286</v>
      </c>
      <c r="C63" s="27" t="s">
        <v>198</v>
      </c>
      <c r="D63" s="27" t="s">
        <v>1159</v>
      </c>
      <c r="E63" s="27" t="s">
        <v>83</v>
      </c>
      <c r="F63" s="27" t="s">
        <v>200</v>
      </c>
      <c r="G63" s="27">
        <v>6653.2909</v>
      </c>
      <c r="H63" s="27">
        <v>7329.7896000000001</v>
      </c>
      <c r="I63" s="27">
        <v>8288.0249999999996</v>
      </c>
      <c r="J63" s="27">
        <v>9024.9858999999997</v>
      </c>
      <c r="K63" s="27">
        <v>8175.1045999999997</v>
      </c>
      <c r="L63" s="27">
        <v>8796.3718000000008</v>
      </c>
      <c r="M63" s="27">
        <v>9395.0838000000003</v>
      </c>
      <c r="N63" s="27">
        <v>9861.0879999999997</v>
      </c>
      <c r="O63" s="27">
        <v>10155.8927</v>
      </c>
      <c r="P63" s="27">
        <v>10287.3424</v>
      </c>
      <c r="Q63" s="27">
        <v>10386.968699999999</v>
      </c>
      <c r="R63" s="27">
        <v>10450.230299999999</v>
      </c>
      <c r="S63" s="27" t="s">
        <v>200</v>
      </c>
      <c r="T63" s="27">
        <v>10345.5182</v>
      </c>
      <c r="U63" s="27" t="s">
        <v>200</v>
      </c>
      <c r="V63" s="27">
        <v>9963.6942999999992</v>
      </c>
      <c r="W63" s="27" t="s">
        <v>200</v>
      </c>
      <c r="X63" s="27">
        <v>9416.4850000000006</v>
      </c>
      <c r="Y63" s="27" t="s">
        <v>200</v>
      </c>
      <c r="Z63" s="27">
        <v>9061.1556999999993</v>
      </c>
    </row>
    <row r="64" spans="1:26">
      <c r="A64" s="27" t="s">
        <v>282</v>
      </c>
      <c r="B64" s="27" t="s">
        <v>243</v>
      </c>
      <c r="C64" s="27" t="s">
        <v>198</v>
      </c>
      <c r="D64" s="27" t="s">
        <v>1159</v>
      </c>
      <c r="E64" s="27" t="s">
        <v>83</v>
      </c>
      <c r="F64" s="27">
        <v>5769.4284667968795</v>
      </c>
      <c r="G64" s="27">
        <v>6108.28271484375</v>
      </c>
      <c r="H64" s="27">
        <v>6447.13671875</v>
      </c>
      <c r="I64" s="27" t="s">
        <v>200</v>
      </c>
      <c r="J64" s="27">
        <v>7148.24169921875</v>
      </c>
      <c r="K64" s="27" t="s">
        <v>200</v>
      </c>
      <c r="L64" s="27">
        <v>7013.19140625</v>
      </c>
      <c r="M64" s="27" t="s">
        <v>200</v>
      </c>
      <c r="N64" s="27">
        <v>6650.2907714843795</v>
      </c>
      <c r="O64" s="27" t="s">
        <v>200</v>
      </c>
      <c r="P64" s="27">
        <v>6239.5930175781205</v>
      </c>
      <c r="Q64" s="27" t="s">
        <v>200</v>
      </c>
      <c r="R64" s="27">
        <v>5793.6496582031205</v>
      </c>
      <c r="S64" s="27" t="s">
        <v>200</v>
      </c>
      <c r="T64" s="27">
        <v>5325.1365966796902</v>
      </c>
      <c r="U64" s="27" t="s">
        <v>200</v>
      </c>
      <c r="V64" s="27">
        <v>4980.3292236328098</v>
      </c>
      <c r="W64" s="27" t="s">
        <v>200</v>
      </c>
      <c r="X64" s="27">
        <v>4639.6160888671902</v>
      </c>
      <c r="Y64" s="27" t="s">
        <v>200</v>
      </c>
      <c r="Z64" s="27">
        <v>4368.0078125</v>
      </c>
    </row>
    <row r="65" spans="1:26">
      <c r="A65" s="27" t="s">
        <v>207</v>
      </c>
      <c r="B65" s="27" t="s">
        <v>202</v>
      </c>
      <c r="C65" s="27" t="s">
        <v>198</v>
      </c>
      <c r="D65" s="27" t="s">
        <v>1159</v>
      </c>
      <c r="E65" s="27" t="s">
        <v>83</v>
      </c>
      <c r="F65" s="27">
        <v>5798.3527999999988</v>
      </c>
      <c r="G65" s="27">
        <v>6179.0123999999996</v>
      </c>
      <c r="H65" s="27">
        <v>6559.6720999999998</v>
      </c>
      <c r="I65" s="27">
        <v>6877.0460999999996</v>
      </c>
      <c r="J65" s="27">
        <v>7194.4201999999996</v>
      </c>
      <c r="K65" s="27">
        <v>6780.6673776496882</v>
      </c>
      <c r="L65" s="27">
        <v>6383.9644127558231</v>
      </c>
      <c r="M65" s="27">
        <v>6180.6054358908123</v>
      </c>
      <c r="N65" s="27">
        <v>5982.8847804210818</v>
      </c>
      <c r="O65" s="27">
        <v>5829.4230822068421</v>
      </c>
      <c r="P65" s="27">
        <v>5677.1731502927523</v>
      </c>
      <c r="Q65" s="27">
        <v>5575.4966510980903</v>
      </c>
      <c r="R65" s="27">
        <v>5463.2652275018781</v>
      </c>
      <c r="S65" s="27" t="s">
        <v>200</v>
      </c>
      <c r="T65" s="27">
        <v>5475.6323660997896</v>
      </c>
      <c r="U65" s="27" t="s">
        <v>200</v>
      </c>
      <c r="V65" s="27">
        <v>5489.8143022831409</v>
      </c>
      <c r="W65" s="27" t="s">
        <v>200</v>
      </c>
      <c r="X65" s="27">
        <v>5417.2757039526541</v>
      </c>
      <c r="Y65" s="27" t="s">
        <v>200</v>
      </c>
      <c r="Z65" s="27">
        <v>5237.9118266511696</v>
      </c>
    </row>
    <row r="66" spans="1:26">
      <c r="A66" s="27" t="s">
        <v>207</v>
      </c>
      <c r="B66" s="27" t="s">
        <v>273</v>
      </c>
      <c r="C66" s="27" t="s">
        <v>198</v>
      </c>
      <c r="D66" s="27" t="s">
        <v>1159</v>
      </c>
      <c r="E66" s="27" t="s">
        <v>83</v>
      </c>
      <c r="F66" s="27" t="s">
        <v>200</v>
      </c>
      <c r="G66" s="27" t="s">
        <v>200</v>
      </c>
      <c r="H66" s="27">
        <v>6559.6720999999998</v>
      </c>
      <c r="I66" s="27">
        <v>6877.0460999999996</v>
      </c>
      <c r="J66" s="27">
        <v>7194.4201999999996</v>
      </c>
      <c r="K66" s="27">
        <v>6793.1752999999999</v>
      </c>
      <c r="L66" s="27">
        <v>6412.4503119999999</v>
      </c>
      <c r="M66" s="27">
        <v>6230.5186249999997</v>
      </c>
      <c r="N66" s="27">
        <v>6054.0397380000004</v>
      </c>
      <c r="O66" s="27">
        <v>5901.1560490000002</v>
      </c>
      <c r="P66" s="27">
        <v>5764.9341640000002</v>
      </c>
      <c r="Q66" s="27">
        <v>5657.7732370000003</v>
      </c>
      <c r="R66" s="27">
        <v>5574.5300829999996</v>
      </c>
      <c r="S66" s="27" t="s">
        <v>200</v>
      </c>
      <c r="T66" s="27">
        <v>5551.0803370000003</v>
      </c>
      <c r="U66" s="27" t="s">
        <v>200</v>
      </c>
      <c r="V66" s="27">
        <v>5515.219607</v>
      </c>
      <c r="W66" s="27" t="s">
        <v>200</v>
      </c>
      <c r="X66" s="27">
        <v>5446.2285410000004</v>
      </c>
      <c r="Y66" s="27" t="s">
        <v>200</v>
      </c>
      <c r="Z66" s="27">
        <v>5415.3049229999997</v>
      </c>
    </row>
    <row r="67" spans="1:26">
      <c r="A67" s="27" t="s">
        <v>211</v>
      </c>
      <c r="B67" s="27" t="s">
        <v>256</v>
      </c>
      <c r="C67" s="27" t="s">
        <v>198</v>
      </c>
      <c r="D67" s="27" t="s">
        <v>1159</v>
      </c>
      <c r="E67" s="27" t="s">
        <v>83</v>
      </c>
      <c r="F67" s="27" t="s">
        <v>200</v>
      </c>
      <c r="G67" s="27">
        <v>6086.9305000000004</v>
      </c>
      <c r="H67" s="27">
        <v>6404.4371000000001</v>
      </c>
      <c r="I67" s="27" t="s">
        <v>200</v>
      </c>
      <c r="J67" s="27">
        <v>7045.2114000000001</v>
      </c>
      <c r="K67" s="27" t="s">
        <v>200</v>
      </c>
      <c r="L67" s="27">
        <v>6807.06</v>
      </c>
      <c r="M67" s="27" t="s">
        <v>200</v>
      </c>
      <c r="N67" s="27">
        <v>6406.8290000000025</v>
      </c>
      <c r="O67" s="27" t="s">
        <v>200</v>
      </c>
      <c r="P67" s="27">
        <v>5983.4129000000003</v>
      </c>
      <c r="Q67" s="27" t="s">
        <v>200</v>
      </c>
      <c r="R67" s="27">
        <v>5612.9525999999996</v>
      </c>
      <c r="S67" s="27" t="s">
        <v>200</v>
      </c>
      <c r="T67" s="27">
        <v>5343.7978000000003</v>
      </c>
      <c r="U67" s="27" t="s">
        <v>200</v>
      </c>
      <c r="V67" s="27">
        <v>5166.2803999999996</v>
      </c>
      <c r="W67" s="27" t="s">
        <v>200</v>
      </c>
      <c r="X67" s="27">
        <v>5039.7858999999999</v>
      </c>
      <c r="Y67" s="27" t="s">
        <v>200</v>
      </c>
      <c r="Z67" s="27">
        <v>4933.9216999999999</v>
      </c>
    </row>
    <row r="68" spans="1:26">
      <c r="A68" s="27" t="s">
        <v>196</v>
      </c>
      <c r="B68" s="27" t="s">
        <v>267</v>
      </c>
      <c r="C68" s="27" t="s">
        <v>198</v>
      </c>
      <c r="D68" s="27" t="s">
        <v>1159</v>
      </c>
      <c r="E68" s="27" t="s">
        <v>83</v>
      </c>
      <c r="F68" s="27" t="s">
        <v>200</v>
      </c>
      <c r="G68" s="27">
        <v>6653.2909</v>
      </c>
      <c r="H68" s="27">
        <v>7329.7896000000001</v>
      </c>
      <c r="I68" s="27">
        <v>8288.0249999999996</v>
      </c>
      <c r="J68" s="27">
        <v>9024.9858999999997</v>
      </c>
      <c r="K68" s="27">
        <v>8179.9153999999999</v>
      </c>
      <c r="L68" s="27">
        <v>8767.6075999999994</v>
      </c>
      <c r="M68" s="27">
        <v>9308.7392</v>
      </c>
      <c r="N68" s="27">
        <v>9758.4567000000006</v>
      </c>
      <c r="O68" s="27">
        <v>10100.156999999999</v>
      </c>
      <c r="P68" s="27">
        <v>10269.7505</v>
      </c>
      <c r="Q68" s="27">
        <v>10388.8912</v>
      </c>
      <c r="R68" s="27">
        <v>10457.461799999999</v>
      </c>
      <c r="S68" s="27" t="s">
        <v>200</v>
      </c>
      <c r="T68" s="27">
        <v>10333.007799999999</v>
      </c>
      <c r="U68" s="27" t="s">
        <v>200</v>
      </c>
      <c r="V68" s="27">
        <v>9961.6334999999999</v>
      </c>
      <c r="W68" s="27" t="s">
        <v>200</v>
      </c>
      <c r="X68" s="27">
        <v>9421.2715000000007</v>
      </c>
      <c r="Y68" s="27" t="s">
        <v>200</v>
      </c>
      <c r="Z68" s="27">
        <v>9059.5717000000004</v>
      </c>
    </row>
    <row r="69" spans="1:26">
      <c r="A69" s="27" t="s">
        <v>207</v>
      </c>
      <c r="B69" s="27" t="s">
        <v>201</v>
      </c>
      <c r="C69" s="27" t="s">
        <v>198</v>
      </c>
      <c r="D69" s="27" t="s">
        <v>1159</v>
      </c>
      <c r="E69" s="27" t="s">
        <v>83</v>
      </c>
      <c r="F69" s="27" t="s">
        <v>200</v>
      </c>
      <c r="G69" s="27" t="s">
        <v>200</v>
      </c>
      <c r="H69" s="27">
        <v>6559.6720999999998</v>
      </c>
      <c r="I69" s="27">
        <v>6877.0460999999996</v>
      </c>
      <c r="J69" s="27">
        <v>7194.4201999999996</v>
      </c>
      <c r="K69" s="27">
        <v>6749.568147</v>
      </c>
      <c r="L69" s="27">
        <v>6323.1271280000001</v>
      </c>
      <c r="M69" s="27">
        <v>6128.2109579999997</v>
      </c>
      <c r="N69" s="27">
        <v>5938.7744350000003</v>
      </c>
      <c r="O69" s="27">
        <v>5792.2739840000004</v>
      </c>
      <c r="P69" s="27">
        <v>5647.2395809999998</v>
      </c>
      <c r="Q69" s="27">
        <v>5545.9932419999996</v>
      </c>
      <c r="R69" s="27">
        <v>5485.0464599999996</v>
      </c>
      <c r="S69" s="27" t="s">
        <v>200</v>
      </c>
      <c r="T69" s="27">
        <v>5452.7991499999998</v>
      </c>
      <c r="U69" s="27" t="s">
        <v>200</v>
      </c>
      <c r="V69" s="27">
        <v>5488.3979499999996</v>
      </c>
      <c r="W69" s="27" t="s">
        <v>200</v>
      </c>
      <c r="X69" s="27">
        <v>5440.115487</v>
      </c>
      <c r="Y69" s="27" t="s">
        <v>200</v>
      </c>
      <c r="Z69" s="27">
        <v>5390.9842520000002</v>
      </c>
    </row>
    <row r="70" spans="1:26">
      <c r="A70" s="27" t="s">
        <v>196</v>
      </c>
      <c r="B70" s="27" t="s">
        <v>289</v>
      </c>
      <c r="C70" s="27" t="s">
        <v>198</v>
      </c>
      <c r="D70" s="27" t="s">
        <v>1159</v>
      </c>
      <c r="E70" s="27" t="s">
        <v>83</v>
      </c>
      <c r="F70" s="27" t="s">
        <v>200</v>
      </c>
      <c r="G70" s="27">
        <v>6653.5258999999996</v>
      </c>
      <c r="H70" s="27">
        <v>7330.7340999999997</v>
      </c>
      <c r="I70" s="27">
        <v>8287.0792000000001</v>
      </c>
      <c r="J70" s="27">
        <v>9021.5918000000001</v>
      </c>
      <c r="K70" s="27">
        <v>7891.9565000000002</v>
      </c>
      <c r="L70" s="27">
        <v>8071.9912999999997</v>
      </c>
      <c r="M70" s="27">
        <v>8163.3972000000003</v>
      </c>
      <c r="N70" s="27">
        <v>8164.8679000000002</v>
      </c>
      <c r="O70" s="27">
        <v>8061.7236999999996</v>
      </c>
      <c r="P70" s="27">
        <v>7778.7217000000001</v>
      </c>
      <c r="Q70" s="27">
        <v>7560.5609999999997</v>
      </c>
      <c r="R70" s="27">
        <v>7252.7483000000002</v>
      </c>
      <c r="S70" s="27" t="s">
        <v>200</v>
      </c>
      <c r="T70" s="27">
        <v>6309.7062999999998</v>
      </c>
      <c r="U70" s="27" t="s">
        <v>200</v>
      </c>
      <c r="V70" s="27">
        <v>5382.1853000000001</v>
      </c>
      <c r="W70" s="27" t="s">
        <v>200</v>
      </c>
      <c r="X70" s="27">
        <v>4549.9939999999997</v>
      </c>
      <c r="Y70" s="27" t="s">
        <v>200</v>
      </c>
      <c r="Z70" s="27">
        <v>3885.2372</v>
      </c>
    </row>
    <row r="71" spans="1:26">
      <c r="A71" s="27" t="s">
        <v>233</v>
      </c>
      <c r="B71" s="27" t="s">
        <v>230</v>
      </c>
      <c r="C71" s="27" t="s">
        <v>198</v>
      </c>
      <c r="D71" s="27" t="s">
        <v>1159</v>
      </c>
      <c r="E71" s="27" t="s">
        <v>83</v>
      </c>
      <c r="F71" s="27" t="s">
        <v>200</v>
      </c>
      <c r="G71" s="27" t="s">
        <v>200</v>
      </c>
      <c r="H71" s="27">
        <v>7439.1262296134801</v>
      </c>
      <c r="I71" s="27">
        <v>7677.3479789000003</v>
      </c>
      <c r="J71" s="27">
        <v>8443.4883105383669</v>
      </c>
      <c r="K71" s="27">
        <v>6058.0236005485112</v>
      </c>
      <c r="L71" s="27">
        <v>5753.4491883878636</v>
      </c>
      <c r="M71" s="27">
        <v>5495.6653964628886</v>
      </c>
      <c r="N71" s="27">
        <v>5239.0810606512496</v>
      </c>
      <c r="O71" s="27">
        <v>5000.5949368153524</v>
      </c>
      <c r="P71" s="27">
        <v>4760.5639820772312</v>
      </c>
      <c r="Q71" s="27">
        <v>4812.0342355308594</v>
      </c>
      <c r="R71" s="27">
        <v>4863.4018791632661</v>
      </c>
      <c r="S71" s="27">
        <v>4905.6519159725558</v>
      </c>
      <c r="T71" s="27">
        <v>4946.7576419897059</v>
      </c>
      <c r="U71" s="27">
        <v>4983.2676840000604</v>
      </c>
      <c r="V71" s="27">
        <v>5019.6396616258444</v>
      </c>
      <c r="W71" s="27">
        <v>5022.7280669691281</v>
      </c>
      <c r="X71" s="27">
        <v>5025.6961680808772</v>
      </c>
      <c r="Y71" s="27">
        <v>5001.6861746405684</v>
      </c>
      <c r="Z71" s="27">
        <v>4977.5706193448104</v>
      </c>
    </row>
    <row r="72" spans="1:26">
      <c r="A72" s="27" t="s">
        <v>261</v>
      </c>
      <c r="B72" s="27" t="s">
        <v>292</v>
      </c>
      <c r="C72" s="27" t="s">
        <v>198</v>
      </c>
      <c r="D72" s="27" t="s">
        <v>1159</v>
      </c>
      <c r="E72" s="27" t="s">
        <v>83</v>
      </c>
      <c r="F72" s="27" t="s">
        <v>200</v>
      </c>
      <c r="G72" s="27">
        <v>7470.3076948394246</v>
      </c>
      <c r="H72" s="27">
        <v>7918.6453188327541</v>
      </c>
      <c r="I72" s="27">
        <v>8256.9035120141307</v>
      </c>
      <c r="J72" s="27">
        <v>8444.3975727858924</v>
      </c>
      <c r="K72" s="27">
        <v>7852.0491602038046</v>
      </c>
      <c r="L72" s="27">
        <v>7203.1747246073865</v>
      </c>
      <c r="M72" s="27">
        <v>6913.1173189568462</v>
      </c>
      <c r="N72" s="27">
        <v>6600.2442976753027</v>
      </c>
      <c r="O72" s="27">
        <v>6201.7196340735563</v>
      </c>
      <c r="P72" s="27">
        <v>5824.9486515909985</v>
      </c>
      <c r="Q72" s="27">
        <v>5690.9640516998325</v>
      </c>
      <c r="R72" s="27">
        <v>5717.896222839272</v>
      </c>
      <c r="S72" s="27">
        <v>5608.6690535639746</v>
      </c>
      <c r="T72" s="27">
        <v>5523.8218428137152</v>
      </c>
      <c r="U72" s="27">
        <v>5418.4001880954656</v>
      </c>
      <c r="V72" s="27">
        <v>5307.0566872229556</v>
      </c>
      <c r="W72" s="27">
        <v>5159.3794300385798</v>
      </c>
      <c r="X72" s="27">
        <v>5021.7937649435189</v>
      </c>
      <c r="Y72" s="27">
        <v>4862.5185371619336</v>
      </c>
      <c r="Z72" s="27">
        <v>4714.7288248389177</v>
      </c>
    </row>
    <row r="73" spans="1:26">
      <c r="A73" s="27" t="s">
        <v>261</v>
      </c>
      <c r="B73" s="27" t="s">
        <v>293</v>
      </c>
      <c r="C73" s="27" t="s">
        <v>198</v>
      </c>
      <c r="D73" s="27" t="s">
        <v>1159</v>
      </c>
      <c r="E73" s="27" t="s">
        <v>83</v>
      </c>
      <c r="F73" s="27" t="s">
        <v>200</v>
      </c>
      <c r="G73" s="27">
        <v>7470.54115931455</v>
      </c>
      <c r="H73" s="27">
        <v>7919.6706166445274</v>
      </c>
      <c r="I73" s="27">
        <v>8256.7978819399304</v>
      </c>
      <c r="J73" s="27">
        <v>8443.5676472915839</v>
      </c>
      <c r="K73" s="27">
        <v>8121.6583409415352</v>
      </c>
      <c r="L73" s="27">
        <v>7737.4861530612552</v>
      </c>
      <c r="M73" s="27">
        <v>7656.5116054917471</v>
      </c>
      <c r="N73" s="27">
        <v>7421.2272311776933</v>
      </c>
      <c r="O73" s="27">
        <v>7123.4710817671375</v>
      </c>
      <c r="P73" s="27">
        <v>6805.3268248772392</v>
      </c>
      <c r="Q73" s="27">
        <v>6611.9583675433396</v>
      </c>
      <c r="R73" s="27">
        <v>6632.284242181463</v>
      </c>
      <c r="S73" s="27">
        <v>6559.6103647662121</v>
      </c>
      <c r="T73" s="27">
        <v>6454.9175599015516</v>
      </c>
      <c r="U73" s="27">
        <v>6348.9233732337298</v>
      </c>
      <c r="V73" s="27">
        <v>6227.8306541743223</v>
      </c>
      <c r="W73" s="27">
        <v>6049.2136481883126</v>
      </c>
      <c r="X73" s="27">
        <v>5840.3991156827042</v>
      </c>
      <c r="Y73" s="27">
        <v>5630.1497350325699</v>
      </c>
      <c r="Z73" s="27">
        <v>5433.0962520642006</v>
      </c>
    </row>
    <row r="74" spans="1:26">
      <c r="A74" s="27" t="s">
        <v>196</v>
      </c>
      <c r="B74" s="27" t="s">
        <v>280</v>
      </c>
      <c r="C74" s="27" t="s">
        <v>198</v>
      </c>
      <c r="D74" s="27" t="s">
        <v>1159</v>
      </c>
      <c r="E74" s="27" t="s">
        <v>83</v>
      </c>
      <c r="F74" s="27" t="s">
        <v>200</v>
      </c>
      <c r="G74" s="27">
        <v>6653.2909</v>
      </c>
      <c r="H74" s="27">
        <v>7329.7896000000001</v>
      </c>
      <c r="I74" s="27">
        <v>8288.0249999999996</v>
      </c>
      <c r="J74" s="27">
        <v>9024.9858999999997</v>
      </c>
      <c r="K74" s="27">
        <v>8197.6630999999998</v>
      </c>
      <c r="L74" s="27">
        <v>8788.0532999999996</v>
      </c>
      <c r="M74" s="27">
        <v>9286.6640000000007</v>
      </c>
      <c r="N74" s="27">
        <v>9665.5442999999996</v>
      </c>
      <c r="O74" s="27">
        <v>10005.008599999999</v>
      </c>
      <c r="P74" s="27">
        <v>10202.371999999999</v>
      </c>
      <c r="Q74" s="27">
        <v>10361.059800000001</v>
      </c>
      <c r="R74" s="27">
        <v>10455.864799999999</v>
      </c>
      <c r="S74" s="27" t="s">
        <v>200</v>
      </c>
      <c r="T74" s="27">
        <v>10328.810600000001</v>
      </c>
      <c r="U74" s="27" t="s">
        <v>200</v>
      </c>
      <c r="V74" s="27">
        <v>9960.1987000000008</v>
      </c>
      <c r="W74" s="27" t="s">
        <v>200</v>
      </c>
      <c r="X74" s="27">
        <v>9418.6273999999994</v>
      </c>
      <c r="Y74" s="27" t="s">
        <v>200</v>
      </c>
      <c r="Z74" s="27">
        <v>9056.6517999999996</v>
      </c>
    </row>
    <row r="75" spans="1:26">
      <c r="A75" s="27" t="s">
        <v>218</v>
      </c>
      <c r="B75" s="27" t="s">
        <v>294</v>
      </c>
      <c r="C75" s="27" t="s">
        <v>198</v>
      </c>
      <c r="D75" s="27" t="s">
        <v>1159</v>
      </c>
      <c r="E75" s="27" t="s">
        <v>83</v>
      </c>
      <c r="F75" s="27" t="s">
        <v>200</v>
      </c>
      <c r="G75" s="27">
        <v>7110.7804999999998</v>
      </c>
      <c r="H75" s="27">
        <v>8050.0747000000001</v>
      </c>
      <c r="I75" s="27">
        <v>8635.6</v>
      </c>
      <c r="J75" s="27">
        <v>9386.7036000000007</v>
      </c>
      <c r="K75" s="27">
        <v>9729.8070000000007</v>
      </c>
      <c r="L75" s="27">
        <v>10204.280000000001</v>
      </c>
      <c r="M75" s="27">
        <v>10381.93</v>
      </c>
      <c r="N75" s="27">
        <v>10409.4</v>
      </c>
      <c r="O75" s="27">
        <v>10543.91</v>
      </c>
      <c r="P75" s="27">
        <v>10605.07</v>
      </c>
      <c r="Q75" s="27">
        <v>10776.36</v>
      </c>
      <c r="R75" s="27">
        <v>10813.45</v>
      </c>
      <c r="S75" s="27" t="s">
        <v>200</v>
      </c>
      <c r="T75" s="27">
        <v>10801.48</v>
      </c>
      <c r="U75" s="27" t="s">
        <v>200</v>
      </c>
      <c r="V75" s="27">
        <v>10402.66</v>
      </c>
      <c r="W75" s="27" t="s">
        <v>200</v>
      </c>
      <c r="X75" s="27">
        <v>10137.75</v>
      </c>
      <c r="Y75" s="27" t="s">
        <v>200</v>
      </c>
      <c r="Z75" s="27">
        <v>9450.2170000000006</v>
      </c>
    </row>
    <row r="76" spans="1:26">
      <c r="A76" s="27" t="s">
        <v>261</v>
      </c>
      <c r="B76" s="27" t="s">
        <v>295</v>
      </c>
      <c r="C76" s="27" t="s">
        <v>198</v>
      </c>
      <c r="D76" s="27" t="s">
        <v>1159</v>
      </c>
      <c r="E76" s="27" t="s">
        <v>83</v>
      </c>
      <c r="F76" s="27" t="s">
        <v>200</v>
      </c>
      <c r="G76" s="27">
        <v>7470.549232018624</v>
      </c>
      <c r="H76" s="27">
        <v>7919.6894373432942</v>
      </c>
      <c r="I76" s="27">
        <v>8256.7304318338047</v>
      </c>
      <c r="J76" s="27">
        <v>8559.441719530716</v>
      </c>
      <c r="K76" s="27">
        <v>8522.2232520753969</v>
      </c>
      <c r="L76" s="27">
        <v>8529.6329875230986</v>
      </c>
      <c r="M76" s="27">
        <v>8479.1530312995328</v>
      </c>
      <c r="N76" s="27">
        <v>8295.0758947320501</v>
      </c>
      <c r="O76" s="27">
        <v>8109.9902186044583</v>
      </c>
      <c r="P76" s="27">
        <v>7898.2339785014728</v>
      </c>
      <c r="Q76" s="27">
        <v>7888.7082753209615</v>
      </c>
      <c r="R76" s="27">
        <v>7892.7618177103222</v>
      </c>
      <c r="S76" s="27">
        <v>7842.0605207028111</v>
      </c>
      <c r="T76" s="27">
        <v>7791.0873802151627</v>
      </c>
      <c r="U76" s="27">
        <v>7755.0000191936597</v>
      </c>
      <c r="V76" s="27">
        <v>7713.8200375900287</v>
      </c>
      <c r="W76" s="27">
        <v>7632.3313000418648</v>
      </c>
      <c r="X76" s="27">
        <v>7475.4473700954841</v>
      </c>
      <c r="Y76" s="27">
        <v>7352.9385537078633</v>
      </c>
      <c r="Z76" s="27">
        <v>7199.2734198647977</v>
      </c>
    </row>
    <row r="77" spans="1:26">
      <c r="A77" s="27" t="s">
        <v>1152</v>
      </c>
      <c r="B77" s="27" t="s">
        <v>286</v>
      </c>
      <c r="C77" s="27" t="s">
        <v>198</v>
      </c>
      <c r="D77" s="27" t="s">
        <v>1159</v>
      </c>
      <c r="E77" s="27" t="s">
        <v>83</v>
      </c>
      <c r="F77" s="27" t="s">
        <v>200</v>
      </c>
      <c r="G77" s="27" t="s">
        <v>200</v>
      </c>
      <c r="H77" s="27">
        <v>6597.8270000000002</v>
      </c>
      <c r="I77" s="27">
        <v>6075.5240000000003</v>
      </c>
      <c r="J77" s="27">
        <v>5683.7610000000004</v>
      </c>
      <c r="K77" s="27">
        <v>5272.1220000000003</v>
      </c>
      <c r="L77" s="27">
        <v>5214.4770000000008</v>
      </c>
      <c r="M77" s="27">
        <v>5115.8930000000009</v>
      </c>
      <c r="N77" s="27">
        <v>4764.3159999999998</v>
      </c>
      <c r="O77" s="27">
        <v>4808.7645199999997</v>
      </c>
      <c r="P77" s="27">
        <v>2865.5968435999998</v>
      </c>
      <c r="Q77" s="27" t="s">
        <v>200</v>
      </c>
      <c r="R77" s="27">
        <v>2643.3834512200001</v>
      </c>
      <c r="S77" s="27" t="s">
        <v>200</v>
      </c>
      <c r="T77" s="27">
        <v>2493.0980438436009</v>
      </c>
      <c r="U77" s="27" t="s">
        <v>200</v>
      </c>
      <c r="V77" s="27">
        <v>2203.5481097306319</v>
      </c>
      <c r="W77" s="27" t="s">
        <v>200</v>
      </c>
      <c r="X77" s="27">
        <v>2073.1657164020198</v>
      </c>
      <c r="Y77" s="27" t="s">
        <v>200</v>
      </c>
      <c r="Z77" s="27">
        <v>2047.25353204455</v>
      </c>
    </row>
    <row r="78" spans="1:26">
      <c r="A78" s="27" t="s">
        <v>196</v>
      </c>
      <c r="B78" s="27" t="s">
        <v>296</v>
      </c>
      <c r="C78" s="27" t="s">
        <v>198</v>
      </c>
      <c r="D78" s="27" t="s">
        <v>1159</v>
      </c>
      <c r="E78" s="27" t="s">
        <v>83</v>
      </c>
      <c r="F78" s="27" t="s">
        <v>200</v>
      </c>
      <c r="G78" s="27">
        <v>6653.2909</v>
      </c>
      <c r="H78" s="27">
        <v>7330.5155999999997</v>
      </c>
      <c r="I78" s="27">
        <v>8288.8335000000006</v>
      </c>
      <c r="J78" s="27">
        <v>9022.2469999999994</v>
      </c>
      <c r="K78" s="27">
        <v>8362.2311000000009</v>
      </c>
      <c r="L78" s="27">
        <v>8941.3606999999993</v>
      </c>
      <c r="M78" s="27">
        <v>9477.6344000000008</v>
      </c>
      <c r="N78" s="27">
        <v>9866.5427</v>
      </c>
      <c r="O78" s="27">
        <v>10139.965099999999</v>
      </c>
      <c r="P78" s="27">
        <v>10314.429700000001</v>
      </c>
      <c r="Q78" s="27">
        <v>10452.1482</v>
      </c>
      <c r="R78" s="27">
        <v>10590.9187</v>
      </c>
      <c r="S78" s="27" t="s">
        <v>200</v>
      </c>
      <c r="T78" s="27">
        <v>10538.7379</v>
      </c>
      <c r="U78" s="27" t="s">
        <v>200</v>
      </c>
      <c r="V78" s="27">
        <v>10189.2106</v>
      </c>
      <c r="W78" s="27" t="s">
        <v>200</v>
      </c>
      <c r="X78" s="27">
        <v>9657.7885999999999</v>
      </c>
      <c r="Y78" s="27" t="s">
        <v>200</v>
      </c>
      <c r="Z78" s="27">
        <v>9315.0151000000005</v>
      </c>
    </row>
    <row r="79" spans="1:26">
      <c r="A79" s="27" t="s">
        <v>196</v>
      </c>
      <c r="B79" s="27" t="s">
        <v>297</v>
      </c>
      <c r="C79" s="27" t="s">
        <v>198</v>
      </c>
      <c r="D79" s="27" t="s">
        <v>1159</v>
      </c>
      <c r="E79" s="27" t="s">
        <v>83</v>
      </c>
      <c r="F79" s="27" t="s">
        <v>200</v>
      </c>
      <c r="G79" s="27" t="s">
        <v>200</v>
      </c>
      <c r="H79" s="27">
        <v>7353.5631000000003</v>
      </c>
      <c r="I79" s="27">
        <v>8333.1942999999992</v>
      </c>
      <c r="J79" s="27">
        <v>8501.9051999999992</v>
      </c>
      <c r="K79" s="27">
        <v>7984.2713999999996</v>
      </c>
      <c r="L79" s="27">
        <v>8462.1116999999995</v>
      </c>
      <c r="M79" s="27">
        <v>8918.9822000000004</v>
      </c>
      <c r="N79" s="27">
        <v>9387.9387000000006</v>
      </c>
      <c r="O79" s="27">
        <v>9823.4892</v>
      </c>
      <c r="P79" s="27">
        <v>10082.2186</v>
      </c>
      <c r="Q79" s="27">
        <v>10329.4737</v>
      </c>
      <c r="R79" s="27">
        <v>10397.9013</v>
      </c>
      <c r="S79" s="27" t="s">
        <v>200</v>
      </c>
      <c r="T79" s="27">
        <v>10190.2201</v>
      </c>
      <c r="U79" s="27" t="s">
        <v>200</v>
      </c>
      <c r="V79" s="27">
        <v>9745.0959999999995</v>
      </c>
      <c r="W79" s="27" t="s">
        <v>200</v>
      </c>
      <c r="X79" s="27">
        <v>9197.0609000000004</v>
      </c>
      <c r="Y79" s="27" t="s">
        <v>200</v>
      </c>
      <c r="Z79" s="27">
        <v>8829.2212</v>
      </c>
    </row>
    <row r="80" spans="1:26">
      <c r="A80" s="27" t="s">
        <v>261</v>
      </c>
      <c r="B80" s="27" t="s">
        <v>298</v>
      </c>
      <c r="C80" s="27" t="s">
        <v>198</v>
      </c>
      <c r="D80" s="27" t="s">
        <v>1159</v>
      </c>
      <c r="E80" s="27" t="s">
        <v>83</v>
      </c>
      <c r="F80" s="27" t="s">
        <v>200</v>
      </c>
      <c r="G80" s="27">
        <v>7470.5513658116879</v>
      </c>
      <c r="H80" s="27">
        <v>7919.6269660876515</v>
      </c>
      <c r="I80" s="27">
        <v>8256.7925372127229</v>
      </c>
      <c r="J80" s="27">
        <v>8443.5084981966102</v>
      </c>
      <c r="K80" s="27">
        <v>8121.8911285447184</v>
      </c>
      <c r="L80" s="27">
        <v>7737.2073754854127</v>
      </c>
      <c r="M80" s="27">
        <v>7640.3550571280739</v>
      </c>
      <c r="N80" s="27">
        <v>7399.3462825835677</v>
      </c>
      <c r="O80" s="27">
        <v>7103.4494715860974</v>
      </c>
      <c r="P80" s="27">
        <v>6787.6391291117716</v>
      </c>
      <c r="Q80" s="27">
        <v>6577.4838145445774</v>
      </c>
      <c r="R80" s="27">
        <v>6597.5247136551252</v>
      </c>
      <c r="S80" s="27">
        <v>6511.5043908959324</v>
      </c>
      <c r="T80" s="27">
        <v>6396.3788921929163</v>
      </c>
      <c r="U80" s="27">
        <v>6290.9907700765716</v>
      </c>
      <c r="V80" s="27">
        <v>6141.1549320459662</v>
      </c>
      <c r="W80" s="27">
        <v>5963.8273502799711</v>
      </c>
      <c r="X80" s="27">
        <v>5762.0608079764088</v>
      </c>
      <c r="Y80" s="27">
        <v>5551.9313880600639</v>
      </c>
      <c r="Z80" s="27">
        <v>5359.5184092428108</v>
      </c>
    </row>
    <row r="81" spans="1:26">
      <c r="A81" s="27" t="s">
        <v>261</v>
      </c>
      <c r="B81" s="27" t="s">
        <v>299</v>
      </c>
      <c r="C81" s="27" t="s">
        <v>198</v>
      </c>
      <c r="D81" s="27" t="s">
        <v>1159</v>
      </c>
      <c r="E81" s="27" t="s">
        <v>83</v>
      </c>
      <c r="F81" s="27" t="s">
        <v>200</v>
      </c>
      <c r="G81" s="27">
        <v>7470.3091349302167</v>
      </c>
      <c r="H81" s="27">
        <v>7918.6278182172127</v>
      </c>
      <c r="I81" s="27">
        <v>8256.8277140646333</v>
      </c>
      <c r="J81" s="27">
        <v>8560.396359229233</v>
      </c>
      <c r="K81" s="27">
        <v>8175.5170033501254</v>
      </c>
      <c r="L81" s="27">
        <v>8024.9225828596982</v>
      </c>
      <c r="M81" s="27">
        <v>8030.5800468578864</v>
      </c>
      <c r="N81" s="27">
        <v>7354.5345496950604</v>
      </c>
      <c r="O81" s="27">
        <v>7075.3845867163864</v>
      </c>
      <c r="P81" s="27">
        <v>6811.2437479314831</v>
      </c>
      <c r="Q81" s="27">
        <v>6602.6589256399166</v>
      </c>
      <c r="R81" s="27">
        <v>6559.6276400016905</v>
      </c>
      <c r="S81" s="27">
        <v>6520.3766073278639</v>
      </c>
      <c r="T81" s="27">
        <v>6464.6156625487401</v>
      </c>
      <c r="U81" s="27">
        <v>6441.8917133067007</v>
      </c>
      <c r="V81" s="27">
        <v>6384.7557481793519</v>
      </c>
      <c r="W81" s="27">
        <v>6327.9076285166138</v>
      </c>
      <c r="X81" s="27">
        <v>6246.8216195296527</v>
      </c>
      <c r="Y81" s="27">
        <v>6152.8295373527453</v>
      </c>
      <c r="Z81" s="27">
        <v>6075.4423715634703</v>
      </c>
    </row>
    <row r="82" spans="1:26">
      <c r="A82" s="27" t="s">
        <v>207</v>
      </c>
      <c r="B82" s="27" t="s">
        <v>267</v>
      </c>
      <c r="C82" s="27" t="s">
        <v>198</v>
      </c>
      <c r="D82" s="27" t="s">
        <v>1159</v>
      </c>
      <c r="E82" s="27" t="s">
        <v>83</v>
      </c>
      <c r="F82" s="27">
        <v>5798.3527999999988</v>
      </c>
      <c r="G82" s="27">
        <v>6179.0123999999996</v>
      </c>
      <c r="H82" s="27">
        <v>6559.6720999999998</v>
      </c>
      <c r="I82" s="27">
        <v>6877.0460999999996</v>
      </c>
      <c r="J82" s="27">
        <v>7194.4201999999996</v>
      </c>
      <c r="K82" s="27">
        <v>6637.3397000000004</v>
      </c>
      <c r="L82" s="27">
        <v>6089.191469195187</v>
      </c>
      <c r="M82" s="27">
        <v>5877.5852699444849</v>
      </c>
      <c r="N82" s="27">
        <v>5658.8917684296466</v>
      </c>
      <c r="O82" s="27">
        <v>5480.9699758049246</v>
      </c>
      <c r="P82" s="27">
        <v>5316.6290730679048</v>
      </c>
      <c r="Q82" s="27">
        <v>5280.868199716806</v>
      </c>
      <c r="R82" s="27">
        <v>5323.1993577851881</v>
      </c>
      <c r="S82" s="27" t="s">
        <v>200</v>
      </c>
      <c r="T82" s="27">
        <v>5372.1098767885142</v>
      </c>
      <c r="U82" s="27" t="s">
        <v>200</v>
      </c>
      <c r="V82" s="27">
        <v>5425.1518959284876</v>
      </c>
      <c r="W82" s="27" t="s">
        <v>200</v>
      </c>
      <c r="X82" s="27">
        <v>5383.6123347852426</v>
      </c>
      <c r="Y82" s="27" t="s">
        <v>200</v>
      </c>
      <c r="Z82" s="27">
        <v>5235.4522524448575</v>
      </c>
    </row>
    <row r="100" spans="3:30">
      <c r="C100" s="3" t="s">
        <v>69</v>
      </c>
      <c r="F100" s="27">
        <f>MEDIAN(F2:F98)</f>
        <v>5798.3527999999988</v>
      </c>
      <c r="G100" s="27">
        <f t="shared" ref="G100:Z100" si="0">MEDIAN(G2:G98)</f>
        <v>6666.0285999999996</v>
      </c>
      <c r="H100" s="27">
        <f t="shared" si="0"/>
        <v>7353.5631000000003</v>
      </c>
      <c r="I100" s="27">
        <f t="shared" si="0"/>
        <v>8288.0249999999996</v>
      </c>
      <c r="J100" s="27">
        <f t="shared" si="0"/>
        <v>8559.3582820751853</v>
      </c>
      <c r="K100" s="27">
        <f t="shared" si="0"/>
        <v>8121.8911285447184</v>
      </c>
      <c r="L100" s="27">
        <f t="shared" si="0"/>
        <v>8151.2070999999996</v>
      </c>
      <c r="M100" s="27">
        <f t="shared" si="0"/>
        <v>8134.2489999999998</v>
      </c>
      <c r="N100" s="27">
        <f t="shared" si="0"/>
        <v>7931.0470999999998</v>
      </c>
      <c r="O100" s="27">
        <f t="shared" si="0"/>
        <v>7947.7790999999997</v>
      </c>
      <c r="P100" s="27">
        <f t="shared" si="0"/>
        <v>7692.2428</v>
      </c>
      <c r="Q100" s="27">
        <f t="shared" si="0"/>
        <v>7970.7688376604801</v>
      </c>
      <c r="R100" s="27">
        <f t="shared" si="0"/>
        <v>7302.5883000000003</v>
      </c>
      <c r="S100" s="27">
        <f t="shared" si="0"/>
        <v>6515.9404991118981</v>
      </c>
      <c r="T100" s="27">
        <f t="shared" si="0"/>
        <v>7186.9793</v>
      </c>
      <c r="U100" s="27">
        <f t="shared" si="0"/>
        <v>6395.4075432702157</v>
      </c>
      <c r="V100" s="27">
        <f t="shared" si="0"/>
        <v>6920.5819999999994</v>
      </c>
      <c r="W100" s="27">
        <f t="shared" si="0"/>
        <v>6188.5606383524628</v>
      </c>
      <c r="X100" s="27">
        <f t="shared" si="0"/>
        <v>6746.8139000000001</v>
      </c>
      <c r="Y100" s="27">
        <f t="shared" si="0"/>
        <v>6022.4066686763726</v>
      </c>
      <c r="Z100" s="27">
        <f t="shared" si="0"/>
        <v>6875.2273999999998</v>
      </c>
    </row>
    <row r="101" spans="3:30">
      <c r="C101" s="3" t="s">
        <v>72</v>
      </c>
      <c r="F101" s="27">
        <f>_xlfn.PERCENTILE.INC(F2:F98,0.25)</f>
        <v>5798.3527999999988</v>
      </c>
      <c r="G101" s="27">
        <f t="shared" ref="G101:Z101" si="1">_xlfn.PERCENTILE.INC(G2:G98,0.25)</f>
        <v>6653.2909</v>
      </c>
      <c r="H101" s="27">
        <f t="shared" si="1"/>
        <v>7329.7896000000001</v>
      </c>
      <c r="I101" s="27">
        <f t="shared" si="1"/>
        <v>7677.3479789000003</v>
      </c>
      <c r="J101" s="27">
        <f t="shared" si="1"/>
        <v>8179.7610999999997</v>
      </c>
      <c r="K101" s="27">
        <f t="shared" si="1"/>
        <v>6793.1752999999999</v>
      </c>
      <c r="L101" s="27">
        <f t="shared" si="1"/>
        <v>6381.8826612903194</v>
      </c>
      <c r="M101" s="27">
        <f t="shared" si="1"/>
        <v>6161.5262000000002</v>
      </c>
      <c r="N101" s="27">
        <f t="shared" si="1"/>
        <v>5982.8847804210818</v>
      </c>
      <c r="O101" s="27">
        <f t="shared" si="1"/>
        <v>5814.0973000000004</v>
      </c>
      <c r="P101" s="27">
        <f t="shared" si="1"/>
        <v>5681.4845294889037</v>
      </c>
      <c r="Q101" s="27">
        <f t="shared" si="1"/>
        <v>5693.0711111020364</v>
      </c>
      <c r="R101" s="27">
        <f t="shared" si="1"/>
        <v>5574.5300829999996</v>
      </c>
      <c r="S101" s="27">
        <f t="shared" si="1"/>
        <v>5611.641215172981</v>
      </c>
      <c r="T101" s="27">
        <f t="shared" si="1"/>
        <v>5523.8218428137152</v>
      </c>
      <c r="U101" s="27">
        <f t="shared" si="1"/>
        <v>5490.1117338135346</v>
      </c>
      <c r="V101" s="27">
        <f t="shared" si="1"/>
        <v>5418.6973377188751</v>
      </c>
      <c r="W101" s="27">
        <f t="shared" si="1"/>
        <v>5304.9170322063546</v>
      </c>
      <c r="X101" s="27">
        <f t="shared" si="1"/>
        <v>5025.6961680808772</v>
      </c>
      <c r="Y101" s="27">
        <f t="shared" si="1"/>
        <v>5139.2474779954428</v>
      </c>
      <c r="Z101" s="27">
        <f t="shared" si="1"/>
        <v>4977.5706193448104</v>
      </c>
    </row>
    <row r="102" spans="3:30">
      <c r="C102" s="3" t="s">
        <v>73</v>
      </c>
      <c r="F102" s="27">
        <f>_xlfn.PERCENTILE.INC(F2:F98,0.75)</f>
        <v>5798.3527999999988</v>
      </c>
      <c r="G102" s="27">
        <f t="shared" ref="G102:Z102" si="2">_xlfn.PERCENTILE.INC(G2:G98,0.75)</f>
        <v>7098.9782999999998</v>
      </c>
      <c r="H102" s="27">
        <f t="shared" si="2"/>
        <v>7881.4955</v>
      </c>
      <c r="I102" s="27">
        <f t="shared" si="2"/>
        <v>8333.1861499999995</v>
      </c>
      <c r="J102" s="27">
        <f t="shared" si="2"/>
        <v>9031.9886999999999</v>
      </c>
      <c r="K102" s="27">
        <f t="shared" si="2"/>
        <v>8456.6164000000008</v>
      </c>
      <c r="L102" s="27">
        <f t="shared" si="2"/>
        <v>8802.9192000000003</v>
      </c>
      <c r="M102" s="27">
        <f t="shared" si="2"/>
        <v>9286.6640000000007</v>
      </c>
      <c r="N102" s="27">
        <f t="shared" si="2"/>
        <v>9582.2374999999993</v>
      </c>
      <c r="O102" s="27">
        <f t="shared" si="2"/>
        <v>9900.4138999999996</v>
      </c>
      <c r="P102" s="27">
        <f t="shared" si="2"/>
        <v>10084.9696</v>
      </c>
      <c r="Q102" s="27">
        <f t="shared" si="2"/>
        <v>10330.028399999999</v>
      </c>
      <c r="R102" s="27">
        <f t="shared" si="2"/>
        <v>10397.9013</v>
      </c>
      <c r="S102" s="27">
        <f t="shared" si="2"/>
        <v>7818.1532888106194</v>
      </c>
      <c r="T102" s="27">
        <f t="shared" si="2"/>
        <v>10297.806200000001</v>
      </c>
      <c r="U102" s="27">
        <f t="shared" si="2"/>
        <v>7721.8036148259807</v>
      </c>
      <c r="V102" s="27">
        <f t="shared" si="2"/>
        <v>9934.4979000000003</v>
      </c>
      <c r="W102" s="27">
        <f t="shared" si="2"/>
        <v>7677.3214750104662</v>
      </c>
      <c r="X102" s="27">
        <f t="shared" si="2"/>
        <v>9421.2715000000007</v>
      </c>
      <c r="Y102" s="27">
        <f t="shared" si="2"/>
        <v>7750.3829750000004</v>
      </c>
      <c r="Z102" s="27">
        <f t="shared" si="2"/>
        <v>9061.1556999999993</v>
      </c>
    </row>
    <row r="104" spans="3:30">
      <c r="F104" s="27">
        <f>MAX(F$2:F$98)</f>
        <v>5798.3527999999988</v>
      </c>
      <c r="G104" s="27">
        <f t="shared" ref="G104:AD104" si="3">MAX(G$2:G$98)</f>
        <v>9037.8522767535997</v>
      </c>
      <c r="H104" s="27">
        <f t="shared" si="3"/>
        <v>8779.6753024241789</v>
      </c>
      <c r="I104" s="27">
        <f t="shared" si="3"/>
        <v>8850.3310959606988</v>
      </c>
      <c r="J104" s="27">
        <f t="shared" si="3"/>
        <v>9608.2219000000005</v>
      </c>
      <c r="K104" s="27">
        <f t="shared" si="3"/>
        <v>9729.8070000000007</v>
      </c>
      <c r="L104" s="27">
        <f t="shared" si="3"/>
        <v>10204.280000000001</v>
      </c>
      <c r="M104" s="27">
        <f t="shared" si="3"/>
        <v>10381.93</v>
      </c>
      <c r="N104" s="27">
        <f t="shared" si="3"/>
        <v>10409.4</v>
      </c>
      <c r="O104" s="27">
        <f t="shared" si="3"/>
        <v>10802.0453</v>
      </c>
      <c r="P104" s="27">
        <f t="shared" si="3"/>
        <v>11222.160599999999</v>
      </c>
      <c r="Q104" s="27">
        <f t="shared" si="3"/>
        <v>11577.1533</v>
      </c>
      <c r="R104" s="27">
        <f t="shared" si="3"/>
        <v>11731.15</v>
      </c>
      <c r="S104" s="27">
        <f t="shared" si="3"/>
        <v>9860.9263082661801</v>
      </c>
      <c r="T104" s="27">
        <f t="shared" si="3"/>
        <v>11749.435600000001</v>
      </c>
      <c r="U104" s="27">
        <f t="shared" si="3"/>
        <v>9984.95033378876</v>
      </c>
      <c r="V104" s="27">
        <f t="shared" si="3"/>
        <v>11382.389499999999</v>
      </c>
      <c r="W104" s="27">
        <f t="shared" si="3"/>
        <v>10023.90199144</v>
      </c>
      <c r="X104" s="27">
        <f t="shared" si="3"/>
        <v>10847.6384</v>
      </c>
      <c r="Y104" s="27">
        <f t="shared" si="3"/>
        <v>9977.8263419422292</v>
      </c>
      <c r="Z104" s="27">
        <f t="shared" si="3"/>
        <v>10493.1407</v>
      </c>
      <c r="AA104" s="27">
        <f t="shared" si="3"/>
        <v>0</v>
      </c>
      <c r="AB104" s="27">
        <f t="shared" si="3"/>
        <v>0</v>
      </c>
      <c r="AC104" s="27">
        <f t="shared" si="3"/>
        <v>0</v>
      </c>
      <c r="AD104" s="27">
        <f t="shared" si="3"/>
        <v>0</v>
      </c>
    </row>
    <row r="105" spans="3:30">
      <c r="F105" s="27">
        <f>MEDIAN(F$2:F$98)</f>
        <v>5798.3527999999988</v>
      </c>
      <c r="G105" s="27">
        <f t="shared" ref="G105:AD105" si="4">MEDIAN(G$2:G$98)</f>
        <v>6666.0285999999996</v>
      </c>
      <c r="H105" s="27">
        <f t="shared" si="4"/>
        <v>7353.5631000000003</v>
      </c>
      <c r="I105" s="27">
        <f t="shared" si="4"/>
        <v>8288.0249999999996</v>
      </c>
      <c r="J105" s="27">
        <f t="shared" si="4"/>
        <v>8559.3582820751853</v>
      </c>
      <c r="K105" s="27">
        <f t="shared" si="4"/>
        <v>8121.8911285447184</v>
      </c>
      <c r="L105" s="27">
        <f t="shared" si="4"/>
        <v>8151.2070999999996</v>
      </c>
      <c r="M105" s="27">
        <f t="shared" si="4"/>
        <v>8134.2489999999998</v>
      </c>
      <c r="N105" s="27">
        <f t="shared" si="4"/>
        <v>7931.0470999999998</v>
      </c>
      <c r="O105" s="27">
        <f t="shared" si="4"/>
        <v>7947.7790999999997</v>
      </c>
      <c r="P105" s="27">
        <f t="shared" si="4"/>
        <v>7692.2428</v>
      </c>
      <c r="Q105" s="27">
        <f t="shared" si="4"/>
        <v>7970.7688376604801</v>
      </c>
      <c r="R105" s="27">
        <f t="shared" si="4"/>
        <v>7302.5883000000003</v>
      </c>
      <c r="S105" s="27">
        <f t="shared" si="4"/>
        <v>6515.9404991118981</v>
      </c>
      <c r="T105" s="27">
        <f t="shared" si="4"/>
        <v>7186.9793</v>
      </c>
      <c r="U105" s="27">
        <f t="shared" si="4"/>
        <v>6395.4075432702157</v>
      </c>
      <c r="V105" s="27">
        <f t="shared" si="4"/>
        <v>6920.5819999999994</v>
      </c>
      <c r="W105" s="27">
        <f t="shared" si="4"/>
        <v>6188.5606383524628</v>
      </c>
      <c r="X105" s="27">
        <f t="shared" si="4"/>
        <v>6746.8139000000001</v>
      </c>
      <c r="Y105" s="27">
        <f t="shared" si="4"/>
        <v>6022.4066686763726</v>
      </c>
      <c r="Z105" s="27">
        <f t="shared" si="4"/>
        <v>6875.2273999999998</v>
      </c>
      <c r="AA105" s="27" t="e">
        <f t="shared" si="4"/>
        <v>#NUM!</v>
      </c>
      <c r="AB105" s="27" t="e">
        <f t="shared" si="4"/>
        <v>#NUM!</v>
      </c>
      <c r="AC105" s="27" t="e">
        <f t="shared" si="4"/>
        <v>#NUM!</v>
      </c>
      <c r="AD105" s="27" t="e">
        <f t="shared" si="4"/>
        <v>#NUM!</v>
      </c>
    </row>
    <row r="106" spans="3:30">
      <c r="F106" s="27">
        <f>MIN(F$2:F$98)</f>
        <v>5769.4284667968795</v>
      </c>
      <c r="G106" s="27">
        <f t="shared" ref="G106:AD106" si="5">MIN(G$2:G$98)</f>
        <v>6086.9305000000004</v>
      </c>
      <c r="H106" s="27">
        <f t="shared" si="5"/>
        <v>6404.4371000000001</v>
      </c>
      <c r="I106" s="27">
        <f t="shared" si="5"/>
        <v>6075.5240000000003</v>
      </c>
      <c r="J106" s="27">
        <f t="shared" si="5"/>
        <v>5683.7610000000004</v>
      </c>
      <c r="K106" s="27">
        <f t="shared" si="5"/>
        <v>5272.1220000000003</v>
      </c>
      <c r="L106" s="27">
        <f t="shared" si="5"/>
        <v>4983.6324000000004</v>
      </c>
      <c r="M106" s="27">
        <f t="shared" si="5"/>
        <v>4813.2194</v>
      </c>
      <c r="N106" s="27">
        <f t="shared" si="5"/>
        <v>4708.4175999999998</v>
      </c>
      <c r="O106" s="27">
        <f t="shared" si="5"/>
        <v>3895.2464</v>
      </c>
      <c r="P106" s="27">
        <f t="shared" si="5"/>
        <v>2865.5968435999998</v>
      </c>
      <c r="Q106" s="27">
        <f t="shared" si="5"/>
        <v>3166.9670999999998</v>
      </c>
      <c r="R106" s="27">
        <f t="shared" si="5"/>
        <v>2643.3834512200001</v>
      </c>
      <c r="S106" s="27">
        <f t="shared" si="5"/>
        <v>4904.6517192952961</v>
      </c>
      <c r="T106" s="27">
        <f t="shared" si="5"/>
        <v>2493.0980438436009</v>
      </c>
      <c r="U106" s="27">
        <f t="shared" si="5"/>
        <v>4978.9041424296647</v>
      </c>
      <c r="V106" s="27">
        <f t="shared" si="5"/>
        <v>2203.5481097306319</v>
      </c>
      <c r="W106" s="27">
        <f t="shared" si="5"/>
        <v>5016.0529023599784</v>
      </c>
      <c r="X106" s="27">
        <f t="shared" si="5"/>
        <v>2073.1657164020198</v>
      </c>
      <c r="Y106" s="27">
        <f t="shared" si="5"/>
        <v>4862.5185371619336</v>
      </c>
      <c r="Z106" s="27">
        <f t="shared" si="5"/>
        <v>2047.25353204455</v>
      </c>
      <c r="AA106" s="27">
        <f t="shared" si="5"/>
        <v>0</v>
      </c>
      <c r="AB106" s="27">
        <f t="shared" si="5"/>
        <v>0</v>
      </c>
      <c r="AC106" s="27">
        <f t="shared" si="5"/>
        <v>0</v>
      </c>
      <c r="AD106" s="27">
        <f t="shared" si="5"/>
        <v>0</v>
      </c>
    </row>
  </sheetData>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83880-8C68-4495-8281-FC6FA69B1169}">
  <sheetPr codeName="Sheet39">
    <tabColor theme="7" tint="0.79998168889431442"/>
  </sheetPr>
  <dimension ref="A1:AD106"/>
  <sheetViews>
    <sheetView workbookViewId="0">
      <pane ySplit="1" topLeftCell="A92" activePane="bottomLeft" state="frozen"/>
      <selection pane="bottomLeft" activeCell="F104" sqref="F104:AD106"/>
      <selection activeCell="P95" sqref="P95"/>
    </sheetView>
  </sheetViews>
  <sheetFormatPr defaultColWidth="9.140625" defaultRowHeight="15.75"/>
  <cols>
    <col min="1" max="16384" width="9.140625" style="27"/>
  </cols>
  <sheetData>
    <row r="1" spans="1:26">
      <c r="A1" s="27" t="s">
        <v>193</v>
      </c>
      <c r="B1" s="27" t="s">
        <v>194</v>
      </c>
      <c r="C1" s="27" t="s">
        <v>195</v>
      </c>
      <c r="D1" s="27" t="s">
        <v>64</v>
      </c>
      <c r="E1" s="27" t="s">
        <v>65</v>
      </c>
      <c r="F1" s="27">
        <v>2000</v>
      </c>
      <c r="G1" s="27">
        <v>2005</v>
      </c>
      <c r="H1" s="27">
        <v>2010</v>
      </c>
      <c r="I1" s="27">
        <v>2015</v>
      </c>
      <c r="J1" s="27">
        <v>2020</v>
      </c>
      <c r="K1" s="27">
        <v>2025</v>
      </c>
      <c r="L1" s="27">
        <v>2030</v>
      </c>
      <c r="M1" s="27">
        <v>2035</v>
      </c>
      <c r="N1" s="27">
        <v>2040</v>
      </c>
      <c r="O1" s="27">
        <v>2045</v>
      </c>
      <c r="P1" s="27">
        <v>2050</v>
      </c>
      <c r="Q1" s="27">
        <v>2055</v>
      </c>
      <c r="R1" s="27">
        <v>2060</v>
      </c>
      <c r="S1" s="27">
        <v>2065</v>
      </c>
      <c r="T1" s="27">
        <v>2070</v>
      </c>
      <c r="U1" s="27">
        <v>2075</v>
      </c>
      <c r="V1" s="27">
        <v>2080</v>
      </c>
      <c r="W1" s="27">
        <v>2085</v>
      </c>
      <c r="X1" s="27">
        <v>2090</v>
      </c>
      <c r="Y1" s="27">
        <v>2095</v>
      </c>
      <c r="Z1" s="27">
        <v>2100</v>
      </c>
    </row>
    <row r="2" spans="1:26">
      <c r="A2" s="27" t="s">
        <v>196</v>
      </c>
      <c r="B2" s="27" t="s">
        <v>197</v>
      </c>
      <c r="C2" s="27" t="s">
        <v>198</v>
      </c>
      <c r="D2" s="27" t="s">
        <v>1160</v>
      </c>
      <c r="E2" s="27" t="s">
        <v>83</v>
      </c>
      <c r="F2" s="27" t="s">
        <v>200</v>
      </c>
      <c r="G2" s="27">
        <v>851.50689999999997</v>
      </c>
      <c r="H2" s="27">
        <v>903.83550000000002</v>
      </c>
      <c r="I2" s="27">
        <v>958.75549999999998</v>
      </c>
      <c r="J2" s="27">
        <v>1021.9820999999999</v>
      </c>
      <c r="K2" s="27">
        <v>858.12840000000006</v>
      </c>
      <c r="L2" s="27">
        <v>691.18529999999998</v>
      </c>
      <c r="M2" s="27">
        <v>613.6164</v>
      </c>
      <c r="N2" s="27">
        <v>565.0027</v>
      </c>
      <c r="O2" s="27">
        <v>495.72539999999998</v>
      </c>
      <c r="P2" s="27">
        <v>414.32010000000002</v>
      </c>
      <c r="Q2" s="27">
        <v>390.87200000000001</v>
      </c>
      <c r="R2" s="27">
        <v>354.84039999999999</v>
      </c>
      <c r="S2" s="27" t="s">
        <v>200</v>
      </c>
      <c r="T2" s="27">
        <v>282.08</v>
      </c>
      <c r="U2" s="27" t="s">
        <v>200</v>
      </c>
      <c r="V2" s="27">
        <v>268.28930000000003</v>
      </c>
      <c r="W2" s="27" t="s">
        <v>200</v>
      </c>
      <c r="X2" s="27">
        <v>255.47620000000001</v>
      </c>
      <c r="Y2" s="27" t="s">
        <v>200</v>
      </c>
      <c r="Z2" s="27">
        <v>231.8871</v>
      </c>
    </row>
    <row r="3" spans="1:26">
      <c r="A3" s="27" t="s">
        <v>196</v>
      </c>
      <c r="B3" s="27" t="s">
        <v>201</v>
      </c>
      <c r="C3" s="27" t="s">
        <v>198</v>
      </c>
      <c r="D3" s="27" t="s">
        <v>1160</v>
      </c>
      <c r="E3" s="27" t="s">
        <v>83</v>
      </c>
      <c r="F3" s="27" t="s">
        <v>200</v>
      </c>
      <c r="G3" s="27" t="s">
        <v>200</v>
      </c>
      <c r="H3" s="27">
        <v>917.85850000000005</v>
      </c>
      <c r="I3" s="27">
        <v>988.76750000000004</v>
      </c>
      <c r="J3" s="27">
        <v>1069.1929</v>
      </c>
      <c r="K3" s="27">
        <v>875.96720000000005</v>
      </c>
      <c r="L3" s="27">
        <v>680.90430000000003</v>
      </c>
      <c r="M3" s="27">
        <v>628.91079999999999</v>
      </c>
      <c r="N3" s="27">
        <v>596.50919999999996</v>
      </c>
      <c r="O3" s="27">
        <v>537.36789999999996</v>
      </c>
      <c r="P3" s="27">
        <v>460.82429999999999</v>
      </c>
      <c r="Q3" s="27">
        <v>439.52940000000001</v>
      </c>
      <c r="R3" s="27">
        <v>405.62630000000001</v>
      </c>
      <c r="S3" s="27" t="s">
        <v>200</v>
      </c>
      <c r="T3" s="27">
        <v>328.12849999999997</v>
      </c>
      <c r="U3" s="27" t="s">
        <v>200</v>
      </c>
      <c r="V3" s="27">
        <v>276.23289999999997</v>
      </c>
      <c r="W3" s="27" t="s">
        <v>200</v>
      </c>
      <c r="X3" s="27">
        <v>236.5821</v>
      </c>
      <c r="Y3" s="27" t="s">
        <v>200</v>
      </c>
      <c r="Z3" s="27">
        <v>208.65889999999999</v>
      </c>
    </row>
    <row r="4" spans="1:26">
      <c r="A4" s="27" t="s">
        <v>196</v>
      </c>
      <c r="B4" s="27" t="s">
        <v>202</v>
      </c>
      <c r="C4" s="27" t="s">
        <v>198</v>
      </c>
      <c r="D4" s="27" t="s">
        <v>1160</v>
      </c>
      <c r="E4" s="27" t="s">
        <v>83</v>
      </c>
      <c r="F4" s="27" t="s">
        <v>200</v>
      </c>
      <c r="G4" s="27">
        <v>851.50689999999997</v>
      </c>
      <c r="H4" s="27">
        <v>905.08759999999995</v>
      </c>
      <c r="I4" s="27">
        <v>958.03710000000001</v>
      </c>
      <c r="J4" s="27">
        <v>999.50620000000004</v>
      </c>
      <c r="K4" s="27">
        <v>836.89189999999996</v>
      </c>
      <c r="L4" s="27">
        <v>674.50130000000001</v>
      </c>
      <c r="M4" s="27">
        <v>596.51409999999998</v>
      </c>
      <c r="N4" s="27">
        <v>543.7124</v>
      </c>
      <c r="O4" s="27">
        <v>471.05770000000001</v>
      </c>
      <c r="P4" s="27">
        <v>387.64179999999999</v>
      </c>
      <c r="Q4" s="27">
        <v>365.42439999999999</v>
      </c>
      <c r="R4" s="27">
        <v>334.64479999999998</v>
      </c>
      <c r="S4" s="27" t="s">
        <v>200</v>
      </c>
      <c r="T4" s="27">
        <v>272.20760000000001</v>
      </c>
      <c r="U4" s="27" t="s">
        <v>200</v>
      </c>
      <c r="V4" s="27">
        <v>250.00229999999999</v>
      </c>
      <c r="W4" s="27" t="s">
        <v>200</v>
      </c>
      <c r="X4" s="27">
        <v>222.4692</v>
      </c>
      <c r="Y4" s="27" t="s">
        <v>200</v>
      </c>
      <c r="Z4" s="27">
        <v>199.4657</v>
      </c>
    </row>
    <row r="5" spans="1:26">
      <c r="A5" s="27" t="s">
        <v>203</v>
      </c>
      <c r="B5" s="27" t="s">
        <v>204</v>
      </c>
      <c r="C5" s="27" t="s">
        <v>198</v>
      </c>
      <c r="D5" s="27" t="s">
        <v>1160</v>
      </c>
      <c r="E5" s="27" t="s">
        <v>83</v>
      </c>
      <c r="F5" s="27" t="s">
        <v>200</v>
      </c>
      <c r="G5" s="27">
        <v>852.10799999999995</v>
      </c>
      <c r="H5" s="27">
        <v>905.80100000000004</v>
      </c>
      <c r="I5" s="27">
        <v>966.56460000000004</v>
      </c>
      <c r="J5" s="27">
        <v>1025.5314000000001</v>
      </c>
      <c r="K5" s="27">
        <v>857.54610000000002</v>
      </c>
      <c r="L5" s="27">
        <v>720.04060000000004</v>
      </c>
      <c r="M5" s="27">
        <v>681.05169999999998</v>
      </c>
      <c r="N5" s="27">
        <v>671.15830000000005</v>
      </c>
      <c r="O5" s="27">
        <v>650.42290000000003</v>
      </c>
      <c r="P5" s="27">
        <v>604.548</v>
      </c>
      <c r="Q5" s="27">
        <v>595.40499999999997</v>
      </c>
      <c r="R5" s="27">
        <v>563.36959999999999</v>
      </c>
      <c r="S5" s="27" t="s">
        <v>200</v>
      </c>
      <c r="T5" s="27">
        <v>476.33139999999997</v>
      </c>
      <c r="U5" s="27" t="s">
        <v>200</v>
      </c>
      <c r="V5" s="27">
        <v>441.85590000000002</v>
      </c>
      <c r="W5" s="27" t="s">
        <v>200</v>
      </c>
      <c r="X5" s="27">
        <v>427.6585</v>
      </c>
      <c r="Y5" s="27" t="s">
        <v>200</v>
      </c>
      <c r="Z5" s="27">
        <v>421.68349999999998</v>
      </c>
    </row>
    <row r="6" spans="1:26">
      <c r="A6" s="27" t="s">
        <v>207</v>
      </c>
      <c r="B6" s="27" t="s">
        <v>208</v>
      </c>
      <c r="C6" s="27" t="s">
        <v>198</v>
      </c>
      <c r="D6" s="27" t="s">
        <v>1160</v>
      </c>
      <c r="E6" s="27" t="s">
        <v>83</v>
      </c>
      <c r="F6" s="27">
        <v>1402.809591315339</v>
      </c>
      <c r="G6" s="27">
        <v>1507.2761685188259</v>
      </c>
      <c r="H6" s="27">
        <v>1613.32512106084</v>
      </c>
      <c r="I6" s="27">
        <v>1720.3259679169371</v>
      </c>
      <c r="J6" s="27">
        <v>1799.7264266225</v>
      </c>
      <c r="K6" s="27">
        <v>1674.736763655867</v>
      </c>
      <c r="L6" s="27">
        <v>1527.131515050522</v>
      </c>
      <c r="M6" s="27">
        <v>1356.6479878395389</v>
      </c>
      <c r="N6" s="27">
        <v>1180.2351380119831</v>
      </c>
      <c r="O6" s="27">
        <v>1019.522180027205</v>
      </c>
      <c r="P6" s="27">
        <v>890.23210405441546</v>
      </c>
      <c r="Q6" s="27">
        <v>795.95264103469299</v>
      </c>
      <c r="R6" s="27">
        <v>738.82302516517336</v>
      </c>
      <c r="S6" s="27" t="s">
        <v>200</v>
      </c>
      <c r="T6" s="27">
        <v>758.25459180178177</v>
      </c>
      <c r="U6" s="27" t="s">
        <v>200</v>
      </c>
      <c r="V6" s="27">
        <v>803.47012417930068</v>
      </c>
      <c r="W6" s="27" t="s">
        <v>200</v>
      </c>
      <c r="X6" s="27">
        <v>819.31734747482051</v>
      </c>
      <c r="Y6" s="27" t="s">
        <v>200</v>
      </c>
      <c r="Z6" s="27">
        <v>753.57634195948651</v>
      </c>
    </row>
    <row r="7" spans="1:26">
      <c r="A7" s="27" t="s">
        <v>209</v>
      </c>
      <c r="B7" s="27" t="s">
        <v>210</v>
      </c>
      <c r="C7" s="27" t="s">
        <v>198</v>
      </c>
      <c r="D7" s="27" t="s">
        <v>1160</v>
      </c>
      <c r="E7" s="27" t="s">
        <v>83</v>
      </c>
      <c r="F7" s="27" t="s">
        <v>200</v>
      </c>
      <c r="G7" s="27" t="s">
        <v>200</v>
      </c>
      <c r="H7" s="27">
        <v>1041.4529</v>
      </c>
      <c r="I7" s="27">
        <v>1089.5968</v>
      </c>
      <c r="J7" s="27">
        <v>1176.9005999999999</v>
      </c>
      <c r="K7" s="27">
        <v>980.67530000000022</v>
      </c>
      <c r="L7" s="27">
        <v>843.54410000000018</v>
      </c>
      <c r="M7" s="27">
        <v>688.39179999999988</v>
      </c>
      <c r="N7" s="27">
        <v>580.69040000000007</v>
      </c>
      <c r="O7" s="27">
        <v>600.67629999999997</v>
      </c>
      <c r="P7" s="27">
        <v>593.11090000000002</v>
      </c>
      <c r="Q7" s="27">
        <v>550.02430000000004</v>
      </c>
      <c r="R7" s="27">
        <v>467.19479999999999</v>
      </c>
      <c r="S7" s="27">
        <v>399.31029999999998</v>
      </c>
      <c r="T7" s="27">
        <v>398.4624</v>
      </c>
      <c r="U7" s="27">
        <v>396.35610000000003</v>
      </c>
      <c r="V7" s="27">
        <v>369.3365</v>
      </c>
      <c r="W7" s="27">
        <v>363.05029999999999</v>
      </c>
      <c r="X7" s="27">
        <v>360.63170000000008</v>
      </c>
      <c r="Y7" s="27">
        <v>357.46850000000001</v>
      </c>
      <c r="Z7" s="27">
        <v>352.58240000000001</v>
      </c>
    </row>
    <row r="8" spans="1:26">
      <c r="A8" s="27" t="s">
        <v>196</v>
      </c>
      <c r="B8" s="27" t="s">
        <v>213</v>
      </c>
      <c r="C8" s="27" t="s">
        <v>198</v>
      </c>
      <c r="D8" s="27" t="s">
        <v>1160</v>
      </c>
      <c r="E8" s="27" t="s">
        <v>83</v>
      </c>
      <c r="F8" s="27" t="s">
        <v>200</v>
      </c>
      <c r="G8" s="27">
        <v>851.50689999999997</v>
      </c>
      <c r="H8" s="27">
        <v>903.94970000000001</v>
      </c>
      <c r="I8" s="27">
        <v>958.87729999999999</v>
      </c>
      <c r="J8" s="27">
        <v>1021.3119</v>
      </c>
      <c r="K8" s="27">
        <v>871.68870000000004</v>
      </c>
      <c r="L8" s="27">
        <v>753.93799999999999</v>
      </c>
      <c r="M8" s="27">
        <v>643.6463</v>
      </c>
      <c r="N8" s="27">
        <v>541.99609999999996</v>
      </c>
      <c r="O8" s="27">
        <v>430.55790000000002</v>
      </c>
      <c r="P8" s="27">
        <v>308.14909999999998</v>
      </c>
      <c r="Q8" s="27">
        <v>266.0181</v>
      </c>
      <c r="R8" s="27">
        <v>229.1183</v>
      </c>
      <c r="S8" s="27" t="s">
        <v>200</v>
      </c>
      <c r="T8" s="27">
        <v>175.2724</v>
      </c>
      <c r="U8" s="27" t="s">
        <v>200</v>
      </c>
      <c r="V8" s="27">
        <v>164.34209999999999</v>
      </c>
      <c r="W8" s="27" t="s">
        <v>200</v>
      </c>
      <c r="X8" s="27">
        <v>171.82849999999999</v>
      </c>
      <c r="Y8" s="27" t="s">
        <v>200</v>
      </c>
      <c r="Z8" s="27">
        <v>175.36099999999999</v>
      </c>
    </row>
    <row r="9" spans="1:26">
      <c r="A9" s="27" t="s">
        <v>218</v>
      </c>
      <c r="B9" s="27" t="s">
        <v>219</v>
      </c>
      <c r="C9" s="27" t="s">
        <v>198</v>
      </c>
      <c r="D9" s="27" t="s">
        <v>1160</v>
      </c>
      <c r="E9" s="27" t="s">
        <v>83</v>
      </c>
      <c r="F9" s="27" t="s">
        <v>200</v>
      </c>
      <c r="G9" s="27">
        <v>829.57759999999996</v>
      </c>
      <c r="H9" s="27">
        <v>927.28679999999997</v>
      </c>
      <c r="I9" s="27">
        <v>1029.0510999999999</v>
      </c>
      <c r="J9" s="27">
        <v>1025.7628999999999</v>
      </c>
      <c r="K9" s="27">
        <v>832.16160000000002</v>
      </c>
      <c r="L9" s="27">
        <v>640.12459999999999</v>
      </c>
      <c r="M9" s="27">
        <v>527.42330000000004</v>
      </c>
      <c r="N9" s="27">
        <v>464.23509999999999</v>
      </c>
      <c r="O9" s="27">
        <v>377.42259999999999</v>
      </c>
      <c r="P9" s="27">
        <v>284.2176</v>
      </c>
      <c r="Q9" s="27">
        <v>267.00799999999998</v>
      </c>
      <c r="R9" s="27">
        <v>260.49059999999997</v>
      </c>
      <c r="S9" s="27" t="s">
        <v>200</v>
      </c>
      <c r="T9" s="27">
        <v>255.86539999999999</v>
      </c>
      <c r="U9" s="27" t="s">
        <v>200</v>
      </c>
      <c r="V9" s="27">
        <v>300.37240000000003</v>
      </c>
      <c r="W9" s="27" t="s">
        <v>200</v>
      </c>
      <c r="X9" s="27">
        <v>352.87200000000001</v>
      </c>
      <c r="Y9" s="27" t="s">
        <v>200</v>
      </c>
      <c r="Z9" s="27">
        <v>374.92329999999998</v>
      </c>
    </row>
    <row r="10" spans="1:26">
      <c r="A10" s="27" t="s">
        <v>222</v>
      </c>
      <c r="B10" s="27" t="s">
        <v>223</v>
      </c>
      <c r="C10" s="27" t="s">
        <v>198</v>
      </c>
      <c r="D10" s="27" t="s">
        <v>1160</v>
      </c>
      <c r="E10" s="27" t="s">
        <v>83</v>
      </c>
      <c r="F10" s="27" t="s">
        <v>200</v>
      </c>
      <c r="G10" s="27">
        <v>861.1404</v>
      </c>
      <c r="H10" s="27">
        <v>924.96860000000004</v>
      </c>
      <c r="I10" s="27">
        <v>995.90189999999996</v>
      </c>
      <c r="J10" s="27">
        <v>1098.2194</v>
      </c>
      <c r="K10" s="27">
        <v>874.42430000000002</v>
      </c>
      <c r="L10" s="27">
        <v>641.2663</v>
      </c>
      <c r="M10" s="27">
        <v>564.60919999999999</v>
      </c>
      <c r="N10" s="27">
        <v>508.33240000000001</v>
      </c>
      <c r="O10" s="27">
        <v>421.11619999999999</v>
      </c>
      <c r="P10" s="27">
        <v>322.65120000000002</v>
      </c>
      <c r="Q10" s="27">
        <v>289.76080000000002</v>
      </c>
      <c r="R10" s="27">
        <v>261.38529999999997</v>
      </c>
      <c r="S10" s="27" t="s">
        <v>200</v>
      </c>
      <c r="T10" s="27">
        <v>208.18369999999999</v>
      </c>
      <c r="U10" s="27" t="s">
        <v>200</v>
      </c>
      <c r="V10" s="27">
        <v>196.85659999999999</v>
      </c>
      <c r="W10" s="27" t="s">
        <v>200</v>
      </c>
      <c r="X10" s="27">
        <v>202.36680000000001</v>
      </c>
      <c r="Y10" s="27" t="s">
        <v>200</v>
      </c>
      <c r="Z10" s="27">
        <v>191.25399999999999</v>
      </c>
    </row>
    <row r="11" spans="1:26">
      <c r="A11" s="27" t="s">
        <v>196</v>
      </c>
      <c r="B11" s="27" t="s">
        <v>224</v>
      </c>
      <c r="C11" s="27" t="s">
        <v>198</v>
      </c>
      <c r="D11" s="27" t="s">
        <v>1160</v>
      </c>
      <c r="E11" s="27" t="s">
        <v>83</v>
      </c>
      <c r="F11" s="27" t="s">
        <v>200</v>
      </c>
      <c r="G11" s="27">
        <v>851.50689999999997</v>
      </c>
      <c r="H11" s="27">
        <v>903.83550000000002</v>
      </c>
      <c r="I11" s="27">
        <v>958.75549999999998</v>
      </c>
      <c r="J11" s="27">
        <v>1021.9820999999999</v>
      </c>
      <c r="K11" s="27">
        <v>866.75750000000005</v>
      </c>
      <c r="L11" s="27">
        <v>697.87019999999995</v>
      </c>
      <c r="M11" s="27">
        <v>612.03729999999996</v>
      </c>
      <c r="N11" s="27">
        <v>558.01319999999998</v>
      </c>
      <c r="O11" s="27">
        <v>486.76080000000002</v>
      </c>
      <c r="P11" s="27">
        <v>405.24669999999998</v>
      </c>
      <c r="Q11" s="27">
        <v>383.93509999999998</v>
      </c>
      <c r="R11" s="27">
        <v>350.83670000000001</v>
      </c>
      <c r="S11" s="27" t="s">
        <v>200</v>
      </c>
      <c r="T11" s="27">
        <v>283.65589999999997</v>
      </c>
      <c r="U11" s="27" t="s">
        <v>200</v>
      </c>
      <c r="V11" s="27">
        <v>272.02100000000002</v>
      </c>
      <c r="W11" s="27" t="s">
        <v>200</v>
      </c>
      <c r="X11" s="27">
        <v>266.09609999999998</v>
      </c>
      <c r="Y11" s="27" t="s">
        <v>200</v>
      </c>
      <c r="Z11" s="27">
        <v>248.9084</v>
      </c>
    </row>
    <row r="12" spans="1:26">
      <c r="A12" s="27" t="s">
        <v>207</v>
      </c>
      <c r="B12" s="27" t="s">
        <v>225</v>
      </c>
      <c r="C12" s="27" t="s">
        <v>198</v>
      </c>
      <c r="D12" s="27" t="s">
        <v>1160</v>
      </c>
      <c r="E12" s="27" t="s">
        <v>83</v>
      </c>
      <c r="F12" s="27">
        <v>1402.809591315339</v>
      </c>
      <c r="G12" s="27">
        <v>1507.2761685188259</v>
      </c>
      <c r="H12" s="27">
        <v>1613.32512106084</v>
      </c>
      <c r="I12" s="27">
        <v>1720.3259679169371</v>
      </c>
      <c r="J12" s="27">
        <v>1802.8016997532279</v>
      </c>
      <c r="K12" s="27">
        <v>1688.354944667477</v>
      </c>
      <c r="L12" s="27">
        <v>1542.260029089294</v>
      </c>
      <c r="M12" s="27">
        <v>1367.210896542256</v>
      </c>
      <c r="N12" s="27">
        <v>1185.7489439456899</v>
      </c>
      <c r="O12" s="27">
        <v>1016.56604608649</v>
      </c>
      <c r="P12" s="27">
        <v>874.33398757670909</v>
      </c>
      <c r="Q12" s="27">
        <v>772.38379928526729</v>
      </c>
      <c r="R12" s="27">
        <v>725.3073048215698</v>
      </c>
      <c r="S12" s="27" t="s">
        <v>200</v>
      </c>
      <c r="T12" s="27">
        <v>762.13825393966465</v>
      </c>
      <c r="U12" s="27" t="s">
        <v>200</v>
      </c>
      <c r="V12" s="27">
        <v>815.33820436572773</v>
      </c>
      <c r="W12" s="27" t="s">
        <v>200</v>
      </c>
      <c r="X12" s="27">
        <v>835.57314039923142</v>
      </c>
      <c r="Y12" s="27" t="s">
        <v>200</v>
      </c>
      <c r="Z12" s="27">
        <v>773.53678629154263</v>
      </c>
    </row>
    <row r="13" spans="1:26">
      <c r="A13" s="27" t="s">
        <v>226</v>
      </c>
      <c r="B13" s="27" t="s">
        <v>227</v>
      </c>
      <c r="C13" s="27" t="s">
        <v>198</v>
      </c>
      <c r="D13" s="27" t="s">
        <v>1160</v>
      </c>
      <c r="E13" s="27" t="s">
        <v>83</v>
      </c>
      <c r="F13" s="27" t="s">
        <v>200</v>
      </c>
      <c r="G13" s="27">
        <v>829.57759999999996</v>
      </c>
      <c r="H13" s="27">
        <v>896.82960000000003</v>
      </c>
      <c r="I13" s="27">
        <v>966.36990000000003</v>
      </c>
      <c r="J13" s="27">
        <v>986.95500000000004</v>
      </c>
      <c r="K13" s="27">
        <v>879.65139999999997</v>
      </c>
      <c r="L13" s="27">
        <v>825.87519999999995</v>
      </c>
      <c r="M13" s="27">
        <v>696.82809999999995</v>
      </c>
      <c r="N13" s="27">
        <v>580.95500000000004</v>
      </c>
      <c r="O13" s="27">
        <v>515.88850000000002</v>
      </c>
      <c r="P13" s="27">
        <v>451.27960000000002</v>
      </c>
      <c r="Q13" s="27">
        <v>445.54610000000002</v>
      </c>
      <c r="R13" s="27">
        <v>434.1696</v>
      </c>
      <c r="S13" s="27" t="s">
        <v>200</v>
      </c>
      <c r="T13" s="27">
        <v>425.57900000000001</v>
      </c>
      <c r="U13" s="27" t="s">
        <v>200</v>
      </c>
      <c r="V13" s="27">
        <v>456.8603</v>
      </c>
      <c r="W13" s="27" t="s">
        <v>200</v>
      </c>
      <c r="X13" s="27">
        <v>461.84460000000001</v>
      </c>
      <c r="Y13" s="27" t="s">
        <v>200</v>
      </c>
      <c r="Z13" s="27">
        <v>475.79</v>
      </c>
    </row>
    <row r="14" spans="1:26">
      <c r="A14" s="27" t="s">
        <v>226</v>
      </c>
      <c r="B14" s="27" t="s">
        <v>228</v>
      </c>
      <c r="C14" s="27" t="s">
        <v>198</v>
      </c>
      <c r="D14" s="27" t="s">
        <v>1160</v>
      </c>
      <c r="E14" s="27" t="s">
        <v>83</v>
      </c>
      <c r="F14" s="27" t="s">
        <v>200</v>
      </c>
      <c r="G14" s="27">
        <v>829.57759999999996</v>
      </c>
      <c r="H14" s="27">
        <v>896.82960000000003</v>
      </c>
      <c r="I14" s="27">
        <v>966.36990000000003</v>
      </c>
      <c r="J14" s="27">
        <v>986.95500000000004</v>
      </c>
      <c r="K14" s="27">
        <v>878.49680000000001</v>
      </c>
      <c r="L14" s="27">
        <v>823.9212</v>
      </c>
      <c r="M14" s="27">
        <v>703.08529999999996</v>
      </c>
      <c r="N14" s="27">
        <v>609.35979999999995</v>
      </c>
      <c r="O14" s="27">
        <v>576.63940000000002</v>
      </c>
      <c r="P14" s="27">
        <v>549.55179999999996</v>
      </c>
      <c r="Q14" s="27">
        <v>578.06140000000005</v>
      </c>
      <c r="R14" s="27">
        <v>593.78610000000003</v>
      </c>
      <c r="S14" s="27" t="s">
        <v>200</v>
      </c>
      <c r="T14" s="27">
        <v>606.19500000000005</v>
      </c>
      <c r="U14" s="27" t="s">
        <v>200</v>
      </c>
      <c r="V14" s="27">
        <v>630.76220000000001</v>
      </c>
      <c r="W14" s="27" t="s">
        <v>200</v>
      </c>
      <c r="X14" s="27">
        <v>664.74480000000005</v>
      </c>
      <c r="Y14" s="27" t="s">
        <v>200</v>
      </c>
      <c r="Z14" s="27">
        <v>741.16819999999996</v>
      </c>
    </row>
    <row r="15" spans="1:26">
      <c r="A15" s="27" t="s">
        <v>207</v>
      </c>
      <c r="B15" s="27" t="s">
        <v>229</v>
      </c>
      <c r="C15" s="27" t="s">
        <v>198</v>
      </c>
      <c r="D15" s="27" t="s">
        <v>1160</v>
      </c>
      <c r="E15" s="27" t="s">
        <v>83</v>
      </c>
      <c r="F15" s="27">
        <v>1402.809591315339</v>
      </c>
      <c r="G15" s="27">
        <v>1507.2761685188259</v>
      </c>
      <c r="H15" s="27">
        <v>1613.32512106084</v>
      </c>
      <c r="I15" s="27">
        <v>1720.3259679169371</v>
      </c>
      <c r="J15" s="27">
        <v>1799.9084146912769</v>
      </c>
      <c r="K15" s="27">
        <v>1681.39773360506</v>
      </c>
      <c r="L15" s="27">
        <v>1538.5405841212089</v>
      </c>
      <c r="M15" s="27">
        <v>1366.9967811240799</v>
      </c>
      <c r="N15" s="27">
        <v>1180.7949477005491</v>
      </c>
      <c r="O15" s="27">
        <v>1007.357217143481</v>
      </c>
      <c r="P15" s="27">
        <v>864.63809615873924</v>
      </c>
      <c r="Q15" s="27">
        <v>756.40830746993436</v>
      </c>
      <c r="R15" s="27">
        <v>703.81480399908423</v>
      </c>
      <c r="S15" s="27" t="s">
        <v>200</v>
      </c>
      <c r="T15" s="27">
        <v>766.13316028173233</v>
      </c>
      <c r="U15" s="27" t="s">
        <v>200</v>
      </c>
      <c r="V15" s="27">
        <v>823.43351865081468</v>
      </c>
      <c r="W15" s="27" t="s">
        <v>200</v>
      </c>
      <c r="X15" s="27">
        <v>844.79393139804108</v>
      </c>
      <c r="Y15" s="27" t="s">
        <v>200</v>
      </c>
      <c r="Z15" s="27">
        <v>793.9537262086526</v>
      </c>
    </row>
    <row r="16" spans="1:26">
      <c r="A16" s="27" t="s">
        <v>207</v>
      </c>
      <c r="B16" s="27" t="s">
        <v>230</v>
      </c>
      <c r="C16" s="27" t="s">
        <v>198</v>
      </c>
      <c r="D16" s="27" t="s">
        <v>1160</v>
      </c>
      <c r="E16" s="27" t="s">
        <v>83</v>
      </c>
      <c r="F16" s="27">
        <v>1402.809591315339</v>
      </c>
      <c r="G16" s="27">
        <v>1507.2761685188259</v>
      </c>
      <c r="H16" s="27">
        <v>1613.32512106084</v>
      </c>
      <c r="I16" s="27">
        <v>1720.3259679169371</v>
      </c>
      <c r="J16" s="27">
        <v>1798.1222036849799</v>
      </c>
      <c r="K16" s="27">
        <v>1576.395480754617</v>
      </c>
      <c r="L16" s="27">
        <v>1360.3444040002621</v>
      </c>
      <c r="M16" s="27">
        <v>1145.4788428943871</v>
      </c>
      <c r="N16" s="27">
        <v>974.61516870669084</v>
      </c>
      <c r="O16" s="27">
        <v>825.94671061556778</v>
      </c>
      <c r="P16" s="27">
        <v>729.68431364086848</v>
      </c>
      <c r="Q16" s="27">
        <v>742.07496705379924</v>
      </c>
      <c r="R16" s="27">
        <v>787.19958972675158</v>
      </c>
      <c r="S16" s="27" t="s">
        <v>200</v>
      </c>
      <c r="T16" s="27">
        <v>821.2751548201262</v>
      </c>
      <c r="U16" s="27" t="s">
        <v>200</v>
      </c>
      <c r="V16" s="27">
        <v>855.49683209273894</v>
      </c>
      <c r="W16" s="27" t="s">
        <v>200</v>
      </c>
      <c r="X16" s="27">
        <v>866.25996556929738</v>
      </c>
      <c r="Y16" s="27" t="s">
        <v>200</v>
      </c>
      <c r="Z16" s="27">
        <v>841.56098628006441</v>
      </c>
    </row>
    <row r="17" spans="1:26">
      <c r="A17" s="27" t="s">
        <v>231</v>
      </c>
      <c r="B17" s="27" t="s">
        <v>232</v>
      </c>
      <c r="C17" s="27" t="s">
        <v>198</v>
      </c>
      <c r="D17" s="27" t="s">
        <v>1160</v>
      </c>
      <c r="E17" s="27" t="s">
        <v>83</v>
      </c>
      <c r="F17" s="27" t="s">
        <v>200</v>
      </c>
      <c r="G17" s="27">
        <v>2526.1886513466002</v>
      </c>
      <c r="H17" s="27">
        <v>2544.9603604117201</v>
      </c>
      <c r="I17" s="27">
        <v>2764.1081031635699</v>
      </c>
      <c r="J17" s="27">
        <v>2830.6345433901802</v>
      </c>
      <c r="K17" s="27">
        <v>2182.67452244695</v>
      </c>
      <c r="L17" s="27">
        <v>1931.79537799012</v>
      </c>
      <c r="M17" s="27">
        <v>1807.4549702851</v>
      </c>
      <c r="N17" s="27">
        <v>1723.3573063495101</v>
      </c>
      <c r="O17" s="27">
        <v>1712.7099699207399</v>
      </c>
      <c r="P17" s="27">
        <v>1701.2306975840399</v>
      </c>
      <c r="Q17" s="27">
        <v>1668.8035791545899</v>
      </c>
      <c r="R17" s="27">
        <v>1636.24068942758</v>
      </c>
      <c r="S17" s="27">
        <v>1602.7533706930301</v>
      </c>
      <c r="T17" s="27">
        <v>1569.48248974584</v>
      </c>
      <c r="U17" s="27">
        <v>1538.7868783532699</v>
      </c>
      <c r="V17" s="27">
        <v>1506.3358483269601</v>
      </c>
      <c r="W17" s="27">
        <v>1471.30594422033</v>
      </c>
      <c r="X17" s="27">
        <v>1433.9994142596099</v>
      </c>
      <c r="Y17" s="27">
        <v>1396.2237661459501</v>
      </c>
      <c r="Z17" s="27">
        <v>1365.22738865565</v>
      </c>
    </row>
    <row r="18" spans="1:26">
      <c r="A18" s="27" t="s">
        <v>233</v>
      </c>
      <c r="B18" s="27" t="s">
        <v>224</v>
      </c>
      <c r="C18" s="27" t="s">
        <v>198</v>
      </c>
      <c r="D18" s="27" t="s">
        <v>1160</v>
      </c>
      <c r="E18" s="27" t="s">
        <v>83</v>
      </c>
      <c r="F18" s="27" t="s">
        <v>200</v>
      </c>
      <c r="G18" s="27" t="s">
        <v>200</v>
      </c>
      <c r="H18" s="27">
        <v>1393.07001445846</v>
      </c>
      <c r="I18" s="27">
        <v>1465.1365374625</v>
      </c>
      <c r="J18" s="27">
        <v>1402.2680925980301</v>
      </c>
      <c r="K18" s="27">
        <v>661.33479939884057</v>
      </c>
      <c r="L18" s="27">
        <v>501.72025881487139</v>
      </c>
      <c r="M18" s="27">
        <v>366.92965170010109</v>
      </c>
      <c r="N18" s="27">
        <v>290.03541868889948</v>
      </c>
      <c r="O18" s="27">
        <v>243.43988305655051</v>
      </c>
      <c r="P18" s="27">
        <v>207.5758155459624</v>
      </c>
      <c r="Q18" s="27">
        <v>187.07739502702239</v>
      </c>
      <c r="R18" s="27">
        <v>170.20242188539879</v>
      </c>
      <c r="S18" s="27">
        <v>150.3326003709299</v>
      </c>
      <c r="T18" s="27">
        <v>131.45085984150131</v>
      </c>
      <c r="U18" s="27">
        <v>114.24820327509021</v>
      </c>
      <c r="V18" s="27">
        <v>100.29647903622561</v>
      </c>
      <c r="W18" s="27">
        <v>93.170118818461916</v>
      </c>
      <c r="X18" s="27">
        <v>90.99048764643284</v>
      </c>
      <c r="Y18" s="27">
        <v>89.179771349658765</v>
      </c>
      <c r="Z18" s="27">
        <v>87.310262850336741</v>
      </c>
    </row>
    <row r="19" spans="1:26">
      <c r="A19" s="27" t="s">
        <v>226</v>
      </c>
      <c r="B19" s="27" t="s">
        <v>234</v>
      </c>
      <c r="C19" s="27" t="s">
        <v>198</v>
      </c>
      <c r="D19" s="27" t="s">
        <v>1160</v>
      </c>
      <c r="E19" s="27" t="s">
        <v>83</v>
      </c>
      <c r="F19" s="27" t="s">
        <v>200</v>
      </c>
      <c r="G19" s="27">
        <v>829.57759999999996</v>
      </c>
      <c r="H19" s="27">
        <v>896.82960000000003</v>
      </c>
      <c r="I19" s="27">
        <v>966.36990000000003</v>
      </c>
      <c r="J19" s="27">
        <v>986.95500000000004</v>
      </c>
      <c r="K19" s="27">
        <v>820.36500000000001</v>
      </c>
      <c r="L19" s="27">
        <v>716.54229999999995</v>
      </c>
      <c r="M19" s="27">
        <v>756.68129999999996</v>
      </c>
      <c r="N19" s="27">
        <v>796.077</v>
      </c>
      <c r="O19" s="27">
        <v>725.66060000000004</v>
      </c>
      <c r="P19" s="27">
        <v>636.93340000000001</v>
      </c>
      <c r="Q19" s="27">
        <v>614.20249999999999</v>
      </c>
      <c r="R19" s="27">
        <v>589.46100000000001</v>
      </c>
      <c r="S19" s="27" t="s">
        <v>200</v>
      </c>
      <c r="T19" s="27">
        <v>544.62310000000002</v>
      </c>
      <c r="U19" s="27" t="s">
        <v>200</v>
      </c>
      <c r="V19" s="27">
        <v>530.39880000000005</v>
      </c>
      <c r="W19" s="27" t="s">
        <v>200</v>
      </c>
      <c r="X19" s="27">
        <v>556.95569999999998</v>
      </c>
      <c r="Y19" s="27" t="s">
        <v>200</v>
      </c>
      <c r="Z19" s="27">
        <v>524.66319999999996</v>
      </c>
    </row>
    <row r="20" spans="1:26">
      <c r="A20" s="27" t="s">
        <v>196</v>
      </c>
      <c r="B20" s="27" t="s">
        <v>236</v>
      </c>
      <c r="C20" s="27" t="s">
        <v>198</v>
      </c>
      <c r="D20" s="27" t="s">
        <v>1160</v>
      </c>
      <c r="E20" s="27" t="s">
        <v>83</v>
      </c>
      <c r="F20" s="27" t="s">
        <v>200</v>
      </c>
      <c r="G20" s="27" t="s">
        <v>200</v>
      </c>
      <c r="H20" s="27">
        <v>917.85889999999995</v>
      </c>
      <c r="I20" s="27">
        <v>988.51610000000005</v>
      </c>
      <c r="J20" s="27">
        <v>1068.6754000000001</v>
      </c>
      <c r="K20" s="27">
        <v>813.25189999999998</v>
      </c>
      <c r="L20" s="27">
        <v>644.76400000000001</v>
      </c>
      <c r="M20" s="27">
        <v>616.32579999999996</v>
      </c>
      <c r="N20" s="27">
        <v>593.14430000000004</v>
      </c>
      <c r="O20" s="27">
        <v>536.35760000000005</v>
      </c>
      <c r="P20" s="27">
        <v>462.15469999999999</v>
      </c>
      <c r="Q20" s="27">
        <v>440.98349999999999</v>
      </c>
      <c r="R20" s="27">
        <v>408.40469999999999</v>
      </c>
      <c r="S20" s="27" t="s">
        <v>200</v>
      </c>
      <c r="T20" s="27">
        <v>337.92739999999998</v>
      </c>
      <c r="U20" s="27" t="s">
        <v>200</v>
      </c>
      <c r="V20" s="27">
        <v>302.04329999999999</v>
      </c>
      <c r="W20" s="27" t="s">
        <v>200</v>
      </c>
      <c r="X20" s="27">
        <v>276.09300000000002</v>
      </c>
      <c r="Y20" s="27" t="s">
        <v>200</v>
      </c>
      <c r="Z20" s="27">
        <v>252.7731</v>
      </c>
    </row>
    <row r="21" spans="1:26">
      <c r="A21" s="27" t="s">
        <v>231</v>
      </c>
      <c r="B21" s="27" t="s">
        <v>237</v>
      </c>
      <c r="C21" s="27" t="s">
        <v>198</v>
      </c>
      <c r="D21" s="27" t="s">
        <v>1160</v>
      </c>
      <c r="E21" s="27" t="s">
        <v>83</v>
      </c>
      <c r="F21" s="27" t="s">
        <v>200</v>
      </c>
      <c r="G21" s="27">
        <v>2526.1886513466002</v>
      </c>
      <c r="H21" s="27">
        <v>2544.9603604117201</v>
      </c>
      <c r="I21" s="27">
        <v>2764.1081031635699</v>
      </c>
      <c r="J21" s="27">
        <v>2830.6345433901802</v>
      </c>
      <c r="K21" s="27">
        <v>2337.6820144308699</v>
      </c>
      <c r="L21" s="27">
        <v>2114.6289396542902</v>
      </c>
      <c r="M21" s="27">
        <v>1931.16656113315</v>
      </c>
      <c r="N21" s="27">
        <v>1829.4540022741401</v>
      </c>
      <c r="O21" s="27">
        <v>1735.07058834382</v>
      </c>
      <c r="P21" s="27">
        <v>1707.6729787690599</v>
      </c>
      <c r="Q21" s="27">
        <v>1674.1058466530101</v>
      </c>
      <c r="R21" s="27">
        <v>1642.00071024562</v>
      </c>
      <c r="S21" s="27">
        <v>1608.6861541108201</v>
      </c>
      <c r="T21" s="27">
        <v>1573.13662658626</v>
      </c>
      <c r="U21" s="27">
        <v>1540.3919988238599</v>
      </c>
      <c r="V21" s="27">
        <v>1505.54352961328</v>
      </c>
      <c r="W21" s="27">
        <v>1467.2451923086701</v>
      </c>
      <c r="X21" s="27">
        <v>1426.7619905183301</v>
      </c>
      <c r="Y21" s="27">
        <v>1386.26061605316</v>
      </c>
      <c r="Z21" s="27">
        <v>1355.1553232343399</v>
      </c>
    </row>
    <row r="22" spans="1:26">
      <c r="A22" s="27" t="s">
        <v>233</v>
      </c>
      <c r="B22" s="27" t="s">
        <v>238</v>
      </c>
      <c r="C22" s="27" t="s">
        <v>198</v>
      </c>
      <c r="D22" s="27" t="s">
        <v>1160</v>
      </c>
      <c r="E22" s="27" t="s">
        <v>83</v>
      </c>
      <c r="F22" s="27" t="s">
        <v>200</v>
      </c>
      <c r="G22" s="27" t="s">
        <v>200</v>
      </c>
      <c r="H22" s="27">
        <v>1393.07001445846</v>
      </c>
      <c r="I22" s="27">
        <v>1465.1365374625</v>
      </c>
      <c r="J22" s="27">
        <v>1402.2680925980301</v>
      </c>
      <c r="K22" s="27">
        <v>672.591848604804</v>
      </c>
      <c r="L22" s="27">
        <v>509.56590144245291</v>
      </c>
      <c r="M22" s="27">
        <v>378.68460121797631</v>
      </c>
      <c r="N22" s="27">
        <v>301.41696322336719</v>
      </c>
      <c r="O22" s="27">
        <v>254.51743153144031</v>
      </c>
      <c r="P22" s="27">
        <v>214.4151140512769</v>
      </c>
      <c r="Q22" s="27">
        <v>194.67258770810639</v>
      </c>
      <c r="R22" s="27">
        <v>175.26366732138399</v>
      </c>
      <c r="S22" s="27">
        <v>156.94930540495281</v>
      </c>
      <c r="T22" s="27">
        <v>137.635586839463</v>
      </c>
      <c r="U22" s="27">
        <v>120.49857789811431</v>
      </c>
      <c r="V22" s="27">
        <v>106.4488472420817</v>
      </c>
      <c r="W22" s="27">
        <v>98.160723648807021</v>
      </c>
      <c r="X22" s="27">
        <v>93.988303298954193</v>
      </c>
      <c r="Y22" s="27">
        <v>92.110212596416318</v>
      </c>
      <c r="Z22" s="27">
        <v>85.413838422543193</v>
      </c>
    </row>
    <row r="23" spans="1:26">
      <c r="A23" s="27" t="s">
        <v>207</v>
      </c>
      <c r="B23" s="27" t="s">
        <v>241</v>
      </c>
      <c r="C23" s="27" t="s">
        <v>198</v>
      </c>
      <c r="D23" s="27" t="s">
        <v>1160</v>
      </c>
      <c r="E23" s="27" t="s">
        <v>83</v>
      </c>
      <c r="F23" s="27">
        <v>1402.809591315339</v>
      </c>
      <c r="G23" s="27">
        <v>1507.2761685188259</v>
      </c>
      <c r="H23" s="27">
        <v>1613.32512106084</v>
      </c>
      <c r="I23" s="27">
        <v>1720.3259679169371</v>
      </c>
      <c r="J23" s="27">
        <v>1798.2574132614261</v>
      </c>
      <c r="K23" s="27">
        <v>1682.790253429305</v>
      </c>
      <c r="L23" s="27">
        <v>1538.502840977482</v>
      </c>
      <c r="M23" s="27">
        <v>1366.7709577532789</v>
      </c>
      <c r="N23" s="27">
        <v>1179.559026267862</v>
      </c>
      <c r="O23" s="27">
        <v>996.058630471058</v>
      </c>
      <c r="P23" s="27">
        <v>855.66374348913246</v>
      </c>
      <c r="Q23" s="27">
        <v>744.94284207438227</v>
      </c>
      <c r="R23" s="27">
        <v>694.95765414519531</v>
      </c>
      <c r="S23" s="27" t="s">
        <v>200</v>
      </c>
      <c r="T23" s="27">
        <v>781.54794659649644</v>
      </c>
      <c r="U23" s="27" t="s">
        <v>200</v>
      </c>
      <c r="V23" s="27">
        <v>843.58411082831537</v>
      </c>
      <c r="W23" s="27" t="s">
        <v>200</v>
      </c>
      <c r="X23" s="27">
        <v>876.99527748860896</v>
      </c>
      <c r="Y23" s="27" t="s">
        <v>200</v>
      </c>
      <c r="Z23" s="27">
        <v>862.48489920580391</v>
      </c>
    </row>
    <row r="24" spans="1:26">
      <c r="A24" s="27" t="s">
        <v>246</v>
      </c>
      <c r="B24" s="27" t="s">
        <v>243</v>
      </c>
      <c r="C24" s="27" t="s">
        <v>198</v>
      </c>
      <c r="D24" s="27" t="s">
        <v>1160</v>
      </c>
      <c r="E24" s="27" t="s">
        <v>83</v>
      </c>
      <c r="F24" s="27" t="s">
        <v>200</v>
      </c>
      <c r="G24" s="27">
        <v>977.22460000000001</v>
      </c>
      <c r="H24" s="27">
        <v>1009.3995</v>
      </c>
      <c r="I24" s="27">
        <v>1055.7164</v>
      </c>
      <c r="J24" s="27">
        <v>1107.3284000000001</v>
      </c>
      <c r="K24" s="27">
        <v>925.41139999999996</v>
      </c>
      <c r="L24" s="27">
        <v>757.91269999999997</v>
      </c>
      <c r="M24" s="27">
        <v>641.01440000000002</v>
      </c>
      <c r="N24" s="27">
        <v>586.37599999999998</v>
      </c>
      <c r="O24" s="27">
        <v>508.58420000000001</v>
      </c>
      <c r="P24" s="27">
        <v>390.7106</v>
      </c>
      <c r="Q24" s="27">
        <v>347.1173</v>
      </c>
      <c r="R24" s="27">
        <v>341.94819999999999</v>
      </c>
      <c r="S24" s="27">
        <v>347.96559999999999</v>
      </c>
      <c r="T24" s="27">
        <v>357.10059999999999</v>
      </c>
      <c r="U24" s="27">
        <v>356.20089999999999</v>
      </c>
      <c r="V24" s="27">
        <v>330.24250000000001</v>
      </c>
      <c r="W24" s="27">
        <v>317.89159999999998</v>
      </c>
      <c r="X24" s="27">
        <v>320.12939999999998</v>
      </c>
      <c r="Y24" s="27">
        <v>320.49329999999998</v>
      </c>
      <c r="Z24" s="27">
        <v>283.29289999999997</v>
      </c>
    </row>
    <row r="25" spans="1:26">
      <c r="A25" s="27" t="s">
        <v>203</v>
      </c>
      <c r="B25" s="27" t="s">
        <v>249</v>
      </c>
      <c r="C25" s="27" t="s">
        <v>198</v>
      </c>
      <c r="D25" s="27" t="s">
        <v>1160</v>
      </c>
      <c r="E25" s="27" t="s">
        <v>83</v>
      </c>
      <c r="F25" s="27" t="s">
        <v>200</v>
      </c>
      <c r="G25" s="27">
        <v>852.10799999999995</v>
      </c>
      <c r="H25" s="27">
        <v>905.80100000000004</v>
      </c>
      <c r="I25" s="27">
        <v>966.56460000000004</v>
      </c>
      <c r="J25" s="27">
        <v>1025.5314000000001</v>
      </c>
      <c r="K25" s="27">
        <v>860.00509999999997</v>
      </c>
      <c r="L25" s="27">
        <v>722.54880000000003</v>
      </c>
      <c r="M25" s="27">
        <v>695.63710000000003</v>
      </c>
      <c r="N25" s="27">
        <v>717.59299999999996</v>
      </c>
      <c r="O25" s="27">
        <v>734.44370000000004</v>
      </c>
      <c r="P25" s="27">
        <v>703.97479999999996</v>
      </c>
      <c r="Q25" s="27">
        <v>683.29309999999998</v>
      </c>
      <c r="R25" s="27">
        <v>634.67499999999995</v>
      </c>
      <c r="S25" s="27" t="s">
        <v>200</v>
      </c>
      <c r="T25" s="27">
        <v>523.68150000000003</v>
      </c>
      <c r="U25" s="27" t="s">
        <v>200</v>
      </c>
      <c r="V25" s="27">
        <v>413.79829999999998</v>
      </c>
      <c r="W25" s="27" t="s">
        <v>200</v>
      </c>
      <c r="X25" s="27">
        <v>428.00080000000003</v>
      </c>
      <c r="Y25" s="27" t="s">
        <v>200</v>
      </c>
      <c r="Z25" s="27">
        <v>354.73020000000002</v>
      </c>
    </row>
    <row r="26" spans="1:26">
      <c r="A26" s="27" t="s">
        <v>196</v>
      </c>
      <c r="B26" s="27" t="s">
        <v>250</v>
      </c>
      <c r="C26" s="27" t="s">
        <v>198</v>
      </c>
      <c r="D26" s="27" t="s">
        <v>1160</v>
      </c>
      <c r="E26" s="27" t="s">
        <v>83</v>
      </c>
      <c r="F26" s="27" t="s">
        <v>200</v>
      </c>
      <c r="G26" s="27">
        <v>852.10799999999995</v>
      </c>
      <c r="H26" s="27">
        <v>904.61080000000004</v>
      </c>
      <c r="I26" s="27">
        <v>965.20569999999998</v>
      </c>
      <c r="J26" s="27">
        <v>1023.3419</v>
      </c>
      <c r="K26" s="27">
        <v>883.04259999999999</v>
      </c>
      <c r="L26" s="27">
        <v>755.41330000000005</v>
      </c>
      <c r="M26" s="27">
        <v>681.56399999999996</v>
      </c>
      <c r="N26" s="27">
        <v>627.99929999999995</v>
      </c>
      <c r="O26" s="27">
        <v>577.63319999999999</v>
      </c>
      <c r="P26" s="27">
        <v>505.53089999999997</v>
      </c>
      <c r="Q26" s="27">
        <v>480.85320000000002</v>
      </c>
      <c r="R26" s="27">
        <v>444.59750000000003</v>
      </c>
      <c r="S26" s="27" t="s">
        <v>200</v>
      </c>
      <c r="T26" s="27">
        <v>362.80520000000001</v>
      </c>
      <c r="U26" s="27" t="s">
        <v>200</v>
      </c>
      <c r="V26" s="27">
        <v>314.63490000000002</v>
      </c>
      <c r="W26" s="27" t="s">
        <v>200</v>
      </c>
      <c r="X26" s="27">
        <v>279.11239999999998</v>
      </c>
      <c r="Y26" s="27" t="s">
        <v>200</v>
      </c>
      <c r="Z26" s="27">
        <v>263.93180000000001</v>
      </c>
    </row>
    <row r="27" spans="1:26">
      <c r="A27" s="27" t="s">
        <v>203</v>
      </c>
      <c r="B27" s="27" t="s">
        <v>251</v>
      </c>
      <c r="C27" s="27" t="s">
        <v>198</v>
      </c>
      <c r="D27" s="27" t="s">
        <v>1160</v>
      </c>
      <c r="E27" s="27" t="s">
        <v>83</v>
      </c>
      <c r="F27" s="27" t="s">
        <v>200</v>
      </c>
      <c r="G27" s="27">
        <v>852.10799999999995</v>
      </c>
      <c r="H27" s="27">
        <v>905.80100000000004</v>
      </c>
      <c r="I27" s="27">
        <v>966.56460000000004</v>
      </c>
      <c r="J27" s="27">
        <v>1025.5314000000001</v>
      </c>
      <c r="K27" s="27">
        <v>854.56259999999997</v>
      </c>
      <c r="L27" s="27">
        <v>714.20209999999997</v>
      </c>
      <c r="M27" s="27">
        <v>672.97900000000004</v>
      </c>
      <c r="N27" s="27">
        <v>669.78729999999996</v>
      </c>
      <c r="O27" s="27">
        <v>661.98720000000003</v>
      </c>
      <c r="P27" s="27">
        <v>637.32140000000004</v>
      </c>
      <c r="Q27" s="27">
        <v>652.65809999999999</v>
      </c>
      <c r="R27" s="27">
        <v>636.68690000000004</v>
      </c>
      <c r="S27" s="27" t="s">
        <v>200</v>
      </c>
      <c r="T27" s="27">
        <v>553.92449999999997</v>
      </c>
      <c r="U27" s="27" t="s">
        <v>200</v>
      </c>
      <c r="V27" s="27">
        <v>483.60390000000001</v>
      </c>
      <c r="W27" s="27" t="s">
        <v>200</v>
      </c>
      <c r="X27" s="27">
        <v>406.11149999999998</v>
      </c>
      <c r="Y27" s="27" t="s">
        <v>200</v>
      </c>
      <c r="Z27" s="27">
        <v>345.4735</v>
      </c>
    </row>
    <row r="28" spans="1:26">
      <c r="A28" s="27" t="s">
        <v>257</v>
      </c>
      <c r="B28" s="27" t="s">
        <v>197</v>
      </c>
      <c r="C28" s="27" t="s">
        <v>198</v>
      </c>
      <c r="D28" s="27" t="s">
        <v>1160</v>
      </c>
      <c r="E28" s="27" t="s">
        <v>83</v>
      </c>
      <c r="F28" s="27" t="s">
        <v>200</v>
      </c>
      <c r="G28" s="27" t="s">
        <v>200</v>
      </c>
      <c r="H28" s="27">
        <v>989.26610000000005</v>
      </c>
      <c r="I28" s="27">
        <v>1021.2063000000001</v>
      </c>
      <c r="J28" s="27">
        <v>1074.7997</v>
      </c>
      <c r="K28" s="27">
        <v>873.82619999999997</v>
      </c>
      <c r="L28" s="27">
        <v>729.16790000000003</v>
      </c>
      <c r="M28" s="27">
        <v>662.29259999999999</v>
      </c>
      <c r="N28" s="27">
        <v>721.95939999999996</v>
      </c>
      <c r="O28" s="27">
        <v>727.27509999999995</v>
      </c>
      <c r="P28" s="27">
        <v>614.66819999999996</v>
      </c>
      <c r="Q28" s="27">
        <v>510.03530000000001</v>
      </c>
      <c r="R28" s="27">
        <v>410.71069999999997</v>
      </c>
      <c r="S28" s="27">
        <v>328.01490000000001</v>
      </c>
      <c r="T28" s="27">
        <v>269.4042</v>
      </c>
      <c r="U28" s="27">
        <v>244.6421</v>
      </c>
      <c r="V28" s="27">
        <v>233.26429999999999</v>
      </c>
      <c r="W28" s="27">
        <v>225.12440000000001</v>
      </c>
      <c r="X28" s="27">
        <v>218.2045</v>
      </c>
      <c r="Y28" s="27">
        <v>212.99299999999999</v>
      </c>
      <c r="Z28" s="27">
        <v>209.2396</v>
      </c>
    </row>
    <row r="29" spans="1:26">
      <c r="A29" s="27" t="s">
        <v>196</v>
      </c>
      <c r="B29" s="27" t="s">
        <v>258</v>
      </c>
      <c r="C29" s="27" t="s">
        <v>198</v>
      </c>
      <c r="D29" s="27" t="s">
        <v>1160</v>
      </c>
      <c r="E29" s="27" t="s">
        <v>83</v>
      </c>
      <c r="F29" s="27" t="s">
        <v>200</v>
      </c>
      <c r="G29" s="27">
        <v>851.50689999999997</v>
      </c>
      <c r="H29" s="27">
        <v>905.08759999999995</v>
      </c>
      <c r="I29" s="27">
        <v>958.03710000000001</v>
      </c>
      <c r="J29" s="27">
        <v>999.50620000000004</v>
      </c>
      <c r="K29" s="27">
        <v>906.19290000000001</v>
      </c>
      <c r="L29" s="27">
        <v>878.97820000000002</v>
      </c>
      <c r="M29" s="27">
        <v>710.84739999999999</v>
      </c>
      <c r="N29" s="27">
        <v>548.87019999999995</v>
      </c>
      <c r="O29" s="27">
        <v>453.1875</v>
      </c>
      <c r="P29" s="27">
        <v>362.57400000000001</v>
      </c>
      <c r="Q29" s="27">
        <v>339.58100000000002</v>
      </c>
      <c r="R29" s="27">
        <v>314.81849999999997</v>
      </c>
      <c r="S29" s="27" t="s">
        <v>200</v>
      </c>
      <c r="T29" s="27">
        <v>267.2407</v>
      </c>
      <c r="U29" s="27" t="s">
        <v>200</v>
      </c>
      <c r="V29" s="27">
        <v>266.2912</v>
      </c>
      <c r="W29" s="27" t="s">
        <v>200</v>
      </c>
      <c r="X29" s="27">
        <v>269.04809999999998</v>
      </c>
      <c r="Y29" s="27" t="s">
        <v>200</v>
      </c>
      <c r="Z29" s="27">
        <v>269.13499999999999</v>
      </c>
    </row>
    <row r="30" spans="1:26">
      <c r="A30" s="27" t="s">
        <v>233</v>
      </c>
      <c r="B30" s="27" t="s">
        <v>260</v>
      </c>
      <c r="C30" s="27" t="s">
        <v>198</v>
      </c>
      <c r="D30" s="27" t="s">
        <v>1160</v>
      </c>
      <c r="E30" s="27" t="s">
        <v>83</v>
      </c>
      <c r="F30" s="27" t="s">
        <v>200</v>
      </c>
      <c r="G30" s="27" t="s">
        <v>200</v>
      </c>
      <c r="H30" s="27">
        <v>1393.07001445846</v>
      </c>
      <c r="I30" s="27">
        <v>1465.1365374625</v>
      </c>
      <c r="J30" s="27">
        <v>1402.2680925980301</v>
      </c>
      <c r="K30" s="27">
        <v>690.34970129380463</v>
      </c>
      <c r="L30" s="27">
        <v>525.95872197203221</v>
      </c>
      <c r="M30" s="27">
        <v>393.02843398492581</v>
      </c>
      <c r="N30" s="27">
        <v>313.76206096151282</v>
      </c>
      <c r="O30" s="27">
        <v>268.87345288721332</v>
      </c>
      <c r="P30" s="27">
        <v>224.01899497232941</v>
      </c>
      <c r="Q30" s="27">
        <v>199.54521137212819</v>
      </c>
      <c r="R30" s="27">
        <v>181.56475575658601</v>
      </c>
      <c r="S30" s="27">
        <v>162.7040670564717</v>
      </c>
      <c r="T30" s="27">
        <v>144.02320246313309</v>
      </c>
      <c r="U30" s="27">
        <v>127.025394489199</v>
      </c>
      <c r="V30" s="27">
        <v>113.92032214553851</v>
      </c>
      <c r="W30" s="27">
        <v>103.8789324447505</v>
      </c>
      <c r="X30" s="27">
        <v>96.847601728172123</v>
      </c>
      <c r="Y30" s="27">
        <v>94.873218495228784</v>
      </c>
      <c r="Z30" s="27">
        <v>88.15677507263706</v>
      </c>
    </row>
    <row r="31" spans="1:26">
      <c r="A31" s="27" t="s">
        <v>261</v>
      </c>
      <c r="B31" s="27" t="s">
        <v>262</v>
      </c>
      <c r="C31" s="27" t="s">
        <v>198</v>
      </c>
      <c r="D31" s="27" t="s">
        <v>1160</v>
      </c>
      <c r="E31" s="27" t="s">
        <v>83</v>
      </c>
      <c r="F31" s="27" t="s">
        <v>200</v>
      </c>
      <c r="G31" s="27">
        <v>784.13168425972856</v>
      </c>
      <c r="H31" s="27">
        <v>849.28387380325864</v>
      </c>
      <c r="I31" s="27">
        <v>903.36759576683244</v>
      </c>
      <c r="J31" s="27">
        <v>898.33444332418298</v>
      </c>
      <c r="K31" s="27">
        <v>806.74092236723823</v>
      </c>
      <c r="L31" s="27">
        <v>580.38215961976391</v>
      </c>
      <c r="M31" s="27">
        <v>467.42251502640602</v>
      </c>
      <c r="N31" s="27">
        <v>425.07110737379361</v>
      </c>
      <c r="O31" s="27">
        <v>380.63299645533402</v>
      </c>
      <c r="P31" s="27">
        <v>360.22784657531281</v>
      </c>
      <c r="Q31" s="27">
        <v>330.86303718943861</v>
      </c>
      <c r="R31" s="27">
        <v>283.25707776995642</v>
      </c>
      <c r="S31" s="27">
        <v>268.56672330752451</v>
      </c>
      <c r="T31" s="27">
        <v>256.39193817366839</v>
      </c>
      <c r="U31" s="27">
        <v>242.60436843318229</v>
      </c>
      <c r="V31" s="27">
        <v>242.28286523682621</v>
      </c>
      <c r="W31" s="27">
        <v>229.83385403359441</v>
      </c>
      <c r="X31" s="27">
        <v>218.22491920854719</v>
      </c>
      <c r="Y31" s="27">
        <v>206.80235320650061</v>
      </c>
      <c r="Z31" s="27">
        <v>188.52443987950011</v>
      </c>
    </row>
    <row r="32" spans="1:26">
      <c r="A32" s="27" t="s">
        <v>218</v>
      </c>
      <c r="B32" s="27" t="s">
        <v>263</v>
      </c>
      <c r="C32" s="27" t="s">
        <v>198</v>
      </c>
      <c r="D32" s="27" t="s">
        <v>1160</v>
      </c>
      <c r="E32" s="27" t="s">
        <v>83</v>
      </c>
      <c r="F32" s="27" t="s">
        <v>200</v>
      </c>
      <c r="G32" s="27">
        <v>829.57759999999996</v>
      </c>
      <c r="H32" s="27">
        <v>927.28679999999997</v>
      </c>
      <c r="I32" s="27">
        <v>1029.0510999999999</v>
      </c>
      <c r="J32" s="27">
        <v>1025.7628999999999</v>
      </c>
      <c r="K32" s="27">
        <v>865.12600000000032</v>
      </c>
      <c r="L32" s="27">
        <v>789.03610000000003</v>
      </c>
      <c r="M32" s="27">
        <v>648.73910000000001</v>
      </c>
      <c r="N32" s="27">
        <v>539.2287</v>
      </c>
      <c r="O32" s="27">
        <v>484.2561</v>
      </c>
      <c r="P32" s="27">
        <v>414.65929999999997</v>
      </c>
      <c r="Q32" s="27">
        <v>395.51330000000002</v>
      </c>
      <c r="R32" s="27">
        <v>372.62779999999998</v>
      </c>
      <c r="S32" s="27" t="s">
        <v>200</v>
      </c>
      <c r="T32" s="27">
        <v>316.64260000000002</v>
      </c>
      <c r="U32" s="27" t="s">
        <v>200</v>
      </c>
      <c r="V32" s="27">
        <v>253.57560000000001</v>
      </c>
      <c r="W32" s="27" t="s">
        <v>200</v>
      </c>
      <c r="X32" s="27">
        <v>251.0087</v>
      </c>
      <c r="Y32" s="27" t="s">
        <v>200</v>
      </c>
      <c r="Z32" s="27">
        <v>337.93020000000001</v>
      </c>
    </row>
    <row r="33" spans="1:26">
      <c r="A33" s="27" t="s">
        <v>196</v>
      </c>
      <c r="B33" s="27" t="s">
        <v>264</v>
      </c>
      <c r="C33" s="27" t="s">
        <v>198</v>
      </c>
      <c r="D33" s="27" t="s">
        <v>1160</v>
      </c>
      <c r="E33" s="27" t="s">
        <v>83</v>
      </c>
      <c r="F33" s="27" t="s">
        <v>200</v>
      </c>
      <c r="G33" s="27">
        <v>852.10799999999995</v>
      </c>
      <c r="H33" s="27">
        <v>908.3605</v>
      </c>
      <c r="I33" s="27">
        <v>971.75459999999998</v>
      </c>
      <c r="J33" s="27">
        <v>1033.288</v>
      </c>
      <c r="K33" s="27">
        <v>883.14110000000005</v>
      </c>
      <c r="L33" s="27">
        <v>754.97799999999995</v>
      </c>
      <c r="M33" s="27">
        <v>675.23239999999998</v>
      </c>
      <c r="N33" s="27">
        <v>598.92139999999995</v>
      </c>
      <c r="O33" s="27">
        <v>516.79309999999998</v>
      </c>
      <c r="P33" s="27">
        <v>421.12139999999999</v>
      </c>
      <c r="Q33" s="27">
        <v>382.50630000000001</v>
      </c>
      <c r="R33" s="27">
        <v>338.03480000000002</v>
      </c>
      <c r="S33" s="27" t="s">
        <v>200</v>
      </c>
      <c r="T33" s="27">
        <v>245.93680000000001</v>
      </c>
      <c r="U33" s="27" t="s">
        <v>200</v>
      </c>
      <c r="V33" s="27">
        <v>201.53280000000001</v>
      </c>
      <c r="W33" s="27" t="s">
        <v>200</v>
      </c>
      <c r="X33" s="27">
        <v>188.55549999999999</v>
      </c>
      <c r="Y33" s="27" t="s">
        <v>200</v>
      </c>
      <c r="Z33" s="27">
        <v>183.92769999999999</v>
      </c>
    </row>
    <row r="34" spans="1:26">
      <c r="A34" s="27" t="s">
        <v>218</v>
      </c>
      <c r="B34" s="27" t="s">
        <v>265</v>
      </c>
      <c r="C34" s="27" t="s">
        <v>198</v>
      </c>
      <c r="D34" s="27" t="s">
        <v>1160</v>
      </c>
      <c r="E34" s="27" t="s">
        <v>83</v>
      </c>
      <c r="F34" s="27" t="s">
        <v>200</v>
      </c>
      <c r="G34" s="27">
        <v>829.57759999999996</v>
      </c>
      <c r="H34" s="27">
        <v>927.28679999999997</v>
      </c>
      <c r="I34" s="27">
        <v>1029.0510999999999</v>
      </c>
      <c r="J34" s="27">
        <v>1025.7628999999999</v>
      </c>
      <c r="K34" s="27">
        <v>865.75360000000001</v>
      </c>
      <c r="L34" s="27">
        <v>754.1105</v>
      </c>
      <c r="M34" s="27">
        <v>588.39850000000001</v>
      </c>
      <c r="N34" s="27">
        <v>493.49639999999999</v>
      </c>
      <c r="O34" s="27">
        <v>410.17520000000002</v>
      </c>
      <c r="P34" s="27">
        <v>318.38470000000001</v>
      </c>
      <c r="Q34" s="27">
        <v>299.12950000000001</v>
      </c>
      <c r="R34" s="27">
        <v>285.60669999999999</v>
      </c>
      <c r="S34" s="27" t="s">
        <v>200</v>
      </c>
      <c r="T34" s="27">
        <v>277.58440000000002</v>
      </c>
      <c r="U34" s="27" t="s">
        <v>200</v>
      </c>
      <c r="V34" s="27">
        <v>331.12630000000001</v>
      </c>
      <c r="W34" s="27" t="s">
        <v>200</v>
      </c>
      <c r="X34" s="27">
        <v>424.39359999999999</v>
      </c>
      <c r="Y34" s="27" t="s">
        <v>200</v>
      </c>
      <c r="Z34" s="27">
        <v>466.839</v>
      </c>
    </row>
    <row r="35" spans="1:26">
      <c r="A35" s="27" t="s">
        <v>226</v>
      </c>
      <c r="B35" s="27" t="s">
        <v>243</v>
      </c>
      <c r="C35" s="27" t="s">
        <v>198</v>
      </c>
      <c r="D35" s="27" t="s">
        <v>1160</v>
      </c>
      <c r="E35" s="27" t="s">
        <v>83</v>
      </c>
      <c r="F35" s="27" t="s">
        <v>200</v>
      </c>
      <c r="G35" s="27">
        <v>829.57759999999996</v>
      </c>
      <c r="H35" s="27">
        <v>875.22699999999998</v>
      </c>
      <c r="I35" s="27">
        <v>928.29840000000002</v>
      </c>
      <c r="J35" s="27">
        <v>952.89160000000004</v>
      </c>
      <c r="K35" s="27">
        <v>818.15359999999998</v>
      </c>
      <c r="L35" s="27">
        <v>709.8689999999998</v>
      </c>
      <c r="M35" s="27">
        <v>592.58839999999998</v>
      </c>
      <c r="N35" s="27">
        <v>593.13419999999996</v>
      </c>
      <c r="O35" s="27">
        <v>585.42949999999996</v>
      </c>
      <c r="P35" s="27">
        <v>567.49760000000003</v>
      </c>
      <c r="Q35" s="27">
        <v>605.11310000000003</v>
      </c>
      <c r="R35" s="27">
        <v>624.10450000000003</v>
      </c>
      <c r="S35" s="27" t="s">
        <v>200</v>
      </c>
      <c r="T35" s="27">
        <v>626.25710000000004</v>
      </c>
      <c r="U35" s="27" t="s">
        <v>200</v>
      </c>
      <c r="V35" s="27">
        <v>635.88260000000002</v>
      </c>
      <c r="W35" s="27" t="s">
        <v>200</v>
      </c>
      <c r="X35" s="27">
        <v>664.93910000000005</v>
      </c>
      <c r="Y35" s="27" t="s">
        <v>200</v>
      </c>
      <c r="Z35" s="27">
        <v>742.80539999999996</v>
      </c>
    </row>
    <row r="36" spans="1:26">
      <c r="A36" s="27" t="s">
        <v>231</v>
      </c>
      <c r="B36" s="27" t="s">
        <v>266</v>
      </c>
      <c r="C36" s="27" t="s">
        <v>198</v>
      </c>
      <c r="D36" s="27" t="s">
        <v>1160</v>
      </c>
      <c r="E36" s="27" t="s">
        <v>83</v>
      </c>
      <c r="F36" s="27" t="s">
        <v>200</v>
      </c>
      <c r="G36" s="27">
        <v>2526.1886513466002</v>
      </c>
      <c r="H36" s="27">
        <v>2544.9603604117201</v>
      </c>
      <c r="I36" s="27">
        <v>2764.1081031635699</v>
      </c>
      <c r="J36" s="27">
        <v>2830.6345433901802</v>
      </c>
      <c r="K36" s="27">
        <v>2280.55660126258</v>
      </c>
      <c r="L36" s="27">
        <v>1991.8882596773601</v>
      </c>
      <c r="M36" s="27">
        <v>1887.7729187524101</v>
      </c>
      <c r="N36" s="27">
        <v>1750.32764086213</v>
      </c>
      <c r="O36" s="27">
        <v>1717.26756000657</v>
      </c>
      <c r="P36" s="27">
        <v>1703.9195289412601</v>
      </c>
      <c r="Q36" s="27">
        <v>1671.5151469412899</v>
      </c>
      <c r="R36" s="27">
        <v>1639.26877265957</v>
      </c>
      <c r="S36" s="27">
        <v>1605.3125620440001</v>
      </c>
      <c r="T36" s="27">
        <v>1570.6159454711999</v>
      </c>
      <c r="U36" s="27">
        <v>1538.9266521013101</v>
      </c>
      <c r="V36" s="27">
        <v>1505.0965036467401</v>
      </c>
      <c r="W36" s="27">
        <v>1468.02061391858</v>
      </c>
      <c r="X36" s="27">
        <v>1428.8433320942599</v>
      </c>
      <c r="Y36" s="27">
        <v>1389.3846827411901</v>
      </c>
      <c r="Z36" s="27">
        <v>1359.04213080216</v>
      </c>
    </row>
    <row r="37" spans="1:26">
      <c r="A37" s="27" t="s">
        <v>233</v>
      </c>
      <c r="B37" s="27" t="s">
        <v>267</v>
      </c>
      <c r="C37" s="27" t="s">
        <v>198</v>
      </c>
      <c r="D37" s="27" t="s">
        <v>1160</v>
      </c>
      <c r="E37" s="27" t="s">
        <v>83</v>
      </c>
      <c r="F37" s="27" t="s">
        <v>200</v>
      </c>
      <c r="G37" s="27" t="s">
        <v>200</v>
      </c>
      <c r="H37" s="27">
        <v>1393.07001445846</v>
      </c>
      <c r="I37" s="27">
        <v>1465.1365374625</v>
      </c>
      <c r="J37" s="27">
        <v>1402.2680925980301</v>
      </c>
      <c r="K37" s="27">
        <v>613.22828699594049</v>
      </c>
      <c r="L37" s="27">
        <v>448.30258091546261</v>
      </c>
      <c r="M37" s="27">
        <v>283.0482052895627</v>
      </c>
      <c r="N37" s="27">
        <v>230.41169549276671</v>
      </c>
      <c r="O37" s="27">
        <v>198.93379671180969</v>
      </c>
      <c r="P37" s="27">
        <v>174.11337419282631</v>
      </c>
      <c r="Q37" s="27">
        <v>152.26405294915159</v>
      </c>
      <c r="R37" s="27">
        <v>148.8488167460265</v>
      </c>
      <c r="S37" s="27">
        <v>148.63996219933219</v>
      </c>
      <c r="T37" s="27">
        <v>149.1839844475698</v>
      </c>
      <c r="U37" s="27">
        <v>153.77115651757649</v>
      </c>
      <c r="V37" s="27">
        <v>155.83128323458709</v>
      </c>
      <c r="W37" s="27">
        <v>152.06780447301799</v>
      </c>
      <c r="X37" s="27">
        <v>149.58774376110989</v>
      </c>
      <c r="Y37" s="27">
        <v>143.42707964051559</v>
      </c>
      <c r="Z37" s="27">
        <v>133.16647828425951</v>
      </c>
    </row>
    <row r="38" spans="1:26">
      <c r="A38" s="27" t="s">
        <v>196</v>
      </c>
      <c r="B38" s="27" t="s">
        <v>268</v>
      </c>
      <c r="C38" s="27" t="s">
        <v>198</v>
      </c>
      <c r="D38" s="27" t="s">
        <v>1160</v>
      </c>
      <c r="E38" s="27" t="s">
        <v>83</v>
      </c>
      <c r="F38" s="27" t="s">
        <v>200</v>
      </c>
      <c r="G38" s="27">
        <v>851.50689999999997</v>
      </c>
      <c r="H38" s="27">
        <v>903.83550000000002</v>
      </c>
      <c r="I38" s="27">
        <v>958.75549999999998</v>
      </c>
      <c r="J38" s="27">
        <v>1021.9820999999999</v>
      </c>
      <c r="K38" s="27">
        <v>852.04740000000004</v>
      </c>
      <c r="L38" s="27">
        <v>685.5181</v>
      </c>
      <c r="M38" s="27">
        <v>614.20320000000004</v>
      </c>
      <c r="N38" s="27">
        <v>569.59180000000003</v>
      </c>
      <c r="O38" s="27">
        <v>502.17869999999999</v>
      </c>
      <c r="P38" s="27">
        <v>420.87819999999999</v>
      </c>
      <c r="Q38" s="27">
        <v>395.29090000000002</v>
      </c>
      <c r="R38" s="27">
        <v>357.16329999999999</v>
      </c>
      <c r="S38" s="27" t="s">
        <v>200</v>
      </c>
      <c r="T38" s="27">
        <v>281.6431</v>
      </c>
      <c r="U38" s="27" t="s">
        <v>200</v>
      </c>
      <c r="V38" s="27">
        <v>264.09559999999999</v>
      </c>
      <c r="W38" s="27" t="s">
        <v>200</v>
      </c>
      <c r="X38" s="27">
        <v>243.3715</v>
      </c>
      <c r="Y38" s="27" t="s">
        <v>200</v>
      </c>
      <c r="Z38" s="27">
        <v>216.54519999999999</v>
      </c>
    </row>
    <row r="39" spans="1:26">
      <c r="A39" s="27" t="s">
        <v>222</v>
      </c>
      <c r="B39" s="27" t="s">
        <v>269</v>
      </c>
      <c r="C39" s="27" t="s">
        <v>198</v>
      </c>
      <c r="D39" s="27" t="s">
        <v>1160</v>
      </c>
      <c r="E39" s="27" t="s">
        <v>83</v>
      </c>
      <c r="F39" s="27" t="s">
        <v>200</v>
      </c>
      <c r="G39" s="27">
        <v>861.1404</v>
      </c>
      <c r="H39" s="27">
        <v>924.96860000000004</v>
      </c>
      <c r="I39" s="27">
        <v>995.90189999999996</v>
      </c>
      <c r="J39" s="27">
        <v>1098.2194</v>
      </c>
      <c r="K39" s="27">
        <v>910.05840000000001</v>
      </c>
      <c r="L39" s="27">
        <v>717.38229999999999</v>
      </c>
      <c r="M39" s="27">
        <v>677.18029999999999</v>
      </c>
      <c r="N39" s="27">
        <v>665.90800000000002</v>
      </c>
      <c r="O39" s="27">
        <v>624.46</v>
      </c>
      <c r="P39" s="27">
        <v>549.33690000000001</v>
      </c>
      <c r="Q39" s="27">
        <v>526.75199999999995</v>
      </c>
      <c r="R39" s="27">
        <v>494.92110000000002</v>
      </c>
      <c r="S39" s="27" t="s">
        <v>200</v>
      </c>
      <c r="T39" s="27">
        <v>425.0609</v>
      </c>
      <c r="U39" s="27" t="s">
        <v>200</v>
      </c>
      <c r="V39" s="27">
        <v>403.09859999999998</v>
      </c>
      <c r="W39" s="27" t="s">
        <v>200</v>
      </c>
      <c r="X39" s="27">
        <v>419.6601</v>
      </c>
      <c r="Y39" s="27" t="s">
        <v>200</v>
      </c>
      <c r="Z39" s="27">
        <v>428.94970000000001</v>
      </c>
    </row>
    <row r="40" spans="1:26">
      <c r="A40" s="27" t="s">
        <v>231</v>
      </c>
      <c r="B40" s="27" t="s">
        <v>270</v>
      </c>
      <c r="C40" s="27" t="s">
        <v>198</v>
      </c>
      <c r="D40" s="27" t="s">
        <v>1160</v>
      </c>
      <c r="E40" s="27" t="s">
        <v>83</v>
      </c>
      <c r="F40" s="27" t="s">
        <v>200</v>
      </c>
      <c r="G40" s="27">
        <v>2526.1886513466002</v>
      </c>
      <c r="H40" s="27">
        <v>2544.9603604117201</v>
      </c>
      <c r="I40" s="27">
        <v>2764.1081031635699</v>
      </c>
      <c r="J40" s="27">
        <v>2830.6345433901802</v>
      </c>
      <c r="K40" s="27">
        <v>2377.58815833378</v>
      </c>
      <c r="L40" s="27">
        <v>2206.7275382580601</v>
      </c>
      <c r="M40" s="27">
        <v>1985.4928516249299</v>
      </c>
      <c r="N40" s="27">
        <v>1878.21968750271</v>
      </c>
      <c r="O40" s="27">
        <v>1802.53013572433</v>
      </c>
      <c r="P40" s="27">
        <v>1718.0950358027901</v>
      </c>
      <c r="Q40" s="27">
        <v>1677.50853113069</v>
      </c>
      <c r="R40" s="27">
        <v>1644.4834691978499</v>
      </c>
      <c r="S40" s="27">
        <v>1611.0391960644499</v>
      </c>
      <c r="T40" s="27">
        <v>1575.1666465291401</v>
      </c>
      <c r="U40" s="27">
        <v>1542.30155156516</v>
      </c>
      <c r="V40" s="27">
        <v>1506.09101422549</v>
      </c>
      <c r="W40" s="27">
        <v>1466.5072153518799</v>
      </c>
      <c r="X40" s="27">
        <v>1424.7618764445599</v>
      </c>
      <c r="Y40" s="27">
        <v>1383.5351209549201</v>
      </c>
      <c r="Z40" s="27">
        <v>1352.6322461464999</v>
      </c>
    </row>
    <row r="41" spans="1:26">
      <c r="A41" s="27" t="s">
        <v>231</v>
      </c>
      <c r="B41" s="27" t="s">
        <v>271</v>
      </c>
      <c r="C41" s="27" t="s">
        <v>198</v>
      </c>
      <c r="D41" s="27" t="s">
        <v>1160</v>
      </c>
      <c r="E41" s="27" t="s">
        <v>83</v>
      </c>
      <c r="F41" s="27" t="s">
        <v>200</v>
      </c>
      <c r="G41" s="27">
        <v>2526.1886513466002</v>
      </c>
      <c r="H41" s="27">
        <v>2544.9603604117201</v>
      </c>
      <c r="I41" s="27">
        <v>2764.1081031635699</v>
      </c>
      <c r="J41" s="27">
        <v>2830.6345433901802</v>
      </c>
      <c r="K41" s="27">
        <v>2081.1825583775098</v>
      </c>
      <c r="L41" s="27">
        <v>1907.92846257161</v>
      </c>
      <c r="M41" s="27">
        <v>1792.49628493366</v>
      </c>
      <c r="N41" s="27">
        <v>1784.1072472246201</v>
      </c>
      <c r="O41" s="27">
        <v>1782.4551543739501</v>
      </c>
      <c r="P41" s="27">
        <v>1777.9319627858499</v>
      </c>
      <c r="Q41" s="27">
        <v>1752.5613828524499</v>
      </c>
      <c r="R41" s="27">
        <v>1725.6956073650499</v>
      </c>
      <c r="S41" s="27">
        <v>1697.0942848874599</v>
      </c>
      <c r="T41" s="27">
        <v>1662.0881268022299</v>
      </c>
      <c r="U41" s="27">
        <v>1630.33678913426</v>
      </c>
      <c r="V41" s="27">
        <v>1604.68030888864</v>
      </c>
      <c r="W41" s="27">
        <v>1581.0355398562499</v>
      </c>
      <c r="X41" s="27">
        <v>1556.8453833799599</v>
      </c>
      <c r="Y41" s="27">
        <v>1529.56671058446</v>
      </c>
      <c r="Z41" s="27">
        <v>1510.50004217776</v>
      </c>
    </row>
    <row r="42" spans="1:26">
      <c r="A42" s="27" t="s">
        <v>196</v>
      </c>
      <c r="B42" s="27" t="s">
        <v>273</v>
      </c>
      <c r="C42" s="27" t="s">
        <v>198</v>
      </c>
      <c r="D42" s="27" t="s">
        <v>1160</v>
      </c>
      <c r="E42" s="27" t="s">
        <v>83</v>
      </c>
      <c r="F42" s="27" t="s">
        <v>200</v>
      </c>
      <c r="G42" s="27" t="s">
        <v>200</v>
      </c>
      <c r="H42" s="27">
        <v>917.85850000000005</v>
      </c>
      <c r="I42" s="27">
        <v>988.76750000000004</v>
      </c>
      <c r="J42" s="27">
        <v>1069.1929</v>
      </c>
      <c r="K42" s="27">
        <v>889.70090000000005</v>
      </c>
      <c r="L42" s="27">
        <v>709.52610000000004</v>
      </c>
      <c r="M42" s="27">
        <v>635.76469999999995</v>
      </c>
      <c r="N42" s="27">
        <v>592.83349999999996</v>
      </c>
      <c r="O42" s="27">
        <v>525.25350000000003</v>
      </c>
      <c r="P42" s="27">
        <v>441.52379999999999</v>
      </c>
      <c r="Q42" s="27">
        <v>420.9314</v>
      </c>
      <c r="R42" s="27">
        <v>391.8956</v>
      </c>
      <c r="S42" s="27" t="s">
        <v>200</v>
      </c>
      <c r="T42" s="27">
        <v>326.5573</v>
      </c>
      <c r="U42" s="27" t="s">
        <v>200</v>
      </c>
      <c r="V42" s="27">
        <v>303.39679999999998</v>
      </c>
      <c r="W42" s="27" t="s">
        <v>200</v>
      </c>
      <c r="X42" s="27">
        <v>296.78160000000003</v>
      </c>
      <c r="Y42" s="27" t="s">
        <v>200</v>
      </c>
      <c r="Z42" s="27">
        <v>280.80770000000001</v>
      </c>
    </row>
    <row r="43" spans="1:26">
      <c r="A43" s="27" t="s">
        <v>226</v>
      </c>
      <c r="B43" s="27" t="s">
        <v>274</v>
      </c>
      <c r="C43" s="27" t="s">
        <v>198</v>
      </c>
      <c r="D43" s="27" t="s">
        <v>1160</v>
      </c>
      <c r="E43" s="27" t="s">
        <v>83</v>
      </c>
      <c r="F43" s="27" t="s">
        <v>200</v>
      </c>
      <c r="G43" s="27">
        <v>829.57759999999996</v>
      </c>
      <c r="H43" s="27">
        <v>927.40039999999999</v>
      </c>
      <c r="I43" s="27">
        <v>1019.4792</v>
      </c>
      <c r="J43" s="27">
        <v>951.88220000000001</v>
      </c>
      <c r="K43" s="27">
        <v>885.06590000000006</v>
      </c>
      <c r="L43" s="27">
        <v>872.00149999999996</v>
      </c>
      <c r="M43" s="27">
        <v>873.72500000000002</v>
      </c>
      <c r="N43" s="27">
        <v>917.31709999999998</v>
      </c>
      <c r="O43" s="27">
        <v>909.58579999999995</v>
      </c>
      <c r="P43" s="27">
        <v>818.38279999999997</v>
      </c>
      <c r="Q43" s="27">
        <v>613.66909999999996</v>
      </c>
      <c r="R43" s="27">
        <v>375.96449999999999</v>
      </c>
      <c r="S43" s="27" t="s">
        <v>200</v>
      </c>
      <c r="T43" s="27">
        <v>404.00639999999999</v>
      </c>
      <c r="U43" s="27" t="s">
        <v>200</v>
      </c>
      <c r="V43" s="27">
        <v>448.4024</v>
      </c>
      <c r="W43" s="27" t="s">
        <v>200</v>
      </c>
      <c r="X43" s="27">
        <v>502.0471</v>
      </c>
      <c r="Y43" s="27" t="s">
        <v>200</v>
      </c>
      <c r="Z43" s="27">
        <v>539.22929999999997</v>
      </c>
    </row>
    <row r="44" spans="1:26">
      <c r="A44" s="27" t="s">
        <v>196</v>
      </c>
      <c r="B44" s="27" t="s">
        <v>275</v>
      </c>
      <c r="C44" s="27" t="s">
        <v>198</v>
      </c>
      <c r="D44" s="27" t="s">
        <v>1160</v>
      </c>
      <c r="E44" s="27" t="s">
        <v>83</v>
      </c>
      <c r="F44" s="27" t="s">
        <v>200</v>
      </c>
      <c r="G44" s="27">
        <v>851.50689999999997</v>
      </c>
      <c r="H44" s="27">
        <v>903.94970000000001</v>
      </c>
      <c r="I44" s="27">
        <v>958.87729999999999</v>
      </c>
      <c r="J44" s="27">
        <v>1021.3119</v>
      </c>
      <c r="K44" s="27">
        <v>869.91250000000002</v>
      </c>
      <c r="L44" s="27">
        <v>714.02110000000005</v>
      </c>
      <c r="M44" s="27">
        <v>628.14070000000004</v>
      </c>
      <c r="N44" s="27">
        <v>577.6576</v>
      </c>
      <c r="O44" s="27">
        <v>511.30849999999998</v>
      </c>
      <c r="P44" s="27">
        <v>432.21019999999999</v>
      </c>
      <c r="Q44" s="27">
        <v>407.20359999999999</v>
      </c>
      <c r="R44" s="27">
        <v>371.87329999999997</v>
      </c>
      <c r="S44" s="27" t="s">
        <v>200</v>
      </c>
      <c r="T44" s="27">
        <v>304.98360000000002</v>
      </c>
      <c r="U44" s="27" t="s">
        <v>200</v>
      </c>
      <c r="V44" s="27">
        <v>286.01429999999999</v>
      </c>
      <c r="W44" s="27" t="s">
        <v>200</v>
      </c>
      <c r="X44" s="27">
        <v>276.67410000000001</v>
      </c>
      <c r="Y44" s="27" t="s">
        <v>200</v>
      </c>
      <c r="Z44" s="27">
        <v>272.43430000000001</v>
      </c>
    </row>
    <row r="45" spans="1:26">
      <c r="A45" s="27" t="s">
        <v>261</v>
      </c>
      <c r="B45" s="27" t="s">
        <v>276</v>
      </c>
      <c r="C45" s="27" t="s">
        <v>198</v>
      </c>
      <c r="D45" s="27" t="s">
        <v>1160</v>
      </c>
      <c r="E45" s="27" t="s">
        <v>83</v>
      </c>
      <c r="F45" s="27" t="s">
        <v>200</v>
      </c>
      <c r="G45" s="27">
        <v>783.98369444174091</v>
      </c>
      <c r="H45" s="27">
        <v>849.07397178926476</v>
      </c>
      <c r="I45" s="27">
        <v>903.1188230095064</v>
      </c>
      <c r="J45" s="27">
        <v>897.72478147273887</v>
      </c>
      <c r="K45" s="27">
        <v>796.0888400631452</v>
      </c>
      <c r="L45" s="27">
        <v>564.72333824559917</v>
      </c>
      <c r="M45" s="27">
        <v>450.58637845148411</v>
      </c>
      <c r="N45" s="27">
        <v>412.19042017458042</v>
      </c>
      <c r="O45" s="27">
        <v>364.78340402940569</v>
      </c>
      <c r="P45" s="27">
        <v>340.85684579681168</v>
      </c>
      <c r="Q45" s="27">
        <v>306.51075065291519</v>
      </c>
      <c r="R45" s="27">
        <v>261.55312990820971</v>
      </c>
      <c r="S45" s="27">
        <v>246.6365055705856</v>
      </c>
      <c r="T45" s="27">
        <v>232.8792596931207</v>
      </c>
      <c r="U45" s="27">
        <v>222.96387163961481</v>
      </c>
      <c r="V45" s="27">
        <v>216.98302237519371</v>
      </c>
      <c r="W45" s="27">
        <v>216.86327238639791</v>
      </c>
      <c r="X45" s="27">
        <v>203.0903377149375</v>
      </c>
      <c r="Y45" s="27">
        <v>189.22812912242051</v>
      </c>
      <c r="Z45" s="27">
        <v>176.52203244265601</v>
      </c>
    </row>
    <row r="46" spans="1:26">
      <c r="A46" s="27" t="s">
        <v>203</v>
      </c>
      <c r="B46" s="27" t="s">
        <v>277</v>
      </c>
      <c r="C46" s="27" t="s">
        <v>198</v>
      </c>
      <c r="D46" s="27" t="s">
        <v>1160</v>
      </c>
      <c r="E46" s="27" t="s">
        <v>83</v>
      </c>
      <c r="F46" s="27" t="s">
        <v>200</v>
      </c>
      <c r="G46" s="27">
        <v>852.10799999999995</v>
      </c>
      <c r="H46" s="27">
        <v>905.80100000000004</v>
      </c>
      <c r="I46" s="27">
        <v>966.56460000000004</v>
      </c>
      <c r="J46" s="27">
        <v>1025.5314000000001</v>
      </c>
      <c r="K46" s="27">
        <v>858.17319999999995</v>
      </c>
      <c r="L46" s="27">
        <v>706.40499999999997</v>
      </c>
      <c r="M46" s="27">
        <v>656.97929999999997</v>
      </c>
      <c r="N46" s="27">
        <v>649.30179999999996</v>
      </c>
      <c r="O46" s="27">
        <v>655.84879999999998</v>
      </c>
      <c r="P46" s="27">
        <v>652.29300000000001</v>
      </c>
      <c r="Q46" s="27">
        <v>680.31079999999997</v>
      </c>
      <c r="R46" s="27">
        <v>659.18790000000001</v>
      </c>
      <c r="S46" s="27" t="s">
        <v>200</v>
      </c>
      <c r="T46" s="27">
        <v>562.9049</v>
      </c>
      <c r="U46" s="27" t="s">
        <v>200</v>
      </c>
      <c r="V46" s="27">
        <v>485.03309999999999</v>
      </c>
      <c r="W46" s="27" t="s">
        <v>200</v>
      </c>
      <c r="X46" s="27">
        <v>396.62380000000002</v>
      </c>
      <c r="Y46" s="27" t="s">
        <v>200</v>
      </c>
      <c r="Z46" s="27">
        <v>335.41489999999999</v>
      </c>
    </row>
    <row r="47" spans="1:26">
      <c r="A47" s="27" t="s">
        <v>203</v>
      </c>
      <c r="B47" s="27" t="s">
        <v>278</v>
      </c>
      <c r="C47" s="27" t="s">
        <v>198</v>
      </c>
      <c r="D47" s="27" t="s">
        <v>1160</v>
      </c>
      <c r="E47" s="27" t="s">
        <v>83</v>
      </c>
      <c r="F47" s="27" t="s">
        <v>200</v>
      </c>
      <c r="G47" s="27">
        <v>851.50689999999997</v>
      </c>
      <c r="H47" s="27">
        <v>905.98749999999995</v>
      </c>
      <c r="I47" s="27">
        <v>963.07010000000002</v>
      </c>
      <c r="J47" s="27">
        <v>1019.9937</v>
      </c>
      <c r="K47" s="27">
        <v>863.01940000000002</v>
      </c>
      <c r="L47" s="27">
        <v>755.39840000000004</v>
      </c>
      <c r="M47" s="27">
        <v>731.75559999999996</v>
      </c>
      <c r="N47" s="27">
        <v>736.88469999999995</v>
      </c>
      <c r="O47" s="27">
        <v>730.72519999999997</v>
      </c>
      <c r="P47" s="27">
        <v>686.95719999999994</v>
      </c>
      <c r="Q47" s="27">
        <v>673.327</v>
      </c>
      <c r="R47" s="27">
        <v>637.35860000000002</v>
      </c>
      <c r="S47" s="27" t="s">
        <v>200</v>
      </c>
      <c r="T47" s="27">
        <v>555.19470000000001</v>
      </c>
      <c r="U47" s="27" t="s">
        <v>200</v>
      </c>
      <c r="V47" s="27">
        <v>510.21589999999998</v>
      </c>
      <c r="W47" s="27" t="s">
        <v>200</v>
      </c>
      <c r="X47" s="27">
        <v>483.51530000000002</v>
      </c>
      <c r="Y47" s="27" t="s">
        <v>200</v>
      </c>
      <c r="Z47" s="27">
        <v>477.3005</v>
      </c>
    </row>
    <row r="48" spans="1:26">
      <c r="A48" s="27" t="s">
        <v>196</v>
      </c>
      <c r="B48" s="27" t="s">
        <v>279</v>
      </c>
      <c r="C48" s="27" t="s">
        <v>198</v>
      </c>
      <c r="D48" s="27" t="s">
        <v>1160</v>
      </c>
      <c r="E48" s="27" t="s">
        <v>83</v>
      </c>
      <c r="F48" s="27" t="s">
        <v>200</v>
      </c>
      <c r="G48" s="27">
        <v>851.50689999999997</v>
      </c>
      <c r="H48" s="27">
        <v>903.94970000000001</v>
      </c>
      <c r="I48" s="27">
        <v>958.87729999999999</v>
      </c>
      <c r="J48" s="27">
        <v>1021.3119</v>
      </c>
      <c r="K48" s="27">
        <v>855.3066</v>
      </c>
      <c r="L48" s="27">
        <v>702.26229999999998</v>
      </c>
      <c r="M48" s="27">
        <v>614.03390000000002</v>
      </c>
      <c r="N48" s="27">
        <v>552.14319999999998</v>
      </c>
      <c r="O48" s="27">
        <v>466.37720000000002</v>
      </c>
      <c r="P48" s="27">
        <v>368.95780000000002</v>
      </c>
      <c r="Q48" s="27">
        <v>331.1463</v>
      </c>
      <c r="R48" s="27">
        <v>289.50979999999998</v>
      </c>
      <c r="S48" s="27" t="s">
        <v>200</v>
      </c>
      <c r="T48" s="27">
        <v>218.34299999999999</v>
      </c>
      <c r="U48" s="27" t="s">
        <v>200</v>
      </c>
      <c r="V48" s="27">
        <v>203.94329999999999</v>
      </c>
      <c r="W48" s="27" t="s">
        <v>200</v>
      </c>
      <c r="X48" s="27">
        <v>221.00810000000001</v>
      </c>
      <c r="Y48" s="27" t="s">
        <v>200</v>
      </c>
      <c r="Z48" s="27">
        <v>255.78270000000001</v>
      </c>
    </row>
    <row r="49" spans="1:26">
      <c r="A49" s="27" t="s">
        <v>257</v>
      </c>
      <c r="B49" s="27" t="s">
        <v>280</v>
      </c>
      <c r="C49" s="27" t="s">
        <v>198</v>
      </c>
      <c r="D49" s="27" t="s">
        <v>1160</v>
      </c>
      <c r="E49" s="27" t="s">
        <v>83</v>
      </c>
      <c r="F49" s="27" t="s">
        <v>200</v>
      </c>
      <c r="G49" s="27" t="s">
        <v>200</v>
      </c>
      <c r="H49" s="27">
        <v>989.26610000000005</v>
      </c>
      <c r="I49" s="27">
        <v>1021.2063000000001</v>
      </c>
      <c r="J49" s="27">
        <v>1074.7997</v>
      </c>
      <c r="K49" s="27">
        <v>873.82619999999997</v>
      </c>
      <c r="L49" s="27">
        <v>729.16790000000003</v>
      </c>
      <c r="M49" s="27">
        <v>636.59929999999997</v>
      </c>
      <c r="N49" s="27">
        <v>647.44989999999996</v>
      </c>
      <c r="O49" s="27">
        <v>667.95960000000002</v>
      </c>
      <c r="P49" s="27">
        <v>571.0788</v>
      </c>
      <c r="Q49" s="27">
        <v>524.06960000000004</v>
      </c>
      <c r="R49" s="27">
        <v>481.53730000000002</v>
      </c>
      <c r="S49" s="27">
        <v>451.52420000000001</v>
      </c>
      <c r="T49" s="27">
        <v>426.702</v>
      </c>
      <c r="U49" s="27">
        <v>404.18049999999999</v>
      </c>
      <c r="V49" s="27">
        <v>384.16370000000001</v>
      </c>
      <c r="W49" s="27">
        <v>367.14800000000002</v>
      </c>
      <c r="X49" s="27">
        <v>352.66590000000002</v>
      </c>
      <c r="Y49" s="27">
        <v>341.16039999999998</v>
      </c>
      <c r="Z49" s="27">
        <v>330.52980000000002</v>
      </c>
    </row>
    <row r="50" spans="1:26">
      <c r="A50" s="27" t="s">
        <v>203</v>
      </c>
      <c r="B50" s="27" t="s">
        <v>281</v>
      </c>
      <c r="C50" s="27" t="s">
        <v>198</v>
      </c>
      <c r="D50" s="27" t="s">
        <v>1160</v>
      </c>
      <c r="E50" s="27" t="s">
        <v>83</v>
      </c>
      <c r="F50" s="27" t="s">
        <v>200</v>
      </c>
      <c r="G50" s="27">
        <v>851.50689999999997</v>
      </c>
      <c r="H50" s="27">
        <v>905.98749999999995</v>
      </c>
      <c r="I50" s="27">
        <v>963.07010000000002</v>
      </c>
      <c r="J50" s="27">
        <v>1019.9937</v>
      </c>
      <c r="K50" s="27">
        <v>868.25990000000002</v>
      </c>
      <c r="L50" s="27">
        <v>727.75149999999996</v>
      </c>
      <c r="M50" s="27">
        <v>649.29920000000004</v>
      </c>
      <c r="N50" s="27">
        <v>590.7441</v>
      </c>
      <c r="O50" s="27">
        <v>526.2441</v>
      </c>
      <c r="P50" s="27">
        <v>446.9434</v>
      </c>
      <c r="Q50" s="27">
        <v>420.81169999999997</v>
      </c>
      <c r="R50" s="27">
        <v>384.387</v>
      </c>
      <c r="S50" s="27" t="s">
        <v>200</v>
      </c>
      <c r="T50" s="27">
        <v>314.48230000000001</v>
      </c>
      <c r="U50" s="27" t="s">
        <v>200</v>
      </c>
      <c r="V50" s="27">
        <v>292.4085</v>
      </c>
      <c r="W50" s="27" t="s">
        <v>200</v>
      </c>
      <c r="X50" s="27">
        <v>283.3322</v>
      </c>
      <c r="Y50" s="27" t="s">
        <v>200</v>
      </c>
      <c r="Z50" s="27">
        <v>279.60449999999997</v>
      </c>
    </row>
    <row r="51" spans="1:26">
      <c r="A51" s="27" t="s">
        <v>203</v>
      </c>
      <c r="B51" s="27" t="s">
        <v>284</v>
      </c>
      <c r="C51" s="27" t="s">
        <v>198</v>
      </c>
      <c r="D51" s="27" t="s">
        <v>1160</v>
      </c>
      <c r="E51" s="27" t="s">
        <v>83</v>
      </c>
      <c r="F51" s="27" t="s">
        <v>200</v>
      </c>
      <c r="G51" s="27">
        <v>851.50689999999997</v>
      </c>
      <c r="H51" s="27">
        <v>905.98749999999995</v>
      </c>
      <c r="I51" s="27">
        <v>963.07010000000002</v>
      </c>
      <c r="J51" s="27">
        <v>1019.9937</v>
      </c>
      <c r="K51" s="27">
        <v>858.13070000000005</v>
      </c>
      <c r="L51" s="27">
        <v>728.53210000000001</v>
      </c>
      <c r="M51" s="27">
        <v>644.58000000000004</v>
      </c>
      <c r="N51" s="27">
        <v>575.22900000000004</v>
      </c>
      <c r="O51" s="27">
        <v>491.97449999999998</v>
      </c>
      <c r="P51" s="27">
        <v>394.58629999999999</v>
      </c>
      <c r="Q51" s="27">
        <v>355.18579999999997</v>
      </c>
      <c r="R51" s="27">
        <v>311.13510000000002</v>
      </c>
      <c r="S51" s="27" t="s">
        <v>200</v>
      </c>
      <c r="T51" s="27">
        <v>230.2304</v>
      </c>
      <c r="U51" s="27" t="s">
        <v>200</v>
      </c>
      <c r="V51" s="27">
        <v>208.00280000000001</v>
      </c>
      <c r="W51" s="27" t="s">
        <v>200</v>
      </c>
      <c r="X51" s="27">
        <v>224.8021</v>
      </c>
      <c r="Y51" s="27" t="s">
        <v>200</v>
      </c>
      <c r="Z51" s="27">
        <v>256.28820000000002</v>
      </c>
    </row>
    <row r="52" spans="1:26">
      <c r="A52" s="27" t="s">
        <v>203</v>
      </c>
      <c r="B52" s="27" t="s">
        <v>285</v>
      </c>
      <c r="C52" s="27" t="s">
        <v>198</v>
      </c>
      <c r="D52" s="27" t="s">
        <v>1160</v>
      </c>
      <c r="E52" s="27" t="s">
        <v>83</v>
      </c>
      <c r="F52" s="27" t="s">
        <v>200</v>
      </c>
      <c r="G52" s="27">
        <v>852.10799999999995</v>
      </c>
      <c r="H52" s="27">
        <v>905.93129999999996</v>
      </c>
      <c r="I52" s="27">
        <v>967.08029999999997</v>
      </c>
      <c r="J52" s="27">
        <v>1025.5578</v>
      </c>
      <c r="K52" s="27">
        <v>814.27459999999996</v>
      </c>
      <c r="L52" s="27">
        <v>733.52949999999998</v>
      </c>
      <c r="M52" s="27">
        <v>674.68299999999999</v>
      </c>
      <c r="N52" s="27">
        <v>603.33259999999996</v>
      </c>
      <c r="O52" s="27">
        <v>511.97890000000001</v>
      </c>
      <c r="P52" s="27">
        <v>406.15559999999999</v>
      </c>
      <c r="Q52" s="27">
        <v>365.41719999999998</v>
      </c>
      <c r="R52" s="27">
        <v>322.6875</v>
      </c>
      <c r="S52" s="27" t="s">
        <v>200</v>
      </c>
      <c r="T52" s="27">
        <v>238.52090000000001</v>
      </c>
      <c r="U52" s="27" t="s">
        <v>200</v>
      </c>
      <c r="V52" s="27">
        <v>219.49940000000001</v>
      </c>
      <c r="W52" s="27" t="s">
        <v>200</v>
      </c>
      <c r="X52" s="27">
        <v>264.24220000000003</v>
      </c>
      <c r="Y52" s="27" t="s">
        <v>200</v>
      </c>
      <c r="Z52" s="27">
        <v>343.97039999999998</v>
      </c>
    </row>
    <row r="53" spans="1:26">
      <c r="A53" s="27" t="s">
        <v>196</v>
      </c>
      <c r="B53" s="27" t="s">
        <v>286</v>
      </c>
      <c r="C53" s="27" t="s">
        <v>198</v>
      </c>
      <c r="D53" s="27" t="s">
        <v>1160</v>
      </c>
      <c r="E53" s="27" t="s">
        <v>83</v>
      </c>
      <c r="F53" s="27" t="s">
        <v>200</v>
      </c>
      <c r="G53" s="27">
        <v>851.50689999999997</v>
      </c>
      <c r="H53" s="27">
        <v>903.83550000000002</v>
      </c>
      <c r="I53" s="27">
        <v>958.75549999999998</v>
      </c>
      <c r="J53" s="27">
        <v>1021.9820999999999</v>
      </c>
      <c r="K53" s="27">
        <v>839.74950000000001</v>
      </c>
      <c r="L53" s="27">
        <v>691.51829999999995</v>
      </c>
      <c r="M53" s="27">
        <v>682.31489999999997</v>
      </c>
      <c r="N53" s="27">
        <v>664.15039999999999</v>
      </c>
      <c r="O53" s="27">
        <v>593.28240000000005</v>
      </c>
      <c r="P53" s="27">
        <v>493.86630000000002</v>
      </c>
      <c r="Q53" s="27">
        <v>455.5102</v>
      </c>
      <c r="R53" s="27">
        <v>414.18209999999999</v>
      </c>
      <c r="S53" s="27" t="s">
        <v>200</v>
      </c>
      <c r="T53" s="27">
        <v>335.9581</v>
      </c>
      <c r="U53" s="27" t="s">
        <v>200</v>
      </c>
      <c r="V53" s="27">
        <v>302.66640000000001</v>
      </c>
      <c r="W53" s="27" t="s">
        <v>200</v>
      </c>
      <c r="X53" s="27">
        <v>286.16770000000002</v>
      </c>
      <c r="Y53" s="27" t="s">
        <v>200</v>
      </c>
      <c r="Z53" s="27">
        <v>254.1789</v>
      </c>
    </row>
    <row r="54" spans="1:26">
      <c r="A54" s="27" t="s">
        <v>282</v>
      </c>
      <c r="B54" s="27" t="s">
        <v>243</v>
      </c>
      <c r="C54" s="27" t="s">
        <v>198</v>
      </c>
      <c r="D54" s="27" t="s">
        <v>1160</v>
      </c>
      <c r="E54" s="27" t="s">
        <v>83</v>
      </c>
      <c r="F54" s="27">
        <v>1442.3587705751199</v>
      </c>
      <c r="G54" s="27">
        <v>1542.8000493807499</v>
      </c>
      <c r="H54" s="27">
        <v>1657.3674207453701</v>
      </c>
      <c r="I54" s="27" t="s">
        <v>200</v>
      </c>
      <c r="J54" s="27">
        <v>1707.8602178096601</v>
      </c>
      <c r="K54" s="27" t="s">
        <v>200</v>
      </c>
      <c r="L54" s="27">
        <v>1530.2340713256399</v>
      </c>
      <c r="M54" s="27" t="s">
        <v>200</v>
      </c>
      <c r="N54" s="27">
        <v>1156.0630735592099</v>
      </c>
      <c r="O54" s="27" t="s">
        <v>200</v>
      </c>
      <c r="P54" s="27">
        <v>930.75712765076605</v>
      </c>
      <c r="Q54" s="27" t="s">
        <v>200</v>
      </c>
      <c r="R54" s="27">
        <v>836.25387651821904</v>
      </c>
      <c r="S54" s="27" t="s">
        <v>200</v>
      </c>
      <c r="T54" s="27">
        <v>817.28318140101101</v>
      </c>
      <c r="U54" s="27" t="s">
        <v>200</v>
      </c>
      <c r="V54" s="27">
        <v>810.97031917581683</v>
      </c>
      <c r="W54" s="27" t="s">
        <v>200</v>
      </c>
      <c r="X54" s="27">
        <v>853.9844560019452</v>
      </c>
      <c r="Y54" s="27" t="s">
        <v>200</v>
      </c>
      <c r="Z54" s="27">
        <v>893.92342642380095</v>
      </c>
    </row>
    <row r="55" spans="1:26">
      <c r="A55" s="27" t="s">
        <v>207</v>
      </c>
      <c r="B55" s="27" t="s">
        <v>202</v>
      </c>
      <c r="C55" s="27" t="s">
        <v>198</v>
      </c>
      <c r="D55" s="27" t="s">
        <v>1160</v>
      </c>
      <c r="E55" s="27" t="s">
        <v>83</v>
      </c>
      <c r="F55" s="27">
        <v>1402.809591315339</v>
      </c>
      <c r="G55" s="27">
        <v>1507.2761685188259</v>
      </c>
      <c r="H55" s="27">
        <v>1613.32512106084</v>
      </c>
      <c r="I55" s="27">
        <v>1720.3259679169371</v>
      </c>
      <c r="J55" s="27">
        <v>1733.6925991260191</v>
      </c>
      <c r="K55" s="27">
        <v>1663.163144366328</v>
      </c>
      <c r="L55" s="27">
        <v>1533.0300291995361</v>
      </c>
      <c r="M55" s="27">
        <v>1375.7239956794861</v>
      </c>
      <c r="N55" s="27">
        <v>1191.013120191968</v>
      </c>
      <c r="O55" s="27">
        <v>1012.246567576505</v>
      </c>
      <c r="P55" s="27">
        <v>875.6571001365935</v>
      </c>
      <c r="Q55" s="27">
        <v>761.29174302026092</v>
      </c>
      <c r="R55" s="27">
        <v>698.96461197344786</v>
      </c>
      <c r="S55" s="27" t="s">
        <v>200</v>
      </c>
      <c r="T55" s="27">
        <v>768.47725042425657</v>
      </c>
      <c r="U55" s="27" t="s">
        <v>200</v>
      </c>
      <c r="V55" s="27">
        <v>834.73358545429539</v>
      </c>
      <c r="W55" s="27" t="s">
        <v>200</v>
      </c>
      <c r="X55" s="27">
        <v>847.79747000000589</v>
      </c>
      <c r="Y55" s="27" t="s">
        <v>200</v>
      </c>
      <c r="Z55" s="27">
        <v>854.84213605716673</v>
      </c>
    </row>
    <row r="56" spans="1:26">
      <c r="A56" s="27" t="s">
        <v>207</v>
      </c>
      <c r="B56" s="27" t="s">
        <v>273</v>
      </c>
      <c r="C56" s="27" t="s">
        <v>198</v>
      </c>
      <c r="D56" s="27" t="s">
        <v>1160</v>
      </c>
      <c r="E56" s="27" t="s">
        <v>83</v>
      </c>
      <c r="F56" s="27" t="s">
        <v>200</v>
      </c>
      <c r="G56" s="27" t="s">
        <v>200</v>
      </c>
      <c r="H56" s="27">
        <v>1613.3251210000001</v>
      </c>
      <c r="I56" s="27">
        <v>1720.3259680000001</v>
      </c>
      <c r="J56" s="27">
        <v>1733.692599</v>
      </c>
      <c r="K56" s="27">
        <v>1610.2004320000001</v>
      </c>
      <c r="L56" s="27">
        <v>1430.1679140000001</v>
      </c>
      <c r="M56" s="27">
        <v>1262.6777239999999</v>
      </c>
      <c r="N56" s="27">
        <v>1127.264504</v>
      </c>
      <c r="O56" s="27">
        <v>982.34813180000003</v>
      </c>
      <c r="P56" s="27">
        <v>906.00852410000005</v>
      </c>
      <c r="Q56" s="27">
        <v>857.55797080000002</v>
      </c>
      <c r="R56" s="27">
        <v>841.63659280000002</v>
      </c>
      <c r="S56" s="27" t="s">
        <v>200</v>
      </c>
      <c r="T56" s="27">
        <v>838.44778269999995</v>
      </c>
      <c r="U56" s="27" t="s">
        <v>200</v>
      </c>
      <c r="V56" s="27">
        <v>844.94384260000004</v>
      </c>
      <c r="W56" s="27" t="s">
        <v>200</v>
      </c>
      <c r="X56" s="27">
        <v>870.90562020000004</v>
      </c>
      <c r="Y56" s="27" t="s">
        <v>200</v>
      </c>
      <c r="Z56" s="27">
        <v>890.39092760000005</v>
      </c>
    </row>
    <row r="57" spans="1:26">
      <c r="A57" s="27" t="s">
        <v>196</v>
      </c>
      <c r="B57" s="27" t="s">
        <v>267</v>
      </c>
      <c r="C57" s="27" t="s">
        <v>198</v>
      </c>
      <c r="D57" s="27" t="s">
        <v>1160</v>
      </c>
      <c r="E57" s="27" t="s">
        <v>83</v>
      </c>
      <c r="F57" s="27" t="s">
        <v>200</v>
      </c>
      <c r="G57" s="27">
        <v>851.50689999999997</v>
      </c>
      <c r="H57" s="27">
        <v>903.83550000000002</v>
      </c>
      <c r="I57" s="27">
        <v>958.75549999999998</v>
      </c>
      <c r="J57" s="27">
        <v>1021.9820999999999</v>
      </c>
      <c r="K57" s="27">
        <v>838.61749999999995</v>
      </c>
      <c r="L57" s="27">
        <v>679.30280000000005</v>
      </c>
      <c r="M57" s="27">
        <v>638.15949999999998</v>
      </c>
      <c r="N57" s="27">
        <v>613.42989999999998</v>
      </c>
      <c r="O57" s="27">
        <v>555.25990000000002</v>
      </c>
      <c r="P57" s="27">
        <v>466.51209999999998</v>
      </c>
      <c r="Q57" s="27">
        <v>428.45830000000001</v>
      </c>
      <c r="R57" s="27">
        <v>383.2226</v>
      </c>
      <c r="S57" s="27" t="s">
        <v>200</v>
      </c>
      <c r="T57" s="27">
        <v>305.58010000000002</v>
      </c>
      <c r="U57" s="27" t="s">
        <v>200</v>
      </c>
      <c r="V57" s="27">
        <v>288.46339999999998</v>
      </c>
      <c r="W57" s="27" t="s">
        <v>200</v>
      </c>
      <c r="X57" s="27">
        <v>273.77809999999999</v>
      </c>
      <c r="Y57" s="27" t="s">
        <v>200</v>
      </c>
      <c r="Z57" s="27">
        <v>250.44890000000001</v>
      </c>
    </row>
    <row r="58" spans="1:26">
      <c r="A58" s="27" t="s">
        <v>207</v>
      </c>
      <c r="B58" s="27" t="s">
        <v>201</v>
      </c>
      <c r="C58" s="27" t="s">
        <v>198</v>
      </c>
      <c r="D58" s="27" t="s">
        <v>1160</v>
      </c>
      <c r="E58" s="27" t="s">
        <v>83</v>
      </c>
      <c r="F58" s="27" t="s">
        <v>200</v>
      </c>
      <c r="G58" s="27" t="s">
        <v>200</v>
      </c>
      <c r="H58" s="27">
        <v>1613.3251210000001</v>
      </c>
      <c r="I58" s="27">
        <v>1720.3259680000001</v>
      </c>
      <c r="J58" s="27">
        <v>1733.692599</v>
      </c>
      <c r="K58" s="27">
        <v>1653.2724330000001</v>
      </c>
      <c r="L58" s="27">
        <v>1517.4778349999999</v>
      </c>
      <c r="M58" s="27">
        <v>1355.388729</v>
      </c>
      <c r="N58" s="27">
        <v>1174.834861</v>
      </c>
      <c r="O58" s="27">
        <v>1011.405016</v>
      </c>
      <c r="P58" s="27">
        <v>892.19452200000001</v>
      </c>
      <c r="Q58" s="27">
        <v>803.06925860000001</v>
      </c>
      <c r="R58" s="27">
        <v>753.29149399999994</v>
      </c>
      <c r="S58" s="27" t="s">
        <v>200</v>
      </c>
      <c r="T58" s="27">
        <v>827.92432440000005</v>
      </c>
      <c r="U58" s="27" t="s">
        <v>200</v>
      </c>
      <c r="V58" s="27">
        <v>902.4971822</v>
      </c>
      <c r="W58" s="27" t="s">
        <v>200</v>
      </c>
      <c r="X58" s="27">
        <v>892.70502610000005</v>
      </c>
      <c r="Y58" s="27" t="s">
        <v>200</v>
      </c>
      <c r="Z58" s="27">
        <v>895.76398319999998</v>
      </c>
    </row>
    <row r="59" spans="1:26">
      <c r="A59" s="27" t="s">
        <v>196</v>
      </c>
      <c r="B59" s="27" t="s">
        <v>289</v>
      </c>
      <c r="C59" s="27" t="s">
        <v>198</v>
      </c>
      <c r="D59" s="27" t="s">
        <v>1160</v>
      </c>
      <c r="E59" s="27" t="s">
        <v>83</v>
      </c>
      <c r="F59" s="27" t="s">
        <v>200</v>
      </c>
      <c r="G59" s="27">
        <v>852.10799999999995</v>
      </c>
      <c r="H59" s="27">
        <v>908.3605</v>
      </c>
      <c r="I59" s="27">
        <v>971.75459999999998</v>
      </c>
      <c r="J59" s="27">
        <v>1033.288</v>
      </c>
      <c r="K59" s="27">
        <v>862.55679999999995</v>
      </c>
      <c r="L59" s="27">
        <v>713.10270000000003</v>
      </c>
      <c r="M59" s="27">
        <v>644.6277</v>
      </c>
      <c r="N59" s="27">
        <v>587.73490000000004</v>
      </c>
      <c r="O59" s="27">
        <v>495.97640000000001</v>
      </c>
      <c r="P59" s="27">
        <v>387.8886</v>
      </c>
      <c r="Q59" s="27">
        <v>341.988</v>
      </c>
      <c r="R59" s="27">
        <v>297.03219999999999</v>
      </c>
      <c r="S59" s="27" t="s">
        <v>200</v>
      </c>
      <c r="T59" s="27">
        <v>215.57130000000001</v>
      </c>
      <c r="U59" s="27" t="s">
        <v>200</v>
      </c>
      <c r="V59" s="27">
        <v>194.9093</v>
      </c>
      <c r="W59" s="27" t="s">
        <v>200</v>
      </c>
      <c r="X59" s="27">
        <v>206.22280000000001</v>
      </c>
      <c r="Y59" s="27" t="s">
        <v>200</v>
      </c>
      <c r="Z59" s="27">
        <v>206.84049999999999</v>
      </c>
    </row>
    <row r="60" spans="1:26">
      <c r="A60" s="27" t="s">
        <v>233</v>
      </c>
      <c r="B60" s="27" t="s">
        <v>230</v>
      </c>
      <c r="C60" s="27" t="s">
        <v>198</v>
      </c>
      <c r="D60" s="27" t="s">
        <v>1160</v>
      </c>
      <c r="E60" s="27" t="s">
        <v>83</v>
      </c>
      <c r="F60" s="27" t="s">
        <v>200</v>
      </c>
      <c r="G60" s="27" t="s">
        <v>200</v>
      </c>
      <c r="H60" s="27">
        <v>1393.07001445846</v>
      </c>
      <c r="I60" s="27">
        <v>1465.1365374625</v>
      </c>
      <c r="J60" s="27">
        <v>1402.2680925980301</v>
      </c>
      <c r="K60" s="27">
        <v>601.43008451884373</v>
      </c>
      <c r="L60" s="27">
        <v>401.06721932336887</v>
      </c>
      <c r="M60" s="27">
        <v>261.80034256102851</v>
      </c>
      <c r="N60" s="27">
        <v>216.5147036042934</v>
      </c>
      <c r="O60" s="27">
        <v>179.31756992158839</v>
      </c>
      <c r="P60" s="27">
        <v>155.9592430230868</v>
      </c>
      <c r="Q60" s="27">
        <v>142.5031536729976</v>
      </c>
      <c r="R60" s="27">
        <v>149.29683910013921</v>
      </c>
      <c r="S60" s="27">
        <v>147.87143232189439</v>
      </c>
      <c r="T60" s="27">
        <v>151.90027965448661</v>
      </c>
      <c r="U60" s="27">
        <v>149.49677276968549</v>
      </c>
      <c r="V60" s="27">
        <v>148.2467369938675</v>
      </c>
      <c r="W60" s="27">
        <v>144.88323813942611</v>
      </c>
      <c r="X60" s="27">
        <v>138.8042073016407</v>
      </c>
      <c r="Y60" s="27">
        <v>128.9852869273933</v>
      </c>
      <c r="Z60" s="27">
        <v>116.75125102388979</v>
      </c>
    </row>
    <row r="61" spans="1:26">
      <c r="A61" s="27" t="s">
        <v>261</v>
      </c>
      <c r="B61" s="27" t="s">
        <v>292</v>
      </c>
      <c r="C61" s="27" t="s">
        <v>198</v>
      </c>
      <c r="D61" s="27" t="s">
        <v>1160</v>
      </c>
      <c r="E61" s="27" t="s">
        <v>83</v>
      </c>
      <c r="F61" s="27" t="s">
        <v>200</v>
      </c>
      <c r="G61" s="27">
        <v>783.98369444174091</v>
      </c>
      <c r="H61" s="27">
        <v>849.07397178926476</v>
      </c>
      <c r="I61" s="27">
        <v>903.1188230095064</v>
      </c>
      <c r="J61" s="27">
        <v>897.61631804917567</v>
      </c>
      <c r="K61" s="27">
        <v>803.31336578531341</v>
      </c>
      <c r="L61" s="27">
        <v>566.51443653323804</v>
      </c>
      <c r="M61" s="27">
        <v>451.56067597471701</v>
      </c>
      <c r="N61" s="27">
        <v>409.45050109186872</v>
      </c>
      <c r="O61" s="27">
        <v>370.03685523908479</v>
      </c>
      <c r="P61" s="27">
        <v>347.77536978773583</v>
      </c>
      <c r="Q61" s="27">
        <v>312.6955776553886</v>
      </c>
      <c r="R61" s="27">
        <v>269.69439635414648</v>
      </c>
      <c r="S61" s="27">
        <v>250.89193873715499</v>
      </c>
      <c r="T61" s="27">
        <v>237.6246749706699</v>
      </c>
      <c r="U61" s="27">
        <v>225.97033630747751</v>
      </c>
      <c r="V61" s="27">
        <v>219.0389100397004</v>
      </c>
      <c r="W61" s="27">
        <v>208.86737315407939</v>
      </c>
      <c r="X61" s="27">
        <v>201.81291864204479</v>
      </c>
      <c r="Y61" s="27">
        <v>188.05803779173439</v>
      </c>
      <c r="Z61" s="27">
        <v>179.03237997860339</v>
      </c>
    </row>
    <row r="62" spans="1:26">
      <c r="A62" s="27" t="s">
        <v>261</v>
      </c>
      <c r="B62" s="27" t="s">
        <v>293</v>
      </c>
      <c r="C62" s="27" t="s">
        <v>198</v>
      </c>
      <c r="D62" s="27" t="s">
        <v>1160</v>
      </c>
      <c r="E62" s="27" t="s">
        <v>83</v>
      </c>
      <c r="F62" s="27" t="s">
        <v>200</v>
      </c>
      <c r="G62" s="27">
        <v>784.15776980675992</v>
      </c>
      <c r="H62" s="27">
        <v>849.35309182572257</v>
      </c>
      <c r="I62" s="27">
        <v>903.50603181175995</v>
      </c>
      <c r="J62" s="27">
        <v>896.639585250457</v>
      </c>
      <c r="K62" s="27">
        <v>785.13646955875561</v>
      </c>
      <c r="L62" s="27">
        <v>538.18286302057686</v>
      </c>
      <c r="M62" s="27">
        <v>401.6860466951498</v>
      </c>
      <c r="N62" s="27">
        <v>332.2414967788846</v>
      </c>
      <c r="O62" s="27">
        <v>270.23465285424328</v>
      </c>
      <c r="P62" s="27">
        <v>237.66096994185361</v>
      </c>
      <c r="Q62" s="27">
        <v>228.88344094301149</v>
      </c>
      <c r="R62" s="27">
        <v>216.35523645426809</v>
      </c>
      <c r="S62" s="27">
        <v>207.1996075201337</v>
      </c>
      <c r="T62" s="27">
        <v>191.84156608458471</v>
      </c>
      <c r="U62" s="27">
        <v>175.05557511017241</v>
      </c>
      <c r="V62" s="27">
        <v>162.94866157242981</v>
      </c>
      <c r="W62" s="27">
        <v>152.92578186394411</v>
      </c>
      <c r="X62" s="27">
        <v>143.7799642800845</v>
      </c>
      <c r="Y62" s="27">
        <v>135.82531252630801</v>
      </c>
      <c r="Z62" s="27">
        <v>133.5049516024244</v>
      </c>
    </row>
    <row r="63" spans="1:26">
      <c r="A63" s="27" t="s">
        <v>196</v>
      </c>
      <c r="B63" s="27" t="s">
        <v>280</v>
      </c>
      <c r="C63" s="27" t="s">
        <v>198</v>
      </c>
      <c r="D63" s="27" t="s">
        <v>1160</v>
      </c>
      <c r="E63" s="27" t="s">
        <v>83</v>
      </c>
      <c r="F63" s="27" t="s">
        <v>200</v>
      </c>
      <c r="G63" s="27">
        <v>851.50689999999997</v>
      </c>
      <c r="H63" s="27">
        <v>903.83550000000002</v>
      </c>
      <c r="I63" s="27">
        <v>958.75549999999998</v>
      </c>
      <c r="J63" s="27">
        <v>1021.9820999999999</v>
      </c>
      <c r="K63" s="27">
        <v>849.99829999999997</v>
      </c>
      <c r="L63" s="27">
        <v>683.25</v>
      </c>
      <c r="M63" s="27">
        <v>615.68039999999996</v>
      </c>
      <c r="N63" s="27">
        <v>574.65830000000005</v>
      </c>
      <c r="O63" s="27">
        <v>509.72239999999999</v>
      </c>
      <c r="P63" s="27">
        <v>428.2998</v>
      </c>
      <c r="Q63" s="27">
        <v>399.53620000000001</v>
      </c>
      <c r="R63" s="27">
        <v>359.06790000000001</v>
      </c>
      <c r="S63" s="27" t="s">
        <v>200</v>
      </c>
      <c r="T63" s="27">
        <v>284.7663</v>
      </c>
      <c r="U63" s="27" t="s">
        <v>200</v>
      </c>
      <c r="V63" s="27">
        <v>269.10309999999998</v>
      </c>
      <c r="W63" s="27" t="s">
        <v>200</v>
      </c>
      <c r="X63" s="27">
        <v>256.0752</v>
      </c>
      <c r="Y63" s="27" t="s">
        <v>200</v>
      </c>
      <c r="Z63" s="27">
        <v>239.22300000000001</v>
      </c>
    </row>
    <row r="64" spans="1:26">
      <c r="A64" s="27" t="s">
        <v>218</v>
      </c>
      <c r="B64" s="27" t="s">
        <v>294</v>
      </c>
      <c r="C64" s="27" t="s">
        <v>198</v>
      </c>
      <c r="D64" s="27" t="s">
        <v>1160</v>
      </c>
      <c r="E64" s="27" t="s">
        <v>83</v>
      </c>
      <c r="F64" s="27" t="s">
        <v>200</v>
      </c>
      <c r="G64" s="27">
        <v>829.57759999999996</v>
      </c>
      <c r="H64" s="27">
        <v>927.28679999999997</v>
      </c>
      <c r="I64" s="27">
        <v>1029.0510999999999</v>
      </c>
      <c r="J64" s="27">
        <v>1025.7628999999999</v>
      </c>
      <c r="K64" s="27">
        <v>841.22159999999997</v>
      </c>
      <c r="L64" s="27">
        <v>682.23329999999999</v>
      </c>
      <c r="M64" s="27">
        <v>608.28499999999997</v>
      </c>
      <c r="N64" s="27">
        <v>574.279</v>
      </c>
      <c r="O64" s="27">
        <v>507.01280000000003</v>
      </c>
      <c r="P64" s="27">
        <v>425.95440000000002</v>
      </c>
      <c r="Q64" s="27">
        <v>404.1585</v>
      </c>
      <c r="R64" s="27">
        <v>382.42989999999998</v>
      </c>
      <c r="S64" s="27" t="s">
        <v>200</v>
      </c>
      <c r="T64" s="27">
        <v>351.76769999999999</v>
      </c>
      <c r="U64" s="27" t="s">
        <v>200</v>
      </c>
      <c r="V64" s="27">
        <v>340.76080000000002</v>
      </c>
      <c r="W64" s="27" t="s">
        <v>200</v>
      </c>
      <c r="X64" s="27">
        <v>354.58859999999999</v>
      </c>
      <c r="Y64" s="27" t="s">
        <v>200</v>
      </c>
      <c r="Z64" s="27">
        <v>356.96499999999997</v>
      </c>
    </row>
    <row r="65" spans="1:26">
      <c r="A65" s="27" t="s">
        <v>261</v>
      </c>
      <c r="B65" s="27" t="s">
        <v>295</v>
      </c>
      <c r="C65" s="27" t="s">
        <v>198</v>
      </c>
      <c r="D65" s="27" t="s">
        <v>1160</v>
      </c>
      <c r="E65" s="27" t="s">
        <v>83</v>
      </c>
      <c r="F65" s="27" t="s">
        <v>200</v>
      </c>
      <c r="G65" s="27">
        <v>784.18118591720099</v>
      </c>
      <c r="H65" s="27">
        <v>849.48759396409616</v>
      </c>
      <c r="I65" s="27">
        <v>903.70581806604343</v>
      </c>
      <c r="J65" s="27">
        <v>897.60376701397922</v>
      </c>
      <c r="K65" s="27">
        <v>801.06663682071178</v>
      </c>
      <c r="L65" s="27">
        <v>593.37440116911841</v>
      </c>
      <c r="M65" s="27">
        <v>490.70356134247049</v>
      </c>
      <c r="N65" s="27">
        <v>455.36902534463468</v>
      </c>
      <c r="O65" s="27">
        <v>415.42254589876387</v>
      </c>
      <c r="P65" s="27">
        <v>381.38540291602709</v>
      </c>
      <c r="Q65" s="27">
        <v>373.87035351161632</v>
      </c>
      <c r="R65" s="27">
        <v>366.29952693213482</v>
      </c>
      <c r="S65" s="27">
        <v>360.40871261235969</v>
      </c>
      <c r="T65" s="27">
        <v>350.69444553143228</v>
      </c>
      <c r="U65" s="27">
        <v>335.8179095748834</v>
      </c>
      <c r="V65" s="27">
        <v>326.96273275381873</v>
      </c>
      <c r="W65" s="27">
        <v>317.30082409583753</v>
      </c>
      <c r="X65" s="27">
        <v>304.11842031359089</v>
      </c>
      <c r="Y65" s="27">
        <v>293.1506185924207</v>
      </c>
      <c r="Z65" s="27">
        <v>286.49154510518389</v>
      </c>
    </row>
    <row r="66" spans="1:26">
      <c r="A66" s="27" t="s">
        <v>1152</v>
      </c>
      <c r="B66" s="27" t="s">
        <v>286</v>
      </c>
      <c r="C66" s="27" t="s">
        <v>198</v>
      </c>
      <c r="D66" s="27" t="s">
        <v>1160</v>
      </c>
      <c r="E66" s="27" t="s">
        <v>83</v>
      </c>
      <c r="F66" s="27" t="s">
        <v>200</v>
      </c>
      <c r="G66" s="27" t="s">
        <v>200</v>
      </c>
      <c r="H66" s="27">
        <v>1467.228850564002</v>
      </c>
      <c r="I66" s="27">
        <v>1621.462901205512</v>
      </c>
      <c r="J66" s="27">
        <v>1653.8921592296219</v>
      </c>
      <c r="K66" s="27">
        <v>1686.9700024142151</v>
      </c>
      <c r="L66" s="27">
        <v>1653.2306023659301</v>
      </c>
      <c r="M66" s="27">
        <v>1620.1659903186121</v>
      </c>
      <c r="N66" s="27">
        <v>1587.76267051224</v>
      </c>
      <c r="O66" s="27">
        <v>1508.3745369866269</v>
      </c>
      <c r="P66" s="27">
        <v>1432.9558101372961</v>
      </c>
      <c r="Q66" s="27" t="s">
        <v>200</v>
      </c>
      <c r="R66" s="27">
        <v>1361.3080196304311</v>
      </c>
      <c r="S66" s="27" t="s">
        <v>200</v>
      </c>
      <c r="T66" s="27">
        <v>1293.242618648909</v>
      </c>
      <c r="U66" s="27" t="s">
        <v>200</v>
      </c>
      <c r="V66" s="27">
        <v>1228.580487716463</v>
      </c>
      <c r="W66" s="27" t="s">
        <v>200</v>
      </c>
      <c r="X66" s="27">
        <v>1167.151463330641</v>
      </c>
      <c r="Y66" s="27" t="s">
        <v>200</v>
      </c>
      <c r="Z66" s="27">
        <v>1108.793890164108</v>
      </c>
    </row>
    <row r="67" spans="1:26">
      <c r="A67" s="27" t="s">
        <v>196</v>
      </c>
      <c r="B67" s="27" t="s">
        <v>296</v>
      </c>
      <c r="C67" s="27" t="s">
        <v>198</v>
      </c>
      <c r="D67" s="27" t="s">
        <v>1160</v>
      </c>
      <c r="E67" s="27" t="s">
        <v>83</v>
      </c>
      <c r="F67" s="27" t="s">
        <v>200</v>
      </c>
      <c r="G67" s="27">
        <v>852.10799999999995</v>
      </c>
      <c r="H67" s="27">
        <v>904.61080000000004</v>
      </c>
      <c r="I67" s="27">
        <v>965.20569999999998</v>
      </c>
      <c r="J67" s="27">
        <v>1023.3419</v>
      </c>
      <c r="K67" s="27">
        <v>876.86180000000002</v>
      </c>
      <c r="L67" s="27">
        <v>772.82029999999997</v>
      </c>
      <c r="M67" s="27">
        <v>748.86270000000002</v>
      </c>
      <c r="N67" s="27">
        <v>714.22140000000002</v>
      </c>
      <c r="O67" s="27">
        <v>636.69309999999996</v>
      </c>
      <c r="P67" s="27">
        <v>539.35709999999995</v>
      </c>
      <c r="Q67" s="27">
        <v>487.67140000000001</v>
      </c>
      <c r="R67" s="27">
        <v>429.73860000000002</v>
      </c>
      <c r="S67" s="27" t="s">
        <v>200</v>
      </c>
      <c r="T67" s="27">
        <v>313.69209999999998</v>
      </c>
      <c r="U67" s="27" t="s">
        <v>200</v>
      </c>
      <c r="V67" s="27">
        <v>275.7176</v>
      </c>
      <c r="W67" s="27" t="s">
        <v>200</v>
      </c>
      <c r="X67" s="27">
        <v>313.47519999999997</v>
      </c>
      <c r="Y67" s="27" t="s">
        <v>200</v>
      </c>
      <c r="Z67" s="27">
        <v>333.24119999999999</v>
      </c>
    </row>
    <row r="68" spans="1:26">
      <c r="A68" s="27" t="s">
        <v>196</v>
      </c>
      <c r="B68" s="27" t="s">
        <v>297</v>
      </c>
      <c r="C68" s="27" t="s">
        <v>198</v>
      </c>
      <c r="D68" s="27" t="s">
        <v>1160</v>
      </c>
      <c r="E68" s="27" t="s">
        <v>83</v>
      </c>
      <c r="F68" s="27" t="s">
        <v>200</v>
      </c>
      <c r="G68" s="27" t="s">
        <v>200</v>
      </c>
      <c r="H68" s="27">
        <v>917.85889999999995</v>
      </c>
      <c r="I68" s="27">
        <v>988.56569999999999</v>
      </c>
      <c r="J68" s="27">
        <v>1068.7311999999999</v>
      </c>
      <c r="K68" s="27">
        <v>830.51639999999998</v>
      </c>
      <c r="L68" s="27">
        <v>649.46469999999999</v>
      </c>
      <c r="M68" s="27">
        <v>620.62559999999996</v>
      </c>
      <c r="N68" s="27">
        <v>596.33969999999999</v>
      </c>
      <c r="O68" s="27">
        <v>539.69439999999997</v>
      </c>
      <c r="P68" s="27">
        <v>466.50380000000001</v>
      </c>
      <c r="Q68" s="27">
        <v>445.52640000000002</v>
      </c>
      <c r="R68" s="27">
        <v>412.24669999999998</v>
      </c>
      <c r="S68" s="27" t="s">
        <v>200</v>
      </c>
      <c r="T68" s="27">
        <v>339.35879999999997</v>
      </c>
      <c r="U68" s="27" t="s">
        <v>200</v>
      </c>
      <c r="V68" s="27">
        <v>298.40910000000002</v>
      </c>
      <c r="W68" s="27" t="s">
        <v>200</v>
      </c>
      <c r="X68" s="27">
        <v>267.72050000000002</v>
      </c>
      <c r="Y68" s="27" t="s">
        <v>200</v>
      </c>
      <c r="Z68" s="27">
        <v>241.2704</v>
      </c>
    </row>
    <row r="69" spans="1:26">
      <c r="A69" s="27" t="s">
        <v>261</v>
      </c>
      <c r="B69" s="27" t="s">
        <v>298</v>
      </c>
      <c r="C69" s="27" t="s">
        <v>198</v>
      </c>
      <c r="D69" s="27" t="s">
        <v>1160</v>
      </c>
      <c r="E69" s="27" t="s">
        <v>83</v>
      </c>
      <c r="F69" s="27" t="s">
        <v>200</v>
      </c>
      <c r="G69" s="27">
        <v>784.03146330704067</v>
      </c>
      <c r="H69" s="27">
        <v>849.20444635664251</v>
      </c>
      <c r="I69" s="27">
        <v>903.33809146767658</v>
      </c>
      <c r="J69" s="27">
        <v>897.69508984469951</v>
      </c>
      <c r="K69" s="27">
        <v>786.61721071860836</v>
      </c>
      <c r="L69" s="27">
        <v>531.0850184558949</v>
      </c>
      <c r="M69" s="27">
        <v>388.63706791019649</v>
      </c>
      <c r="N69" s="27">
        <v>319.48950452265558</v>
      </c>
      <c r="O69" s="27">
        <v>258.43368250746869</v>
      </c>
      <c r="P69" s="27">
        <v>228.78553818525731</v>
      </c>
      <c r="Q69" s="27">
        <v>207.9441461677186</v>
      </c>
      <c r="R69" s="27">
        <v>187.06301701076131</v>
      </c>
      <c r="S69" s="27">
        <v>171.3656995510313</v>
      </c>
      <c r="T69" s="27">
        <v>162.8227882707537</v>
      </c>
      <c r="U69" s="27">
        <v>147.9027451810052</v>
      </c>
      <c r="V69" s="27">
        <v>146.08696631296149</v>
      </c>
      <c r="W69" s="27">
        <v>141.4887212895344</v>
      </c>
      <c r="X69" s="27">
        <v>126.6097383494444</v>
      </c>
      <c r="Y69" s="27">
        <v>116.1878247029321</v>
      </c>
      <c r="Z69" s="27">
        <v>109.0409936352074</v>
      </c>
    </row>
    <row r="70" spans="1:26">
      <c r="A70" s="27" t="s">
        <v>261</v>
      </c>
      <c r="B70" s="27" t="s">
        <v>299</v>
      </c>
      <c r="C70" s="27" t="s">
        <v>198</v>
      </c>
      <c r="D70" s="27" t="s">
        <v>1160</v>
      </c>
      <c r="E70" s="27" t="s">
        <v>83</v>
      </c>
      <c r="F70" s="27" t="s">
        <v>200</v>
      </c>
      <c r="G70" s="27">
        <v>783.98369444174091</v>
      </c>
      <c r="H70" s="27">
        <v>849.07397178926476</v>
      </c>
      <c r="I70" s="27">
        <v>903.1188230095064</v>
      </c>
      <c r="J70" s="27">
        <v>897.72450047941356</v>
      </c>
      <c r="K70" s="27">
        <v>841.72412304401587</v>
      </c>
      <c r="L70" s="27">
        <v>779.89009001442969</v>
      </c>
      <c r="M70" s="27">
        <v>621.96828195094065</v>
      </c>
      <c r="N70" s="27">
        <v>466.1301798911623</v>
      </c>
      <c r="O70" s="27">
        <v>437.55030194338389</v>
      </c>
      <c r="P70" s="27">
        <v>423.58863342176829</v>
      </c>
      <c r="Q70" s="27">
        <v>409.58233379365203</v>
      </c>
      <c r="R70" s="27">
        <v>403.00353073300721</v>
      </c>
      <c r="S70" s="27">
        <v>403.3561773562501</v>
      </c>
      <c r="T70" s="27">
        <v>394.46123997965628</v>
      </c>
      <c r="U70" s="27">
        <v>374.4300922156001</v>
      </c>
      <c r="V70" s="27">
        <v>372.2951517622443</v>
      </c>
      <c r="W70" s="27">
        <v>374.48399610183549</v>
      </c>
      <c r="X70" s="27">
        <v>356.31749662831362</v>
      </c>
      <c r="Y70" s="27">
        <v>348.80670895600309</v>
      </c>
      <c r="Z70" s="27">
        <v>354.7718460103182</v>
      </c>
    </row>
    <row r="71" spans="1:26">
      <c r="A71" s="27" t="s">
        <v>207</v>
      </c>
      <c r="B71" s="27" t="s">
        <v>267</v>
      </c>
      <c r="C71" s="27" t="s">
        <v>198</v>
      </c>
      <c r="D71" s="27" t="s">
        <v>1160</v>
      </c>
      <c r="E71" s="27" t="s">
        <v>83</v>
      </c>
      <c r="F71" s="27">
        <v>1402.809591315339</v>
      </c>
      <c r="G71" s="27">
        <v>1507.2761685188259</v>
      </c>
      <c r="H71" s="27">
        <v>1613.32512106084</v>
      </c>
      <c r="I71" s="27">
        <v>1720.3259679169371</v>
      </c>
      <c r="J71" s="27">
        <v>1798.1222036849799</v>
      </c>
      <c r="K71" s="27">
        <v>1622.746125926519</v>
      </c>
      <c r="L71" s="27">
        <v>1433.714428530124</v>
      </c>
      <c r="M71" s="27">
        <v>1244.373123938416</v>
      </c>
      <c r="N71" s="27">
        <v>1057.535040938187</v>
      </c>
      <c r="O71" s="27">
        <v>872.14398501010987</v>
      </c>
      <c r="P71" s="27">
        <v>757.85990305139546</v>
      </c>
      <c r="Q71" s="27">
        <v>709.62415749901595</v>
      </c>
      <c r="R71" s="27">
        <v>746.14450006562345</v>
      </c>
      <c r="S71" s="27" t="s">
        <v>200</v>
      </c>
      <c r="T71" s="27">
        <v>817.79890762430591</v>
      </c>
      <c r="U71" s="27" t="s">
        <v>200</v>
      </c>
      <c r="V71" s="27">
        <v>860.84893586411124</v>
      </c>
      <c r="W71" s="27" t="s">
        <v>200</v>
      </c>
      <c r="X71" s="27">
        <v>910.61956856980805</v>
      </c>
      <c r="Y71" s="27" t="s">
        <v>200</v>
      </c>
      <c r="Z71" s="27">
        <v>930.00810289897322</v>
      </c>
    </row>
    <row r="100" spans="3:30">
      <c r="C100" s="3" t="s">
        <v>69</v>
      </c>
      <c r="F100" s="27">
        <f>MEDIAN(F2:F98)</f>
        <v>1402.809591315339</v>
      </c>
      <c r="G100" s="27">
        <f t="shared" ref="G100:Z100" si="0">MEDIAN(G2:G98)</f>
        <v>851.50689999999997</v>
      </c>
      <c r="H100" s="27">
        <f t="shared" si="0"/>
        <v>917.85850000000005</v>
      </c>
      <c r="I100" s="27">
        <f t="shared" si="0"/>
        <v>988.51610000000005</v>
      </c>
      <c r="J100" s="27">
        <f t="shared" si="0"/>
        <v>1025.7628999999999</v>
      </c>
      <c r="K100" s="27">
        <f t="shared" si="0"/>
        <v>865.75360000000001</v>
      </c>
      <c r="L100" s="27">
        <f t="shared" si="0"/>
        <v>725.15014999999994</v>
      </c>
      <c r="M100" s="27">
        <f t="shared" si="0"/>
        <v>648.73910000000001</v>
      </c>
      <c r="N100" s="27">
        <f t="shared" si="0"/>
        <v>594.74199999999996</v>
      </c>
      <c r="O100" s="27">
        <f t="shared" si="0"/>
        <v>536.35760000000005</v>
      </c>
      <c r="P100" s="27">
        <f t="shared" si="0"/>
        <v>461.48950000000002</v>
      </c>
      <c r="Q100" s="27">
        <f t="shared" si="0"/>
        <v>433.99385000000001</v>
      </c>
      <c r="R100" s="27">
        <f t="shared" si="0"/>
        <v>404.31491536650361</v>
      </c>
      <c r="S100" s="27">
        <f t="shared" si="0"/>
        <v>328.01490000000001</v>
      </c>
      <c r="T100" s="27">
        <f t="shared" si="0"/>
        <v>338.6431</v>
      </c>
      <c r="U100" s="27">
        <f t="shared" si="0"/>
        <v>244.6421</v>
      </c>
      <c r="V100" s="27">
        <f t="shared" si="0"/>
        <v>309.01585</v>
      </c>
      <c r="W100" s="27">
        <f t="shared" si="0"/>
        <v>229.83385403359441</v>
      </c>
      <c r="X100" s="27">
        <f t="shared" si="0"/>
        <v>308.79681015679546</v>
      </c>
      <c r="Y100" s="27">
        <f t="shared" si="0"/>
        <v>212.99299999999999</v>
      </c>
      <c r="Z100" s="27">
        <f t="shared" si="0"/>
        <v>331.88549999999998</v>
      </c>
    </row>
    <row r="101" spans="3:30">
      <c r="C101" s="3" t="s">
        <v>72</v>
      </c>
      <c r="F101" s="27">
        <f>_xlfn.PERCENTILE.INC(F2:F98,0.25)</f>
        <v>1402.809591315339</v>
      </c>
      <c r="G101" s="27">
        <f t="shared" ref="G101:Z101" si="1">_xlfn.PERCENTILE.INC(G2:G98,0.25)</f>
        <v>829.57759999999996</v>
      </c>
      <c r="H101" s="27">
        <f t="shared" si="1"/>
        <v>903.94970000000001</v>
      </c>
      <c r="I101" s="27">
        <f t="shared" si="1"/>
        <v>958.87729999999999</v>
      </c>
      <c r="J101" s="27">
        <f t="shared" si="1"/>
        <v>1021.3119</v>
      </c>
      <c r="K101" s="27">
        <f t="shared" si="1"/>
        <v>836.89189999999996</v>
      </c>
      <c r="L101" s="27">
        <f t="shared" si="1"/>
        <v>681.23655000000008</v>
      </c>
      <c r="M101" s="27">
        <f t="shared" si="1"/>
        <v>612.03729999999996</v>
      </c>
      <c r="N101" s="27">
        <f t="shared" si="1"/>
        <v>545.00184999999999</v>
      </c>
      <c r="O101" s="27">
        <f t="shared" si="1"/>
        <v>466.37720000000002</v>
      </c>
      <c r="P101" s="27">
        <f t="shared" si="1"/>
        <v>387.70349999999996</v>
      </c>
      <c r="Q101" s="27">
        <f t="shared" si="1"/>
        <v>345.83497499999999</v>
      </c>
      <c r="R101" s="27">
        <f t="shared" si="1"/>
        <v>316.78575000000001</v>
      </c>
      <c r="S101" s="27">
        <f t="shared" si="1"/>
        <v>171.3656995510313</v>
      </c>
      <c r="T101" s="27">
        <f t="shared" si="1"/>
        <v>259.1041286302513</v>
      </c>
      <c r="U101" s="27">
        <f t="shared" si="1"/>
        <v>153.77115651757649</v>
      </c>
      <c r="V101" s="27">
        <f t="shared" si="1"/>
        <v>244.21272392761966</v>
      </c>
      <c r="W101" s="27">
        <f t="shared" si="1"/>
        <v>152.06780447301799</v>
      </c>
      <c r="X101" s="27">
        <f t="shared" si="1"/>
        <v>227.74709999999999</v>
      </c>
      <c r="Y101" s="27">
        <f t="shared" si="1"/>
        <v>135.82531252630801</v>
      </c>
      <c r="Z101" s="27">
        <f t="shared" si="1"/>
        <v>220.380675</v>
      </c>
    </row>
    <row r="102" spans="3:30">
      <c r="C102" s="3" t="s">
        <v>73</v>
      </c>
      <c r="F102" s="27">
        <f>_xlfn.PERCENTILE.INC(F2:F98,0.75)</f>
        <v>1402.809591315339</v>
      </c>
      <c r="G102" s="27">
        <f t="shared" ref="G102:Z102" si="2">_xlfn.PERCENTILE.INC(G2:G98,0.75)</f>
        <v>919.1825</v>
      </c>
      <c r="H102" s="27">
        <f t="shared" si="2"/>
        <v>1393.07001445846</v>
      </c>
      <c r="I102" s="27">
        <f t="shared" si="2"/>
        <v>1465.1365374625</v>
      </c>
      <c r="J102" s="27">
        <f t="shared" si="2"/>
        <v>1402.2680925980301</v>
      </c>
      <c r="K102" s="27">
        <f t="shared" si="2"/>
        <v>910.05840000000001</v>
      </c>
      <c r="L102" s="27">
        <f t="shared" si="2"/>
        <v>864.88715000000002</v>
      </c>
      <c r="M102" s="27">
        <f t="shared" si="2"/>
        <v>748.86270000000002</v>
      </c>
      <c r="N102" s="27">
        <f t="shared" si="2"/>
        <v>781.27892499999996</v>
      </c>
      <c r="O102" s="27">
        <f t="shared" si="2"/>
        <v>730.72519999999997</v>
      </c>
      <c r="P102" s="27">
        <f t="shared" si="2"/>
        <v>699.72039999999993</v>
      </c>
      <c r="Q102" s="27">
        <f t="shared" si="2"/>
        <v>657.82532500000002</v>
      </c>
      <c r="R102" s="27">
        <f t="shared" si="2"/>
        <v>637.19067500000006</v>
      </c>
      <c r="S102" s="27">
        <f t="shared" si="2"/>
        <v>451.52420000000001</v>
      </c>
      <c r="T102" s="27">
        <f t="shared" si="2"/>
        <v>595.37247500000001</v>
      </c>
      <c r="U102" s="27">
        <f t="shared" si="2"/>
        <v>404.18049999999999</v>
      </c>
      <c r="V102" s="27">
        <f t="shared" si="2"/>
        <v>605.67135000000007</v>
      </c>
      <c r="W102" s="27">
        <f t="shared" si="2"/>
        <v>374.48399610183549</v>
      </c>
      <c r="X102" s="27">
        <f t="shared" si="2"/>
        <v>637.79752500000006</v>
      </c>
      <c r="Y102" s="27">
        <f t="shared" si="2"/>
        <v>357.46850000000001</v>
      </c>
      <c r="Z102" s="27">
        <f t="shared" si="2"/>
        <v>690.68347499999993</v>
      </c>
    </row>
    <row r="104" spans="3:30">
      <c r="F104" s="27">
        <f>MAX(F$2:F$98)</f>
        <v>1442.3587705751199</v>
      </c>
      <c r="G104" s="27">
        <f t="shared" ref="G104:AD104" si="3">MAX(G$2:G$98)</f>
        <v>2526.1886513466002</v>
      </c>
      <c r="H104" s="27">
        <f t="shared" si="3"/>
        <v>2544.9603604117201</v>
      </c>
      <c r="I104" s="27">
        <f t="shared" si="3"/>
        <v>2764.1081031635699</v>
      </c>
      <c r="J104" s="27">
        <f t="shared" si="3"/>
        <v>2830.6345433901802</v>
      </c>
      <c r="K104" s="27">
        <f t="shared" si="3"/>
        <v>2377.58815833378</v>
      </c>
      <c r="L104" s="27">
        <f t="shared" si="3"/>
        <v>2206.7275382580601</v>
      </c>
      <c r="M104" s="27">
        <f t="shared" si="3"/>
        <v>1985.4928516249299</v>
      </c>
      <c r="N104" s="27">
        <f t="shared" si="3"/>
        <v>1878.21968750271</v>
      </c>
      <c r="O104" s="27">
        <f t="shared" si="3"/>
        <v>1802.53013572433</v>
      </c>
      <c r="P104" s="27">
        <f t="shared" si="3"/>
        <v>1777.9319627858499</v>
      </c>
      <c r="Q104" s="27">
        <f t="shared" si="3"/>
        <v>1752.5613828524499</v>
      </c>
      <c r="R104" s="27">
        <f t="shared" si="3"/>
        <v>1725.6956073650499</v>
      </c>
      <c r="S104" s="27">
        <f t="shared" si="3"/>
        <v>1697.0942848874599</v>
      </c>
      <c r="T104" s="27">
        <f t="shared" si="3"/>
        <v>1662.0881268022299</v>
      </c>
      <c r="U104" s="27">
        <f t="shared" si="3"/>
        <v>1630.33678913426</v>
      </c>
      <c r="V104" s="27">
        <f t="shared" si="3"/>
        <v>1604.68030888864</v>
      </c>
      <c r="W104" s="27">
        <f t="shared" si="3"/>
        <v>1581.0355398562499</v>
      </c>
      <c r="X104" s="27">
        <f t="shared" si="3"/>
        <v>1556.8453833799599</v>
      </c>
      <c r="Y104" s="27">
        <f t="shared" si="3"/>
        <v>1529.56671058446</v>
      </c>
      <c r="Z104" s="27">
        <f t="shared" si="3"/>
        <v>1510.50004217776</v>
      </c>
      <c r="AA104" s="27">
        <f t="shared" si="3"/>
        <v>0</v>
      </c>
      <c r="AB104" s="27">
        <f t="shared" si="3"/>
        <v>0</v>
      </c>
      <c r="AC104" s="27">
        <f t="shared" si="3"/>
        <v>0</v>
      </c>
      <c r="AD104" s="27">
        <f t="shared" si="3"/>
        <v>0</v>
      </c>
    </row>
    <row r="105" spans="3:30">
      <c r="F105" s="27">
        <f>MEDIAN(F$2:F$98)</f>
        <v>1402.809591315339</v>
      </c>
      <c r="G105" s="27">
        <f t="shared" ref="G105:AD105" si="4">MEDIAN(G$2:G$98)</f>
        <v>851.50689999999997</v>
      </c>
      <c r="H105" s="27">
        <f t="shared" si="4"/>
        <v>917.85850000000005</v>
      </c>
      <c r="I105" s="27">
        <f t="shared" si="4"/>
        <v>988.51610000000005</v>
      </c>
      <c r="J105" s="27">
        <f t="shared" si="4"/>
        <v>1025.7628999999999</v>
      </c>
      <c r="K105" s="27">
        <f t="shared" si="4"/>
        <v>865.75360000000001</v>
      </c>
      <c r="L105" s="27">
        <f t="shared" si="4"/>
        <v>725.15014999999994</v>
      </c>
      <c r="M105" s="27">
        <f t="shared" si="4"/>
        <v>648.73910000000001</v>
      </c>
      <c r="N105" s="27">
        <f t="shared" si="4"/>
        <v>594.74199999999996</v>
      </c>
      <c r="O105" s="27">
        <f t="shared" si="4"/>
        <v>536.35760000000005</v>
      </c>
      <c r="P105" s="27">
        <f t="shared" si="4"/>
        <v>461.48950000000002</v>
      </c>
      <c r="Q105" s="27">
        <f t="shared" si="4"/>
        <v>433.99385000000001</v>
      </c>
      <c r="R105" s="27">
        <f t="shared" si="4"/>
        <v>404.31491536650361</v>
      </c>
      <c r="S105" s="27">
        <f t="shared" si="4"/>
        <v>328.01490000000001</v>
      </c>
      <c r="T105" s="27">
        <f t="shared" si="4"/>
        <v>338.6431</v>
      </c>
      <c r="U105" s="27">
        <f t="shared" si="4"/>
        <v>244.6421</v>
      </c>
      <c r="V105" s="27">
        <f t="shared" si="4"/>
        <v>309.01585</v>
      </c>
      <c r="W105" s="27">
        <f t="shared" si="4"/>
        <v>229.83385403359441</v>
      </c>
      <c r="X105" s="27">
        <f t="shared" si="4"/>
        <v>308.79681015679546</v>
      </c>
      <c r="Y105" s="27">
        <f t="shared" si="4"/>
        <v>212.99299999999999</v>
      </c>
      <c r="Z105" s="27">
        <f t="shared" si="4"/>
        <v>331.88549999999998</v>
      </c>
      <c r="AA105" s="27" t="e">
        <f t="shared" si="4"/>
        <v>#NUM!</v>
      </c>
      <c r="AB105" s="27" t="e">
        <f t="shared" si="4"/>
        <v>#NUM!</v>
      </c>
      <c r="AC105" s="27" t="e">
        <f t="shared" si="4"/>
        <v>#NUM!</v>
      </c>
      <c r="AD105" s="27" t="e">
        <f t="shared" si="4"/>
        <v>#NUM!</v>
      </c>
    </row>
    <row r="106" spans="3:30">
      <c r="F106" s="27">
        <f>MIN(F$2:F$98)</f>
        <v>1402.809591315339</v>
      </c>
      <c r="G106" s="27">
        <f t="shared" ref="G106:AD106" si="5">MIN(G$2:G$98)</f>
        <v>783.98369444174091</v>
      </c>
      <c r="H106" s="27">
        <f t="shared" si="5"/>
        <v>849.07397178926476</v>
      </c>
      <c r="I106" s="27">
        <f t="shared" si="5"/>
        <v>903.1188230095064</v>
      </c>
      <c r="J106" s="27">
        <f t="shared" si="5"/>
        <v>896.639585250457</v>
      </c>
      <c r="K106" s="27">
        <f t="shared" si="5"/>
        <v>601.43008451884373</v>
      </c>
      <c r="L106" s="27">
        <f t="shared" si="5"/>
        <v>401.06721932336887</v>
      </c>
      <c r="M106" s="27">
        <f t="shared" si="5"/>
        <v>261.80034256102851</v>
      </c>
      <c r="N106" s="27">
        <f t="shared" si="5"/>
        <v>216.5147036042934</v>
      </c>
      <c r="O106" s="27">
        <f t="shared" si="5"/>
        <v>179.31756992158839</v>
      </c>
      <c r="P106" s="27">
        <f t="shared" si="5"/>
        <v>155.9592430230868</v>
      </c>
      <c r="Q106" s="27">
        <f t="shared" si="5"/>
        <v>142.5031536729976</v>
      </c>
      <c r="R106" s="27">
        <f t="shared" si="5"/>
        <v>148.8488167460265</v>
      </c>
      <c r="S106" s="27">
        <f t="shared" si="5"/>
        <v>147.87143232189439</v>
      </c>
      <c r="T106" s="27">
        <f t="shared" si="5"/>
        <v>131.45085984150131</v>
      </c>
      <c r="U106" s="27">
        <f t="shared" si="5"/>
        <v>114.24820327509021</v>
      </c>
      <c r="V106" s="27">
        <f t="shared" si="5"/>
        <v>100.29647903622561</v>
      </c>
      <c r="W106" s="27">
        <f t="shared" si="5"/>
        <v>93.170118818461916</v>
      </c>
      <c r="X106" s="27">
        <f t="shared" si="5"/>
        <v>90.99048764643284</v>
      </c>
      <c r="Y106" s="27">
        <f t="shared" si="5"/>
        <v>89.179771349658765</v>
      </c>
      <c r="Z106" s="27">
        <f t="shared" si="5"/>
        <v>85.413838422543193</v>
      </c>
      <c r="AA106" s="27">
        <f t="shared" si="5"/>
        <v>0</v>
      </c>
      <c r="AB106" s="27">
        <f t="shared" si="5"/>
        <v>0</v>
      </c>
      <c r="AC106" s="27">
        <f t="shared" si="5"/>
        <v>0</v>
      </c>
      <c r="AD106" s="27">
        <f t="shared" si="5"/>
        <v>0</v>
      </c>
    </row>
  </sheetData>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CAC9B7-808C-4C48-899D-8CA64013C583}">
  <sheetPr codeName="Sheet40">
    <tabColor theme="7" tint="0.79998168889431442"/>
  </sheetPr>
  <dimension ref="A1:AD106"/>
  <sheetViews>
    <sheetView workbookViewId="0">
      <pane ySplit="1" topLeftCell="A83" activePane="bottomLeft" state="frozen"/>
      <selection pane="bottomLeft" activeCell="F104" sqref="F104:AD106"/>
      <selection activeCell="P95" sqref="P95"/>
    </sheetView>
  </sheetViews>
  <sheetFormatPr defaultColWidth="9.140625" defaultRowHeight="15.75"/>
  <cols>
    <col min="1" max="16384" width="9.140625" style="27"/>
  </cols>
  <sheetData>
    <row r="1" spans="1:25">
      <c r="A1" s="27" t="s">
        <v>193</v>
      </c>
      <c r="B1" s="27" t="s">
        <v>194</v>
      </c>
      <c r="C1" s="27" t="s">
        <v>195</v>
      </c>
      <c r="D1" s="27" t="s">
        <v>64</v>
      </c>
      <c r="E1" s="27" t="s">
        <v>65</v>
      </c>
      <c r="F1" s="27">
        <v>2005</v>
      </c>
      <c r="G1" s="27">
        <v>2010</v>
      </c>
      <c r="H1" s="27">
        <v>2015</v>
      </c>
      <c r="I1" s="27">
        <v>2020</v>
      </c>
      <c r="J1" s="27">
        <v>2025</v>
      </c>
      <c r="K1" s="27">
        <v>2030</v>
      </c>
      <c r="L1" s="27">
        <v>2035</v>
      </c>
      <c r="M1" s="27">
        <v>2040</v>
      </c>
      <c r="N1" s="27">
        <v>2045</v>
      </c>
      <c r="O1" s="27">
        <v>2050</v>
      </c>
      <c r="P1" s="27">
        <v>2055</v>
      </c>
      <c r="Q1" s="27">
        <v>2060</v>
      </c>
      <c r="R1" s="27">
        <v>2065</v>
      </c>
      <c r="S1" s="27">
        <v>2070</v>
      </c>
      <c r="T1" s="27">
        <v>2075</v>
      </c>
      <c r="U1" s="27">
        <v>2080</v>
      </c>
      <c r="V1" s="27">
        <v>2085</v>
      </c>
      <c r="W1" s="27">
        <v>2090</v>
      </c>
      <c r="X1" s="27">
        <v>2095</v>
      </c>
      <c r="Y1" s="27">
        <v>2100</v>
      </c>
    </row>
    <row r="2" spans="1:25">
      <c r="A2" s="27" t="s">
        <v>203</v>
      </c>
      <c r="B2" s="27" t="s">
        <v>204</v>
      </c>
      <c r="C2" s="27" t="s">
        <v>198</v>
      </c>
      <c r="D2" s="27" t="s">
        <v>1161</v>
      </c>
      <c r="E2" s="27" t="s">
        <v>83</v>
      </c>
      <c r="F2" s="27">
        <v>1210.0943</v>
      </c>
      <c r="G2" s="27">
        <v>1047.9066</v>
      </c>
      <c r="H2" s="27">
        <v>1135.6108999999999</v>
      </c>
      <c r="I2" s="27">
        <v>1261.079</v>
      </c>
      <c r="J2" s="27">
        <v>962.65269999999998</v>
      </c>
      <c r="K2" s="27">
        <v>595.63520000000005</v>
      </c>
      <c r="L2" s="27">
        <v>219.4246</v>
      </c>
      <c r="M2" s="27">
        <v>87.600300000000004</v>
      </c>
      <c r="N2" s="27">
        <v>83.461299999999994</v>
      </c>
      <c r="O2" s="27">
        <v>78.543400000000005</v>
      </c>
      <c r="P2" s="27">
        <v>69.994200000000006</v>
      </c>
      <c r="Q2" s="27">
        <v>59.867100000000001</v>
      </c>
      <c r="R2" s="27" t="s">
        <v>200</v>
      </c>
      <c r="S2" s="27">
        <v>52.654499999999999</v>
      </c>
      <c r="T2" s="27" t="s">
        <v>200</v>
      </c>
      <c r="U2" s="27">
        <v>51.837400000000002</v>
      </c>
      <c r="V2" s="27" t="s">
        <v>200</v>
      </c>
      <c r="W2" s="27">
        <v>49.515999999999998</v>
      </c>
      <c r="X2" s="27" t="s">
        <v>200</v>
      </c>
      <c r="Y2" s="27">
        <v>45.7241</v>
      </c>
    </row>
    <row r="3" spans="1:25">
      <c r="A3" s="27" t="s">
        <v>209</v>
      </c>
      <c r="B3" s="27" t="s">
        <v>210</v>
      </c>
      <c r="C3" s="27" t="s">
        <v>198</v>
      </c>
      <c r="D3" s="27" t="s">
        <v>1161</v>
      </c>
      <c r="E3" s="27" t="s">
        <v>83</v>
      </c>
      <c r="F3" s="27" t="s">
        <v>200</v>
      </c>
      <c r="G3" s="27">
        <v>1468.6513</v>
      </c>
      <c r="H3" s="27">
        <v>1530.3797999999999</v>
      </c>
      <c r="I3" s="27">
        <v>1584.9709</v>
      </c>
      <c r="J3" s="27">
        <v>514.17759999999998</v>
      </c>
      <c r="K3" s="27">
        <v>389.6040999999999</v>
      </c>
      <c r="L3" s="27">
        <v>287.03339999999997</v>
      </c>
      <c r="M3" s="27">
        <v>229.84179999999989</v>
      </c>
      <c r="N3" s="27">
        <v>212.55539999999999</v>
      </c>
      <c r="O3" s="27">
        <v>214.22219999999999</v>
      </c>
      <c r="P3" s="27">
        <v>207.119</v>
      </c>
      <c r="Q3" s="27">
        <v>178.00290000000001</v>
      </c>
      <c r="R3" s="27">
        <v>158.34970000000001</v>
      </c>
      <c r="S3" s="27">
        <v>161.96369999999999</v>
      </c>
      <c r="T3" s="27">
        <v>164.82300000000001</v>
      </c>
      <c r="U3" s="27">
        <v>158.5557</v>
      </c>
      <c r="V3" s="27">
        <v>159.8426</v>
      </c>
      <c r="W3" s="27">
        <v>162.2312</v>
      </c>
      <c r="X3" s="27">
        <v>164.54700000000011</v>
      </c>
      <c r="Y3" s="27">
        <v>166.64439999999999</v>
      </c>
    </row>
    <row r="4" spans="1:25">
      <c r="A4" s="27" t="s">
        <v>196</v>
      </c>
      <c r="B4" s="27" t="s">
        <v>213</v>
      </c>
      <c r="C4" s="27" t="s">
        <v>198</v>
      </c>
      <c r="D4" s="27" t="s">
        <v>1161</v>
      </c>
      <c r="E4" s="27" t="s">
        <v>83</v>
      </c>
      <c r="F4" s="27">
        <v>1210.0943</v>
      </c>
      <c r="G4" s="27">
        <v>1047.9066</v>
      </c>
      <c r="H4" s="27">
        <v>1135.6108999999999</v>
      </c>
      <c r="I4" s="27">
        <v>1261.079</v>
      </c>
      <c r="J4" s="27">
        <v>962.65269999999998</v>
      </c>
      <c r="K4" s="27">
        <v>595.63520000000005</v>
      </c>
      <c r="L4" s="27">
        <v>219.4246</v>
      </c>
      <c r="M4" s="27">
        <v>87.600300000000004</v>
      </c>
      <c r="N4" s="27">
        <v>83.461299999999994</v>
      </c>
      <c r="O4" s="27">
        <v>78.543400000000005</v>
      </c>
      <c r="P4" s="27">
        <v>69.994200000000006</v>
      </c>
      <c r="Q4" s="27">
        <v>59.867100000000001</v>
      </c>
      <c r="R4" s="27" t="s">
        <v>200</v>
      </c>
      <c r="S4" s="27">
        <v>52.654499999999999</v>
      </c>
      <c r="T4" s="27" t="s">
        <v>200</v>
      </c>
      <c r="U4" s="27">
        <v>51.837400000000002</v>
      </c>
      <c r="V4" s="27" t="s">
        <v>200</v>
      </c>
      <c r="W4" s="27">
        <v>49.515999999999998</v>
      </c>
      <c r="X4" s="27" t="s">
        <v>200</v>
      </c>
      <c r="Y4" s="27">
        <v>45.7241</v>
      </c>
    </row>
    <row r="5" spans="1:25">
      <c r="A5" s="27" t="s">
        <v>222</v>
      </c>
      <c r="B5" s="27" t="s">
        <v>223</v>
      </c>
      <c r="C5" s="27" t="s">
        <v>198</v>
      </c>
      <c r="D5" s="27" t="s">
        <v>1161</v>
      </c>
      <c r="E5" s="27" t="s">
        <v>83</v>
      </c>
      <c r="F5" s="27">
        <v>1210.0943</v>
      </c>
      <c r="G5" s="27">
        <v>1047.9066</v>
      </c>
      <c r="H5" s="27">
        <v>1135.6108999999999</v>
      </c>
      <c r="I5" s="27">
        <v>1133.1875</v>
      </c>
      <c r="J5" s="27">
        <v>821.70420000000001</v>
      </c>
      <c r="K5" s="27">
        <v>444.11840000000001</v>
      </c>
      <c r="L5" s="27">
        <v>99.8005</v>
      </c>
      <c r="M5" s="27">
        <v>87.600300000000004</v>
      </c>
      <c r="N5" s="27">
        <v>83.461299999999994</v>
      </c>
      <c r="O5" s="27">
        <v>78.543400000000005</v>
      </c>
      <c r="P5" s="27">
        <v>69.994200000000006</v>
      </c>
      <c r="Q5" s="27">
        <v>59.867100000000001</v>
      </c>
      <c r="R5" s="27" t="s">
        <v>200</v>
      </c>
      <c r="S5" s="27">
        <v>52.654499999999999</v>
      </c>
      <c r="T5" s="27" t="s">
        <v>200</v>
      </c>
      <c r="U5" s="27">
        <v>51.837400000000002</v>
      </c>
      <c r="V5" s="27" t="s">
        <v>200</v>
      </c>
      <c r="W5" s="27">
        <v>49.515999999999998</v>
      </c>
      <c r="X5" s="27" t="s">
        <v>200</v>
      </c>
      <c r="Y5" s="27">
        <v>45.7241</v>
      </c>
    </row>
    <row r="6" spans="1:25">
      <c r="A6" s="27" t="s">
        <v>226</v>
      </c>
      <c r="B6" s="27" t="s">
        <v>227</v>
      </c>
      <c r="C6" s="27" t="s">
        <v>198</v>
      </c>
      <c r="D6" s="27" t="s">
        <v>1161</v>
      </c>
      <c r="E6" s="27" t="s">
        <v>83</v>
      </c>
      <c r="F6" s="27">
        <v>1336.9242999999999</v>
      </c>
      <c r="G6" s="27">
        <v>1195.3153</v>
      </c>
      <c r="H6" s="27">
        <v>1342.1107</v>
      </c>
      <c r="I6" s="27">
        <v>1100.19</v>
      </c>
      <c r="J6" s="27">
        <v>797.37210000000005</v>
      </c>
      <c r="K6" s="27">
        <v>430.6619</v>
      </c>
      <c r="L6" s="27">
        <v>96.0565</v>
      </c>
      <c r="M6" s="27">
        <v>85.624600000000001</v>
      </c>
      <c r="N6" s="27">
        <v>82.077100000000002</v>
      </c>
      <c r="O6" s="27">
        <v>77.741500000000002</v>
      </c>
      <c r="P6" s="27">
        <v>69.815899999999999</v>
      </c>
      <c r="Q6" s="27">
        <v>60.146700000000003</v>
      </c>
      <c r="R6" s="27" t="s">
        <v>200</v>
      </c>
      <c r="S6" s="27">
        <v>53.629399999999997</v>
      </c>
      <c r="T6" s="27" t="s">
        <v>200</v>
      </c>
      <c r="U6" s="27">
        <v>53.293599999999998</v>
      </c>
      <c r="V6" s="27" t="s">
        <v>200</v>
      </c>
      <c r="W6" s="27">
        <v>51.207700000000003</v>
      </c>
      <c r="X6" s="27" t="s">
        <v>200</v>
      </c>
      <c r="Y6" s="27">
        <v>47.365299999999998</v>
      </c>
    </row>
    <row r="7" spans="1:25">
      <c r="A7" s="27" t="s">
        <v>226</v>
      </c>
      <c r="B7" s="27" t="s">
        <v>228</v>
      </c>
      <c r="C7" s="27" t="s">
        <v>198</v>
      </c>
      <c r="D7" s="27" t="s">
        <v>1161</v>
      </c>
      <c r="E7" s="27" t="s">
        <v>83</v>
      </c>
      <c r="F7" s="27">
        <v>1336.9242999999999</v>
      </c>
      <c r="G7" s="27">
        <v>1195.3153</v>
      </c>
      <c r="H7" s="27">
        <v>1342.1107</v>
      </c>
      <c r="I7" s="27">
        <v>1100.19</v>
      </c>
      <c r="J7" s="27">
        <v>797.37210000000005</v>
      </c>
      <c r="K7" s="27">
        <v>430.6619</v>
      </c>
      <c r="L7" s="27">
        <v>96.0565</v>
      </c>
      <c r="M7" s="27">
        <v>85.624600000000001</v>
      </c>
      <c r="N7" s="27">
        <v>82.077100000000002</v>
      </c>
      <c r="O7" s="27">
        <v>77.741500000000002</v>
      </c>
      <c r="P7" s="27">
        <v>69.815899999999999</v>
      </c>
      <c r="Q7" s="27">
        <v>60.146700000000003</v>
      </c>
      <c r="R7" s="27" t="s">
        <v>200</v>
      </c>
      <c r="S7" s="27">
        <v>53.629399999999997</v>
      </c>
      <c r="T7" s="27" t="s">
        <v>200</v>
      </c>
      <c r="U7" s="27">
        <v>53.293599999999998</v>
      </c>
      <c r="V7" s="27" t="s">
        <v>200</v>
      </c>
      <c r="W7" s="27">
        <v>51.207700000000003</v>
      </c>
      <c r="X7" s="27" t="s">
        <v>200</v>
      </c>
      <c r="Y7" s="27">
        <v>47.365299999999998</v>
      </c>
    </row>
    <row r="8" spans="1:25">
      <c r="A8" s="27" t="s">
        <v>226</v>
      </c>
      <c r="B8" s="27" t="s">
        <v>234</v>
      </c>
      <c r="C8" s="27" t="s">
        <v>198</v>
      </c>
      <c r="D8" s="27" t="s">
        <v>1161</v>
      </c>
      <c r="E8" s="27" t="s">
        <v>83</v>
      </c>
      <c r="F8" s="27">
        <v>1336.9242999999999</v>
      </c>
      <c r="G8" s="27">
        <v>1195.3153</v>
      </c>
      <c r="H8" s="27">
        <v>1342.1107</v>
      </c>
      <c r="I8" s="27">
        <v>1100.19</v>
      </c>
      <c r="J8" s="27">
        <v>797.37210000000005</v>
      </c>
      <c r="K8" s="27">
        <v>430.6619</v>
      </c>
      <c r="L8" s="27">
        <v>96.0565</v>
      </c>
      <c r="M8" s="27">
        <v>85.624600000000001</v>
      </c>
      <c r="N8" s="27">
        <v>82.077100000000002</v>
      </c>
      <c r="O8" s="27">
        <v>77.741500000000002</v>
      </c>
      <c r="P8" s="27">
        <v>69.815899999999999</v>
      </c>
      <c r="Q8" s="27">
        <v>60.146700000000003</v>
      </c>
      <c r="R8" s="27" t="s">
        <v>200</v>
      </c>
      <c r="S8" s="27">
        <v>53.629399999999997</v>
      </c>
      <c r="T8" s="27" t="s">
        <v>200</v>
      </c>
      <c r="U8" s="27">
        <v>53.293599999999998</v>
      </c>
      <c r="V8" s="27" t="s">
        <v>200</v>
      </c>
      <c r="W8" s="27">
        <v>51.207700000000003</v>
      </c>
      <c r="X8" s="27" t="s">
        <v>200</v>
      </c>
      <c r="Y8" s="27">
        <v>47.365299999999998</v>
      </c>
    </row>
    <row r="9" spans="1:25">
      <c r="A9" s="27" t="s">
        <v>203</v>
      </c>
      <c r="B9" s="27" t="s">
        <v>249</v>
      </c>
      <c r="C9" s="27" t="s">
        <v>198</v>
      </c>
      <c r="D9" s="27" t="s">
        <v>1161</v>
      </c>
      <c r="E9" s="27" t="s">
        <v>83</v>
      </c>
      <c r="F9" s="27">
        <v>1210.0943</v>
      </c>
      <c r="G9" s="27">
        <v>1047.9066</v>
      </c>
      <c r="H9" s="27">
        <v>1135.6108999999999</v>
      </c>
      <c r="I9" s="27">
        <v>1261.079</v>
      </c>
      <c r="J9" s="27">
        <v>949.19920000000002</v>
      </c>
      <c r="K9" s="27">
        <v>583.40920000000006</v>
      </c>
      <c r="L9" s="27">
        <v>212.24760000000001</v>
      </c>
      <c r="M9" s="27">
        <v>87.600300000000004</v>
      </c>
      <c r="N9" s="27">
        <v>83.461299999999994</v>
      </c>
      <c r="O9" s="27">
        <v>78.543400000000005</v>
      </c>
      <c r="P9" s="27">
        <v>69.994200000000006</v>
      </c>
      <c r="Q9" s="27">
        <v>59.867100000000001</v>
      </c>
      <c r="R9" s="27" t="s">
        <v>200</v>
      </c>
      <c r="S9" s="27">
        <v>52.654499999999999</v>
      </c>
      <c r="T9" s="27" t="s">
        <v>200</v>
      </c>
      <c r="U9" s="27">
        <v>51.837400000000002</v>
      </c>
      <c r="V9" s="27" t="s">
        <v>200</v>
      </c>
      <c r="W9" s="27">
        <v>57.131700000000002</v>
      </c>
      <c r="X9" s="27" t="s">
        <v>200</v>
      </c>
      <c r="Y9" s="27">
        <v>54.325800000000001</v>
      </c>
    </row>
    <row r="10" spans="1:25">
      <c r="A10" s="27" t="s">
        <v>196</v>
      </c>
      <c r="B10" s="27" t="s">
        <v>250</v>
      </c>
      <c r="C10" s="27" t="s">
        <v>198</v>
      </c>
      <c r="D10" s="27" t="s">
        <v>1161</v>
      </c>
      <c r="E10" s="27" t="s">
        <v>83</v>
      </c>
      <c r="F10" s="27">
        <v>1210.0943</v>
      </c>
      <c r="G10" s="27">
        <v>1047.9066</v>
      </c>
      <c r="H10" s="27">
        <v>1135.6108999999999</v>
      </c>
      <c r="I10" s="27">
        <v>1261.079</v>
      </c>
      <c r="J10" s="27">
        <v>962.65269999999998</v>
      </c>
      <c r="K10" s="27">
        <v>595.63520000000005</v>
      </c>
      <c r="L10" s="27">
        <v>219.4246</v>
      </c>
      <c r="M10" s="27">
        <v>87.600300000000004</v>
      </c>
      <c r="N10" s="27">
        <v>83.461299999999994</v>
      </c>
      <c r="O10" s="27">
        <v>78.543400000000005</v>
      </c>
      <c r="P10" s="27">
        <v>69.994200000000006</v>
      </c>
      <c r="Q10" s="27">
        <v>59.867100000000001</v>
      </c>
      <c r="R10" s="27" t="s">
        <v>200</v>
      </c>
      <c r="S10" s="27">
        <v>52.654499999999999</v>
      </c>
      <c r="T10" s="27" t="s">
        <v>200</v>
      </c>
      <c r="U10" s="27">
        <v>51.837400000000002</v>
      </c>
      <c r="V10" s="27" t="s">
        <v>200</v>
      </c>
      <c r="W10" s="27">
        <v>49.515999999999998</v>
      </c>
      <c r="X10" s="27" t="s">
        <v>200</v>
      </c>
      <c r="Y10" s="27">
        <v>45.7241</v>
      </c>
    </row>
    <row r="11" spans="1:25">
      <c r="A11" s="27" t="s">
        <v>203</v>
      </c>
      <c r="B11" s="27" t="s">
        <v>251</v>
      </c>
      <c r="C11" s="27" t="s">
        <v>198</v>
      </c>
      <c r="D11" s="27" t="s">
        <v>1161</v>
      </c>
      <c r="E11" s="27" t="s">
        <v>83</v>
      </c>
      <c r="F11" s="27">
        <v>1210.0943</v>
      </c>
      <c r="G11" s="27">
        <v>1047.9066</v>
      </c>
      <c r="H11" s="27">
        <v>1135.6108999999999</v>
      </c>
      <c r="I11" s="27">
        <v>1261.079</v>
      </c>
      <c r="J11" s="27">
        <v>962.65269999999998</v>
      </c>
      <c r="K11" s="27">
        <v>595.63520000000005</v>
      </c>
      <c r="L11" s="27">
        <v>219.4246</v>
      </c>
      <c r="M11" s="27">
        <v>87.600300000000004</v>
      </c>
      <c r="N11" s="27">
        <v>83.461299999999994</v>
      </c>
      <c r="O11" s="27">
        <v>78.543400000000005</v>
      </c>
      <c r="P11" s="27">
        <v>69.994200000000006</v>
      </c>
      <c r="Q11" s="27">
        <v>59.867100000000001</v>
      </c>
      <c r="R11" s="27" t="s">
        <v>200</v>
      </c>
      <c r="S11" s="27">
        <v>52.654499999999999</v>
      </c>
      <c r="T11" s="27" t="s">
        <v>200</v>
      </c>
      <c r="U11" s="27">
        <v>51.837400000000002</v>
      </c>
      <c r="V11" s="27" t="s">
        <v>200</v>
      </c>
      <c r="W11" s="27">
        <v>49.515999999999998</v>
      </c>
      <c r="X11" s="27" t="s">
        <v>200</v>
      </c>
      <c r="Y11" s="27">
        <v>45.7241</v>
      </c>
    </row>
    <row r="12" spans="1:25">
      <c r="A12" s="27" t="s">
        <v>261</v>
      </c>
      <c r="B12" s="27" t="s">
        <v>262</v>
      </c>
      <c r="C12" s="27" t="s">
        <v>198</v>
      </c>
      <c r="D12" s="27" t="s">
        <v>1161</v>
      </c>
      <c r="E12" s="27" t="s">
        <v>83</v>
      </c>
      <c r="F12" s="27">
        <v>1494.363060611799</v>
      </c>
      <c r="G12" s="27">
        <v>1467.315298770181</v>
      </c>
      <c r="H12" s="27">
        <v>1491.971620084671</v>
      </c>
      <c r="I12" s="27">
        <v>1279.445784083608</v>
      </c>
      <c r="J12" s="27">
        <v>944.48722234580157</v>
      </c>
      <c r="K12" s="27">
        <v>381.25324238869757</v>
      </c>
      <c r="L12" s="27">
        <v>170.56458758062081</v>
      </c>
      <c r="M12" s="27">
        <v>138.6417554579412</v>
      </c>
      <c r="N12" s="27">
        <v>112.89286184638</v>
      </c>
      <c r="O12" s="27">
        <v>85.431343187295539</v>
      </c>
      <c r="P12" s="27">
        <v>91.256077243405898</v>
      </c>
      <c r="Q12" s="27">
        <v>94.882635639914284</v>
      </c>
      <c r="R12" s="27">
        <v>99.97799883397802</v>
      </c>
      <c r="S12" s="27">
        <v>103.669724265844</v>
      </c>
      <c r="T12" s="27">
        <v>106.91580599185031</v>
      </c>
      <c r="U12" s="27">
        <v>105.20215648949529</v>
      </c>
      <c r="V12" s="27">
        <v>95.790858753509966</v>
      </c>
      <c r="W12" s="27">
        <v>91.536092946088047</v>
      </c>
      <c r="X12" s="27">
        <v>93.942484659732202</v>
      </c>
      <c r="Y12" s="27">
        <v>92.459179435786197</v>
      </c>
    </row>
    <row r="13" spans="1:25">
      <c r="A13" s="27" t="s">
        <v>196</v>
      </c>
      <c r="B13" s="27" t="s">
        <v>264</v>
      </c>
      <c r="C13" s="27" t="s">
        <v>198</v>
      </c>
      <c r="D13" s="27" t="s">
        <v>1161</v>
      </c>
      <c r="E13" s="27" t="s">
        <v>83</v>
      </c>
      <c r="F13" s="27">
        <v>1210.0943</v>
      </c>
      <c r="G13" s="27">
        <v>1047.9066</v>
      </c>
      <c r="H13" s="27">
        <v>1135.6108999999999</v>
      </c>
      <c r="I13" s="27">
        <v>1261.079</v>
      </c>
      <c r="J13" s="27">
        <v>962.65269999999998</v>
      </c>
      <c r="K13" s="27">
        <v>595.63520000000005</v>
      </c>
      <c r="L13" s="27">
        <v>219.4246</v>
      </c>
      <c r="M13" s="27">
        <v>87.600300000000004</v>
      </c>
      <c r="N13" s="27">
        <v>83.461299999999994</v>
      </c>
      <c r="O13" s="27">
        <v>78.543400000000005</v>
      </c>
      <c r="P13" s="27">
        <v>69.994200000000006</v>
      </c>
      <c r="Q13" s="27">
        <v>59.867100000000001</v>
      </c>
      <c r="R13" s="27" t="s">
        <v>200</v>
      </c>
      <c r="S13" s="27">
        <v>52.654499999999999</v>
      </c>
      <c r="T13" s="27" t="s">
        <v>200</v>
      </c>
      <c r="U13" s="27">
        <v>51.837400000000002</v>
      </c>
      <c r="V13" s="27" t="s">
        <v>200</v>
      </c>
      <c r="W13" s="27">
        <v>49.515999999999998</v>
      </c>
      <c r="X13" s="27" t="s">
        <v>200</v>
      </c>
      <c r="Y13" s="27">
        <v>45.7241</v>
      </c>
    </row>
    <row r="14" spans="1:25">
      <c r="A14" s="27" t="s">
        <v>226</v>
      </c>
      <c r="B14" s="27" t="s">
        <v>243</v>
      </c>
      <c r="C14" s="27" t="s">
        <v>198</v>
      </c>
      <c r="D14" s="27" t="s">
        <v>1161</v>
      </c>
      <c r="E14" s="27" t="s">
        <v>83</v>
      </c>
      <c r="F14" s="27">
        <v>1336.9242999999999</v>
      </c>
      <c r="G14" s="27">
        <v>1195.3153</v>
      </c>
      <c r="H14" s="27">
        <v>1342.1107</v>
      </c>
      <c r="I14" s="27">
        <v>1219.6995999999999</v>
      </c>
      <c r="J14" s="27">
        <v>900.29139999999995</v>
      </c>
      <c r="K14" s="27">
        <v>516.1961</v>
      </c>
      <c r="L14" s="27">
        <v>151.92850000000001</v>
      </c>
      <c r="M14" s="27">
        <v>85.624600000000001</v>
      </c>
      <c r="N14" s="27">
        <v>82.077100000000002</v>
      </c>
      <c r="O14" s="27">
        <v>77.741500000000002</v>
      </c>
      <c r="P14" s="27">
        <v>69.815899999999999</v>
      </c>
      <c r="Q14" s="27">
        <v>60.146700000000003</v>
      </c>
      <c r="R14" s="27" t="s">
        <v>200</v>
      </c>
      <c r="S14" s="27">
        <v>53.629399999999997</v>
      </c>
      <c r="T14" s="27" t="s">
        <v>200</v>
      </c>
      <c r="U14" s="27">
        <v>53.293599999999998</v>
      </c>
      <c r="V14" s="27" t="s">
        <v>200</v>
      </c>
      <c r="W14" s="27">
        <v>51.207700000000003</v>
      </c>
      <c r="X14" s="27" t="s">
        <v>200</v>
      </c>
      <c r="Y14" s="27">
        <v>47.365299999999998</v>
      </c>
    </row>
    <row r="15" spans="1:25">
      <c r="A15" s="27" t="s">
        <v>222</v>
      </c>
      <c r="B15" s="27" t="s">
        <v>269</v>
      </c>
      <c r="C15" s="27" t="s">
        <v>198</v>
      </c>
      <c r="D15" s="27" t="s">
        <v>1161</v>
      </c>
      <c r="E15" s="27" t="s">
        <v>83</v>
      </c>
      <c r="F15" s="27">
        <v>1210.0943</v>
      </c>
      <c r="G15" s="27">
        <v>1047.9066</v>
      </c>
      <c r="H15" s="27">
        <v>1135.6108999999999</v>
      </c>
      <c r="I15" s="27">
        <v>1133.1875</v>
      </c>
      <c r="J15" s="27">
        <v>821.70420000000001</v>
      </c>
      <c r="K15" s="27">
        <v>444.11840000000001</v>
      </c>
      <c r="L15" s="27">
        <v>99.8005</v>
      </c>
      <c r="M15" s="27">
        <v>87.600300000000004</v>
      </c>
      <c r="N15" s="27">
        <v>83.461299999999994</v>
      </c>
      <c r="O15" s="27">
        <v>78.543400000000005</v>
      </c>
      <c r="P15" s="27">
        <v>69.994200000000006</v>
      </c>
      <c r="Q15" s="27">
        <v>59.867100000000001</v>
      </c>
      <c r="R15" s="27" t="s">
        <v>200</v>
      </c>
      <c r="S15" s="27">
        <v>52.654499999999999</v>
      </c>
      <c r="T15" s="27" t="s">
        <v>200</v>
      </c>
      <c r="U15" s="27">
        <v>51.837400000000002</v>
      </c>
      <c r="V15" s="27" t="s">
        <v>200</v>
      </c>
      <c r="W15" s="27">
        <v>49.515999999999998</v>
      </c>
      <c r="X15" s="27" t="s">
        <v>200</v>
      </c>
      <c r="Y15" s="27">
        <v>45.7241</v>
      </c>
    </row>
    <row r="16" spans="1:25">
      <c r="A16" s="27" t="s">
        <v>196</v>
      </c>
      <c r="B16" s="27" t="s">
        <v>275</v>
      </c>
      <c r="C16" s="27" t="s">
        <v>198</v>
      </c>
      <c r="D16" s="27" t="s">
        <v>1161</v>
      </c>
      <c r="E16" s="27" t="s">
        <v>83</v>
      </c>
      <c r="F16" s="27">
        <v>1210.0943</v>
      </c>
      <c r="G16" s="27">
        <v>1047.9066</v>
      </c>
      <c r="H16" s="27">
        <v>1135.6108999999999</v>
      </c>
      <c r="I16" s="27">
        <v>1261.079</v>
      </c>
      <c r="J16" s="27">
        <v>962.65269999999998</v>
      </c>
      <c r="K16" s="27">
        <v>595.63520000000005</v>
      </c>
      <c r="L16" s="27">
        <v>219.4246</v>
      </c>
      <c r="M16" s="27">
        <v>87.600300000000004</v>
      </c>
      <c r="N16" s="27">
        <v>83.461299999999994</v>
      </c>
      <c r="O16" s="27">
        <v>78.543400000000005</v>
      </c>
      <c r="P16" s="27">
        <v>69.994200000000006</v>
      </c>
      <c r="Q16" s="27">
        <v>59.867100000000001</v>
      </c>
      <c r="R16" s="27" t="s">
        <v>200</v>
      </c>
      <c r="S16" s="27">
        <v>52.654499999999999</v>
      </c>
      <c r="T16" s="27" t="s">
        <v>200</v>
      </c>
      <c r="U16" s="27">
        <v>51.837400000000002</v>
      </c>
      <c r="V16" s="27" t="s">
        <v>200</v>
      </c>
      <c r="W16" s="27">
        <v>49.515999999999998</v>
      </c>
      <c r="X16" s="27" t="s">
        <v>200</v>
      </c>
      <c r="Y16" s="27">
        <v>45.7241</v>
      </c>
    </row>
    <row r="17" spans="1:25">
      <c r="A17" s="27" t="s">
        <v>261</v>
      </c>
      <c r="B17" s="27" t="s">
        <v>276</v>
      </c>
      <c r="C17" s="27" t="s">
        <v>198</v>
      </c>
      <c r="D17" s="27" t="s">
        <v>1161</v>
      </c>
      <c r="E17" s="27" t="s">
        <v>83</v>
      </c>
      <c r="F17" s="27">
        <v>1494.363060611799</v>
      </c>
      <c r="G17" s="27">
        <v>1467.3401198472479</v>
      </c>
      <c r="H17" s="27">
        <v>1492.0109591502121</v>
      </c>
      <c r="I17" s="27">
        <v>1280.179551320389</v>
      </c>
      <c r="J17" s="27">
        <v>954.73523624812321</v>
      </c>
      <c r="K17" s="27">
        <v>384.20800428470642</v>
      </c>
      <c r="L17" s="27">
        <v>170.9101391223999</v>
      </c>
      <c r="M17" s="27">
        <v>136.79207006197871</v>
      </c>
      <c r="N17" s="27">
        <v>108.7781946277271</v>
      </c>
      <c r="O17" s="27">
        <v>79.262573782557084</v>
      </c>
      <c r="P17" s="27">
        <v>87.22384058753326</v>
      </c>
      <c r="Q17" s="27">
        <v>92.688042645209805</v>
      </c>
      <c r="R17" s="27">
        <v>95.024648495711887</v>
      </c>
      <c r="S17" s="27">
        <v>98.527019550495964</v>
      </c>
      <c r="T17" s="27">
        <v>101.0240433196023</v>
      </c>
      <c r="U17" s="27">
        <v>98.530075352908526</v>
      </c>
      <c r="V17" s="27">
        <v>94.446973051130243</v>
      </c>
      <c r="W17" s="27">
        <v>93.855710408465114</v>
      </c>
      <c r="X17" s="27">
        <v>90.170441969053314</v>
      </c>
      <c r="Y17" s="27">
        <v>88.11482358981668</v>
      </c>
    </row>
    <row r="18" spans="1:25">
      <c r="A18" s="27" t="s">
        <v>203</v>
      </c>
      <c r="B18" s="27" t="s">
        <v>277</v>
      </c>
      <c r="C18" s="27" t="s">
        <v>198</v>
      </c>
      <c r="D18" s="27" t="s">
        <v>1161</v>
      </c>
      <c r="E18" s="27" t="s">
        <v>83</v>
      </c>
      <c r="F18" s="27">
        <v>1210.0943</v>
      </c>
      <c r="G18" s="27">
        <v>1047.9066</v>
      </c>
      <c r="H18" s="27">
        <v>1135.6108999999999</v>
      </c>
      <c r="I18" s="27">
        <v>1261.079</v>
      </c>
      <c r="J18" s="27">
        <v>962.65269999999998</v>
      </c>
      <c r="K18" s="27">
        <v>595.63520000000005</v>
      </c>
      <c r="L18" s="27">
        <v>219.4246</v>
      </c>
      <c r="M18" s="27">
        <v>87.600300000000004</v>
      </c>
      <c r="N18" s="27">
        <v>83.461299999999994</v>
      </c>
      <c r="O18" s="27">
        <v>78.543400000000005</v>
      </c>
      <c r="P18" s="27">
        <v>69.994200000000006</v>
      </c>
      <c r="Q18" s="27">
        <v>59.867100000000001</v>
      </c>
      <c r="R18" s="27" t="s">
        <v>200</v>
      </c>
      <c r="S18" s="27">
        <v>52.654499999999999</v>
      </c>
      <c r="T18" s="27" t="s">
        <v>200</v>
      </c>
      <c r="U18" s="27">
        <v>51.837400000000002</v>
      </c>
      <c r="V18" s="27" t="s">
        <v>200</v>
      </c>
      <c r="W18" s="27">
        <v>49.515999999999998</v>
      </c>
      <c r="X18" s="27" t="s">
        <v>200</v>
      </c>
      <c r="Y18" s="27">
        <v>45.7241</v>
      </c>
    </row>
    <row r="19" spans="1:25">
      <c r="A19" s="27" t="s">
        <v>203</v>
      </c>
      <c r="B19" s="27" t="s">
        <v>278</v>
      </c>
      <c r="C19" s="27" t="s">
        <v>198</v>
      </c>
      <c r="D19" s="27" t="s">
        <v>1161</v>
      </c>
      <c r="E19" s="27" t="s">
        <v>83</v>
      </c>
      <c r="F19" s="27">
        <v>1210.0943</v>
      </c>
      <c r="G19" s="27">
        <v>1047.9066</v>
      </c>
      <c r="H19" s="27">
        <v>1135.6108999999999</v>
      </c>
      <c r="I19" s="27">
        <v>1261.079</v>
      </c>
      <c r="J19" s="27">
        <v>962.65269999999998</v>
      </c>
      <c r="K19" s="27">
        <v>595.63520000000005</v>
      </c>
      <c r="L19" s="27">
        <v>219.4246</v>
      </c>
      <c r="M19" s="27">
        <v>87.600300000000004</v>
      </c>
      <c r="N19" s="27">
        <v>83.461299999999994</v>
      </c>
      <c r="O19" s="27">
        <v>78.543400000000005</v>
      </c>
      <c r="P19" s="27">
        <v>69.994200000000006</v>
      </c>
      <c r="Q19" s="27">
        <v>59.867100000000001</v>
      </c>
      <c r="R19" s="27" t="s">
        <v>200</v>
      </c>
      <c r="S19" s="27">
        <v>52.654499999999999</v>
      </c>
      <c r="T19" s="27" t="s">
        <v>200</v>
      </c>
      <c r="U19" s="27">
        <v>51.837400000000002</v>
      </c>
      <c r="V19" s="27" t="s">
        <v>200</v>
      </c>
      <c r="W19" s="27">
        <v>49.515999999999998</v>
      </c>
      <c r="X19" s="27" t="s">
        <v>200</v>
      </c>
      <c r="Y19" s="27">
        <v>45.7241</v>
      </c>
    </row>
    <row r="20" spans="1:25">
      <c r="A20" s="27" t="s">
        <v>196</v>
      </c>
      <c r="B20" s="27" t="s">
        <v>279</v>
      </c>
      <c r="C20" s="27" t="s">
        <v>198</v>
      </c>
      <c r="D20" s="27" t="s">
        <v>1161</v>
      </c>
      <c r="E20" s="27" t="s">
        <v>83</v>
      </c>
      <c r="F20" s="27">
        <v>1210.0943</v>
      </c>
      <c r="G20" s="27">
        <v>1047.9066</v>
      </c>
      <c r="H20" s="27">
        <v>1135.6108999999999</v>
      </c>
      <c r="I20" s="27">
        <v>1261.079</v>
      </c>
      <c r="J20" s="27">
        <v>962.65269999999998</v>
      </c>
      <c r="K20" s="27">
        <v>595.63520000000005</v>
      </c>
      <c r="L20" s="27">
        <v>219.4246</v>
      </c>
      <c r="M20" s="27">
        <v>87.600300000000004</v>
      </c>
      <c r="N20" s="27">
        <v>83.461299999999994</v>
      </c>
      <c r="O20" s="27">
        <v>78.543400000000005</v>
      </c>
      <c r="P20" s="27">
        <v>69.994200000000006</v>
      </c>
      <c r="Q20" s="27">
        <v>59.867100000000001</v>
      </c>
      <c r="R20" s="27" t="s">
        <v>200</v>
      </c>
      <c r="S20" s="27">
        <v>52.654499999999999</v>
      </c>
      <c r="T20" s="27" t="s">
        <v>200</v>
      </c>
      <c r="U20" s="27">
        <v>51.837400000000002</v>
      </c>
      <c r="V20" s="27" t="s">
        <v>200</v>
      </c>
      <c r="W20" s="27">
        <v>49.515999999999998</v>
      </c>
      <c r="X20" s="27" t="s">
        <v>200</v>
      </c>
      <c r="Y20" s="27">
        <v>45.7241</v>
      </c>
    </row>
    <row r="21" spans="1:25">
      <c r="A21" s="27" t="s">
        <v>203</v>
      </c>
      <c r="B21" s="27" t="s">
        <v>281</v>
      </c>
      <c r="C21" s="27" t="s">
        <v>198</v>
      </c>
      <c r="D21" s="27" t="s">
        <v>1161</v>
      </c>
      <c r="E21" s="27" t="s">
        <v>83</v>
      </c>
      <c r="F21" s="27">
        <v>1210.0943</v>
      </c>
      <c r="G21" s="27">
        <v>1047.9066</v>
      </c>
      <c r="H21" s="27">
        <v>1135.6108999999999</v>
      </c>
      <c r="I21" s="27">
        <v>1261.079</v>
      </c>
      <c r="J21" s="27">
        <v>962.65269999999998</v>
      </c>
      <c r="K21" s="27">
        <v>595.63520000000005</v>
      </c>
      <c r="L21" s="27">
        <v>219.4246</v>
      </c>
      <c r="M21" s="27">
        <v>87.600300000000004</v>
      </c>
      <c r="N21" s="27">
        <v>83.461299999999994</v>
      </c>
      <c r="O21" s="27">
        <v>78.543400000000005</v>
      </c>
      <c r="P21" s="27">
        <v>69.994200000000006</v>
      </c>
      <c r="Q21" s="27">
        <v>59.867100000000001</v>
      </c>
      <c r="R21" s="27" t="s">
        <v>200</v>
      </c>
      <c r="S21" s="27">
        <v>52.654499999999999</v>
      </c>
      <c r="T21" s="27" t="s">
        <v>200</v>
      </c>
      <c r="U21" s="27">
        <v>51.837400000000002</v>
      </c>
      <c r="V21" s="27" t="s">
        <v>200</v>
      </c>
      <c r="W21" s="27">
        <v>49.515999999999998</v>
      </c>
      <c r="X21" s="27" t="s">
        <v>200</v>
      </c>
      <c r="Y21" s="27">
        <v>45.7241</v>
      </c>
    </row>
    <row r="22" spans="1:25">
      <c r="A22" s="27" t="s">
        <v>203</v>
      </c>
      <c r="B22" s="27" t="s">
        <v>284</v>
      </c>
      <c r="C22" s="27" t="s">
        <v>198</v>
      </c>
      <c r="D22" s="27" t="s">
        <v>1161</v>
      </c>
      <c r="E22" s="27" t="s">
        <v>83</v>
      </c>
      <c r="F22" s="27">
        <v>1210.0943</v>
      </c>
      <c r="G22" s="27">
        <v>1047.9066</v>
      </c>
      <c r="H22" s="27">
        <v>1135.6108999999999</v>
      </c>
      <c r="I22" s="27">
        <v>1261.079</v>
      </c>
      <c r="J22" s="27">
        <v>962.65269999999998</v>
      </c>
      <c r="K22" s="27">
        <v>595.63520000000005</v>
      </c>
      <c r="L22" s="27">
        <v>219.4246</v>
      </c>
      <c r="M22" s="27">
        <v>87.600300000000004</v>
      </c>
      <c r="N22" s="27">
        <v>83.461299999999994</v>
      </c>
      <c r="O22" s="27">
        <v>78.543400000000005</v>
      </c>
      <c r="P22" s="27">
        <v>69.994200000000006</v>
      </c>
      <c r="Q22" s="27">
        <v>59.867100000000001</v>
      </c>
      <c r="R22" s="27" t="s">
        <v>200</v>
      </c>
      <c r="S22" s="27">
        <v>52.654499999999999</v>
      </c>
      <c r="T22" s="27" t="s">
        <v>200</v>
      </c>
      <c r="U22" s="27">
        <v>51.837400000000002</v>
      </c>
      <c r="V22" s="27" t="s">
        <v>200</v>
      </c>
      <c r="W22" s="27">
        <v>49.515999999999998</v>
      </c>
      <c r="X22" s="27" t="s">
        <v>200</v>
      </c>
      <c r="Y22" s="27">
        <v>45.7241</v>
      </c>
    </row>
    <row r="23" spans="1:25">
      <c r="A23" s="27" t="s">
        <v>203</v>
      </c>
      <c r="B23" s="27" t="s">
        <v>285</v>
      </c>
      <c r="C23" s="27" t="s">
        <v>198</v>
      </c>
      <c r="D23" s="27" t="s">
        <v>1161</v>
      </c>
      <c r="E23" s="27" t="s">
        <v>83</v>
      </c>
      <c r="F23" s="27">
        <v>1210.0943</v>
      </c>
      <c r="G23" s="27">
        <v>1047.9066</v>
      </c>
      <c r="H23" s="27">
        <v>1135.6108999999999</v>
      </c>
      <c r="I23" s="27">
        <v>1261.079</v>
      </c>
      <c r="J23" s="27">
        <v>803.45849999999996</v>
      </c>
      <c r="K23" s="27">
        <v>426.15379999999999</v>
      </c>
      <c r="L23" s="27">
        <v>99.8005</v>
      </c>
      <c r="M23" s="27">
        <v>87.600300000000004</v>
      </c>
      <c r="N23" s="27">
        <v>83.461299999999994</v>
      </c>
      <c r="O23" s="27">
        <v>78.543400000000005</v>
      </c>
      <c r="P23" s="27">
        <v>69.994200000000006</v>
      </c>
      <c r="Q23" s="27">
        <v>59.867100000000001</v>
      </c>
      <c r="R23" s="27" t="s">
        <v>200</v>
      </c>
      <c r="S23" s="27">
        <v>52.654499999999999</v>
      </c>
      <c r="T23" s="27" t="s">
        <v>200</v>
      </c>
      <c r="U23" s="27">
        <v>51.837400000000002</v>
      </c>
      <c r="V23" s="27" t="s">
        <v>200</v>
      </c>
      <c r="W23" s="27">
        <v>49.515999999999998</v>
      </c>
      <c r="X23" s="27" t="s">
        <v>200</v>
      </c>
      <c r="Y23" s="27">
        <v>45.7241</v>
      </c>
    </row>
    <row r="24" spans="1:25">
      <c r="A24" s="27" t="s">
        <v>196</v>
      </c>
      <c r="B24" s="27" t="s">
        <v>289</v>
      </c>
      <c r="C24" s="27" t="s">
        <v>198</v>
      </c>
      <c r="D24" s="27" t="s">
        <v>1161</v>
      </c>
      <c r="E24" s="27" t="s">
        <v>83</v>
      </c>
      <c r="F24" s="27">
        <v>1210.0943</v>
      </c>
      <c r="G24" s="27">
        <v>1047.9066</v>
      </c>
      <c r="H24" s="27">
        <v>1135.6108999999999</v>
      </c>
      <c r="I24" s="27">
        <v>1261.079</v>
      </c>
      <c r="J24" s="27">
        <v>962.65269999999998</v>
      </c>
      <c r="K24" s="27">
        <v>595.63520000000005</v>
      </c>
      <c r="L24" s="27">
        <v>219.4246</v>
      </c>
      <c r="M24" s="27">
        <v>87.600300000000004</v>
      </c>
      <c r="N24" s="27">
        <v>83.461299999999994</v>
      </c>
      <c r="O24" s="27">
        <v>78.543400000000005</v>
      </c>
      <c r="P24" s="27">
        <v>69.994200000000006</v>
      </c>
      <c r="Q24" s="27">
        <v>59.867100000000001</v>
      </c>
      <c r="R24" s="27" t="s">
        <v>200</v>
      </c>
      <c r="S24" s="27">
        <v>52.654499999999999</v>
      </c>
      <c r="T24" s="27" t="s">
        <v>200</v>
      </c>
      <c r="U24" s="27">
        <v>51.837400000000002</v>
      </c>
      <c r="V24" s="27" t="s">
        <v>200</v>
      </c>
      <c r="W24" s="27">
        <v>49.515999999999998</v>
      </c>
      <c r="X24" s="27" t="s">
        <v>200</v>
      </c>
      <c r="Y24" s="27">
        <v>45.7241</v>
      </c>
    </row>
    <row r="25" spans="1:25">
      <c r="A25" s="27" t="s">
        <v>261</v>
      </c>
      <c r="B25" s="27" t="s">
        <v>292</v>
      </c>
      <c r="C25" s="27" t="s">
        <v>198</v>
      </c>
      <c r="D25" s="27" t="s">
        <v>1161</v>
      </c>
      <c r="E25" s="27" t="s">
        <v>83</v>
      </c>
      <c r="F25" s="27">
        <v>1494.363060611799</v>
      </c>
      <c r="G25" s="27">
        <v>1467.3401198472479</v>
      </c>
      <c r="H25" s="27">
        <v>1492.0109591502121</v>
      </c>
      <c r="I25" s="27">
        <v>1279.0933247892481</v>
      </c>
      <c r="J25" s="27">
        <v>970.82004350343243</v>
      </c>
      <c r="K25" s="27">
        <v>390.56049063793802</v>
      </c>
      <c r="L25" s="27">
        <v>177.5044904803776</v>
      </c>
      <c r="M25" s="27">
        <v>144.34664586081411</v>
      </c>
      <c r="N25" s="27">
        <v>115.5422191219608</v>
      </c>
      <c r="O25" s="27">
        <v>83.429043291533262</v>
      </c>
      <c r="P25" s="27">
        <v>92.937459345573046</v>
      </c>
      <c r="Q25" s="27">
        <v>99.667559749805278</v>
      </c>
      <c r="R25" s="27">
        <v>102.95326153467801</v>
      </c>
      <c r="S25" s="27">
        <v>106.3023858546803</v>
      </c>
      <c r="T25" s="27">
        <v>109.9789376469804</v>
      </c>
      <c r="U25" s="27">
        <v>108.2839039524261</v>
      </c>
      <c r="V25" s="27">
        <v>106.9181007706735</v>
      </c>
      <c r="W25" s="27">
        <v>107.1515710998264</v>
      </c>
      <c r="X25" s="27">
        <v>105.4978785482559</v>
      </c>
      <c r="Y25" s="27">
        <v>105.8067955852499</v>
      </c>
    </row>
    <row r="26" spans="1:25">
      <c r="A26" s="27" t="s">
        <v>261</v>
      </c>
      <c r="B26" s="27" t="s">
        <v>293</v>
      </c>
      <c r="C26" s="27" t="s">
        <v>198</v>
      </c>
      <c r="D26" s="27" t="s">
        <v>1161</v>
      </c>
      <c r="E26" s="27" t="s">
        <v>83</v>
      </c>
      <c r="F26" s="27">
        <v>1494.363060611799</v>
      </c>
      <c r="G26" s="27">
        <v>1467.313893803554</v>
      </c>
      <c r="H26" s="27">
        <v>1491.971994742438</v>
      </c>
      <c r="I26" s="27">
        <v>1279.247215467067</v>
      </c>
      <c r="J26" s="27">
        <v>965.80946419124837</v>
      </c>
      <c r="K26" s="27">
        <v>413.53511373277041</v>
      </c>
      <c r="L26" s="27">
        <v>194.43913863192509</v>
      </c>
      <c r="M26" s="27">
        <v>174.41364585854041</v>
      </c>
      <c r="N26" s="27">
        <v>159.53205202213621</v>
      </c>
      <c r="O26" s="27">
        <v>141.66518509781849</v>
      </c>
      <c r="P26" s="27">
        <v>146.24209804463371</v>
      </c>
      <c r="Q26" s="27">
        <v>150.00765447272039</v>
      </c>
      <c r="R26" s="27">
        <v>153.69097352093789</v>
      </c>
      <c r="S26" s="27">
        <v>162.30248229675269</v>
      </c>
      <c r="T26" s="27">
        <v>156.39011344731659</v>
      </c>
      <c r="U26" s="27">
        <v>138.5024764330376</v>
      </c>
      <c r="V26" s="27">
        <v>116.73518799254779</v>
      </c>
      <c r="W26" s="27">
        <v>103.389796373576</v>
      </c>
      <c r="X26" s="27">
        <v>93.613441475814</v>
      </c>
      <c r="Y26" s="27">
        <v>87.05440746640916</v>
      </c>
    </row>
    <row r="27" spans="1:25">
      <c r="A27" s="27" t="s">
        <v>261</v>
      </c>
      <c r="B27" s="27" t="s">
        <v>295</v>
      </c>
      <c r="C27" s="27" t="s">
        <v>198</v>
      </c>
      <c r="D27" s="27" t="s">
        <v>1161</v>
      </c>
      <c r="E27" s="27" t="s">
        <v>83</v>
      </c>
      <c r="F27" s="27">
        <v>1494.363060611799</v>
      </c>
      <c r="G27" s="27">
        <v>1467.3154860990639</v>
      </c>
      <c r="H27" s="27">
        <v>1491.977333615619</v>
      </c>
      <c r="I27" s="27">
        <v>1279.4425058281461</v>
      </c>
      <c r="J27" s="27">
        <v>841.23407068470476</v>
      </c>
      <c r="K27" s="27">
        <v>314.44993606574542</v>
      </c>
      <c r="L27" s="27">
        <v>176.61269962228391</v>
      </c>
      <c r="M27" s="27">
        <v>152.81501195350251</v>
      </c>
      <c r="N27" s="27">
        <v>140.42605136549699</v>
      </c>
      <c r="O27" s="27">
        <v>132.87447282879799</v>
      </c>
      <c r="P27" s="27">
        <v>158.96947996878899</v>
      </c>
      <c r="Q27" s="27">
        <v>184.4069861437047</v>
      </c>
      <c r="R27" s="27">
        <v>206.46214053790209</v>
      </c>
      <c r="S27" s="27">
        <v>221.7290464716144</v>
      </c>
      <c r="T27" s="27">
        <v>227.03874317857299</v>
      </c>
      <c r="U27" s="27">
        <v>215.37419509122819</v>
      </c>
      <c r="V27" s="27">
        <v>204.63268666136071</v>
      </c>
      <c r="W27" s="27">
        <v>199.79426259313939</v>
      </c>
      <c r="X27" s="27">
        <v>188.90614589580031</v>
      </c>
      <c r="Y27" s="27">
        <v>186.09705562284549</v>
      </c>
    </row>
    <row r="28" spans="1:25">
      <c r="A28" s="27" t="s">
        <v>196</v>
      </c>
      <c r="B28" s="27" t="s">
        <v>296</v>
      </c>
      <c r="C28" s="27" t="s">
        <v>198</v>
      </c>
      <c r="D28" s="27" t="s">
        <v>1161</v>
      </c>
      <c r="E28" s="27" t="s">
        <v>83</v>
      </c>
      <c r="F28" s="27">
        <v>1210.0943</v>
      </c>
      <c r="G28" s="27">
        <v>1047.9066</v>
      </c>
      <c r="H28" s="27">
        <v>1135.6108999999999</v>
      </c>
      <c r="I28" s="27">
        <v>1261.079</v>
      </c>
      <c r="J28" s="27">
        <v>962.65269999999998</v>
      </c>
      <c r="K28" s="27">
        <v>595.63520000000005</v>
      </c>
      <c r="L28" s="27">
        <v>219.4246</v>
      </c>
      <c r="M28" s="27">
        <v>87.600300000000004</v>
      </c>
      <c r="N28" s="27">
        <v>83.461299999999994</v>
      </c>
      <c r="O28" s="27">
        <v>78.543400000000005</v>
      </c>
      <c r="P28" s="27">
        <v>69.994200000000006</v>
      </c>
      <c r="Q28" s="27">
        <v>59.867100000000001</v>
      </c>
      <c r="R28" s="27" t="s">
        <v>200</v>
      </c>
      <c r="S28" s="27">
        <v>52.654499999999999</v>
      </c>
      <c r="T28" s="27" t="s">
        <v>200</v>
      </c>
      <c r="U28" s="27">
        <v>51.837400000000002</v>
      </c>
      <c r="V28" s="27" t="s">
        <v>200</v>
      </c>
      <c r="W28" s="27">
        <v>49.515999999999998</v>
      </c>
      <c r="X28" s="27" t="s">
        <v>200</v>
      </c>
      <c r="Y28" s="27">
        <v>45.7241</v>
      </c>
    </row>
    <row r="29" spans="1:25">
      <c r="A29" s="27" t="s">
        <v>261</v>
      </c>
      <c r="B29" s="27" t="s">
        <v>298</v>
      </c>
      <c r="C29" s="27" t="s">
        <v>198</v>
      </c>
      <c r="D29" s="27" t="s">
        <v>1161</v>
      </c>
      <c r="E29" s="27" t="s">
        <v>83</v>
      </c>
      <c r="F29" s="27">
        <v>1494.363060611799</v>
      </c>
      <c r="G29" s="27">
        <v>1467.3057449971211</v>
      </c>
      <c r="H29" s="27">
        <v>1491.967592513676</v>
      </c>
      <c r="I29" s="27">
        <v>1279.268851953115</v>
      </c>
      <c r="J29" s="27">
        <v>952.5375874510064</v>
      </c>
      <c r="K29" s="27">
        <v>393.34696094820669</v>
      </c>
      <c r="L29" s="27">
        <v>174.72400298632661</v>
      </c>
      <c r="M29" s="27">
        <v>142.21337965935481</v>
      </c>
      <c r="N29" s="27">
        <v>114.3121591324352</v>
      </c>
      <c r="O29" s="27">
        <v>88.235334602201746</v>
      </c>
      <c r="P29" s="27">
        <v>90.190556407922216</v>
      </c>
      <c r="Q29" s="27">
        <v>91.429344752614739</v>
      </c>
      <c r="R29" s="27">
        <v>91.904322990829399</v>
      </c>
      <c r="S29" s="27">
        <v>92.815326767539943</v>
      </c>
      <c r="T29" s="27">
        <v>89.530163553207402</v>
      </c>
      <c r="U29" s="27">
        <v>82.085789824135432</v>
      </c>
      <c r="V29" s="27">
        <v>75.663529315816973</v>
      </c>
      <c r="W29" s="27">
        <v>71.826512772691686</v>
      </c>
      <c r="X29" s="27">
        <v>68.428138518404097</v>
      </c>
      <c r="Y29" s="27">
        <v>66.711152220311277</v>
      </c>
    </row>
    <row r="30" spans="1:25">
      <c r="A30" s="27" t="s">
        <v>261</v>
      </c>
      <c r="B30" s="27" t="s">
        <v>299</v>
      </c>
      <c r="C30" s="27" t="s">
        <v>198</v>
      </c>
      <c r="D30" s="27" t="s">
        <v>1161</v>
      </c>
      <c r="E30" s="27" t="s">
        <v>83</v>
      </c>
      <c r="F30" s="27">
        <v>1494.363060611799</v>
      </c>
      <c r="G30" s="27">
        <v>1467.3401198472479</v>
      </c>
      <c r="H30" s="27">
        <v>1492.0109591502121</v>
      </c>
      <c r="I30" s="27">
        <v>1302.806819832939</v>
      </c>
      <c r="J30" s="27">
        <v>987.68704251191559</v>
      </c>
      <c r="K30" s="27">
        <v>998.39822707876203</v>
      </c>
      <c r="L30" s="27">
        <v>907.7860284781824</v>
      </c>
      <c r="M30" s="27">
        <v>329.45785981797928</v>
      </c>
      <c r="N30" s="27">
        <v>134.58791158615909</v>
      </c>
      <c r="O30" s="27">
        <v>114.21837761011869</v>
      </c>
      <c r="P30" s="27">
        <v>134.9886900244135</v>
      </c>
      <c r="Q30" s="27">
        <v>152.38213002783331</v>
      </c>
      <c r="R30" s="27">
        <v>164.29757003049909</v>
      </c>
      <c r="S30" s="27">
        <v>165.24671865111819</v>
      </c>
      <c r="T30" s="27">
        <v>158.52052288330199</v>
      </c>
      <c r="U30" s="27">
        <v>142.5537562407265</v>
      </c>
      <c r="V30" s="27">
        <v>128.68899529217131</v>
      </c>
      <c r="W30" s="27">
        <v>123.5659015693177</v>
      </c>
      <c r="X30" s="27">
        <v>123.7971707840892</v>
      </c>
      <c r="Y30" s="27">
        <v>124.6777219091711</v>
      </c>
    </row>
    <row r="100" spans="3:30">
      <c r="C100" s="3" t="s">
        <v>69</v>
      </c>
      <c r="F100" s="27">
        <f>MEDIAN(F2:F98)</f>
        <v>1210.0943</v>
      </c>
      <c r="G100" s="27">
        <f t="shared" ref="G100:Y100" si="0">MEDIAN(G2:G98)</f>
        <v>1047.9066</v>
      </c>
      <c r="H100" s="27">
        <f t="shared" si="0"/>
        <v>1135.6108999999999</v>
      </c>
      <c r="I100" s="27">
        <f t="shared" si="0"/>
        <v>1261.079</v>
      </c>
      <c r="J100" s="27">
        <f t="shared" si="0"/>
        <v>962.65269999999998</v>
      </c>
      <c r="K100" s="27">
        <f t="shared" si="0"/>
        <v>583.40920000000006</v>
      </c>
      <c r="L100" s="27">
        <f t="shared" si="0"/>
        <v>219.4246</v>
      </c>
      <c r="M100" s="27">
        <f t="shared" si="0"/>
        <v>87.600300000000004</v>
      </c>
      <c r="N100" s="27">
        <f t="shared" si="0"/>
        <v>83.461299999999994</v>
      </c>
      <c r="O100" s="27">
        <f t="shared" si="0"/>
        <v>78.543400000000005</v>
      </c>
      <c r="P100" s="27">
        <f t="shared" si="0"/>
        <v>69.994200000000006</v>
      </c>
      <c r="Q100" s="27">
        <f t="shared" si="0"/>
        <v>59.867100000000001</v>
      </c>
      <c r="R100" s="27">
        <f t="shared" si="0"/>
        <v>128.32211752780796</v>
      </c>
      <c r="S100" s="27">
        <f t="shared" si="0"/>
        <v>52.654499999999999</v>
      </c>
      <c r="T100" s="27">
        <f t="shared" si="0"/>
        <v>133.1845255471485</v>
      </c>
      <c r="U100" s="27">
        <f t="shared" si="0"/>
        <v>51.837400000000002</v>
      </c>
      <c r="V100" s="27">
        <f t="shared" si="0"/>
        <v>111.82664438161065</v>
      </c>
      <c r="W100" s="27">
        <f t="shared" si="0"/>
        <v>49.515999999999998</v>
      </c>
      <c r="X100" s="27">
        <f t="shared" si="0"/>
        <v>99.72018160399405</v>
      </c>
      <c r="Y100" s="27">
        <f t="shared" si="0"/>
        <v>45.7241</v>
      </c>
    </row>
    <row r="101" spans="3:30">
      <c r="C101" s="3" t="s">
        <v>72</v>
      </c>
      <c r="F101" s="27">
        <f>_xlfn.PERCENTILE.INC(F2:F98,0.25)</f>
        <v>1210.0943</v>
      </c>
      <c r="G101" s="27">
        <f t="shared" ref="G101:Y101" si="1">_xlfn.PERCENTILE.INC(G2:G98,0.25)</f>
        <v>1047.9066</v>
      </c>
      <c r="H101" s="27">
        <f t="shared" si="1"/>
        <v>1135.6108999999999</v>
      </c>
      <c r="I101" s="27">
        <f t="shared" si="1"/>
        <v>1261.079</v>
      </c>
      <c r="J101" s="27">
        <f t="shared" si="1"/>
        <v>841.23407068470476</v>
      </c>
      <c r="K101" s="27">
        <f t="shared" si="1"/>
        <v>426.15379999999999</v>
      </c>
      <c r="L101" s="27">
        <f t="shared" si="1"/>
        <v>170.56458758062081</v>
      </c>
      <c r="M101" s="27">
        <f t="shared" si="1"/>
        <v>87.600300000000004</v>
      </c>
      <c r="N101" s="27">
        <f t="shared" si="1"/>
        <v>83.461299999999994</v>
      </c>
      <c r="O101" s="27">
        <f t="shared" si="1"/>
        <v>78.543400000000005</v>
      </c>
      <c r="P101" s="27">
        <f t="shared" si="1"/>
        <v>69.994200000000006</v>
      </c>
      <c r="Q101" s="27">
        <f t="shared" si="1"/>
        <v>59.867100000000001</v>
      </c>
      <c r="R101" s="27">
        <f t="shared" si="1"/>
        <v>98.739661249411483</v>
      </c>
      <c r="S101" s="27">
        <f t="shared" si="1"/>
        <v>52.654499999999999</v>
      </c>
      <c r="T101" s="27">
        <f t="shared" si="1"/>
        <v>105.44286532378831</v>
      </c>
      <c r="U101" s="27">
        <f t="shared" si="1"/>
        <v>51.837400000000002</v>
      </c>
      <c r="V101" s="27">
        <f t="shared" si="1"/>
        <v>95.454887327915031</v>
      </c>
      <c r="W101" s="27">
        <f t="shared" si="1"/>
        <v>49.515999999999998</v>
      </c>
      <c r="X101" s="27">
        <f t="shared" si="1"/>
        <v>92.752691599123835</v>
      </c>
      <c r="Y101" s="27">
        <f t="shared" si="1"/>
        <v>45.7241</v>
      </c>
    </row>
    <row r="102" spans="3:30">
      <c r="C102" s="3" t="s">
        <v>73</v>
      </c>
      <c r="F102" s="27">
        <f>_xlfn.PERCENTILE.INC(F2:F98,0.75)</f>
        <v>1376.2839901529496</v>
      </c>
      <c r="G102" s="27">
        <f t="shared" ref="G102:Y102" si="2">_xlfn.PERCENTILE.INC(G2:G98,0.75)</f>
        <v>1467.3057449971211</v>
      </c>
      <c r="H102" s="27">
        <f t="shared" si="2"/>
        <v>1491.967592513676</v>
      </c>
      <c r="I102" s="27">
        <f t="shared" si="2"/>
        <v>1279.0933247892481</v>
      </c>
      <c r="J102" s="27">
        <f t="shared" si="2"/>
        <v>962.65269999999998</v>
      </c>
      <c r="K102" s="27">
        <f t="shared" si="2"/>
        <v>595.63520000000005</v>
      </c>
      <c r="L102" s="27">
        <f t="shared" si="2"/>
        <v>219.4246</v>
      </c>
      <c r="M102" s="27">
        <f t="shared" si="2"/>
        <v>136.79207006197871</v>
      </c>
      <c r="N102" s="27">
        <f t="shared" si="2"/>
        <v>108.7781946277271</v>
      </c>
      <c r="O102" s="27">
        <f t="shared" si="2"/>
        <v>79.262573782557084</v>
      </c>
      <c r="P102" s="27">
        <f t="shared" si="2"/>
        <v>87.22384058753326</v>
      </c>
      <c r="Q102" s="27">
        <f t="shared" si="2"/>
        <v>91.429344752614739</v>
      </c>
      <c r="R102" s="27">
        <f t="shared" si="2"/>
        <v>159.83666750762478</v>
      </c>
      <c r="S102" s="27">
        <f t="shared" si="2"/>
        <v>92.815326767539943</v>
      </c>
      <c r="T102" s="27">
        <f t="shared" si="2"/>
        <v>160.0961421624765</v>
      </c>
      <c r="U102" s="27">
        <f t="shared" si="2"/>
        <v>82.085789824135432</v>
      </c>
      <c r="V102" s="27">
        <f t="shared" si="2"/>
        <v>136.47739646912848</v>
      </c>
      <c r="W102" s="27">
        <f t="shared" si="2"/>
        <v>71.826512772691686</v>
      </c>
      <c r="X102" s="27">
        <f t="shared" si="2"/>
        <v>133.98462808806693</v>
      </c>
      <c r="Y102" s="27">
        <f t="shared" si="2"/>
        <v>66.711152220311277</v>
      </c>
    </row>
    <row r="104" spans="3:30">
      <c r="F104" s="27">
        <f>MAX(F$2:F$98)</f>
        <v>1494.363060611799</v>
      </c>
      <c r="G104" s="27">
        <f t="shared" ref="G104:AD104" si="3">MAX(G$2:G$98)</f>
        <v>1468.6513</v>
      </c>
      <c r="H104" s="27">
        <f t="shared" si="3"/>
        <v>1530.3797999999999</v>
      </c>
      <c r="I104" s="27">
        <f t="shared" si="3"/>
        <v>1584.9709</v>
      </c>
      <c r="J104" s="27">
        <f t="shared" si="3"/>
        <v>987.68704251191559</v>
      </c>
      <c r="K104" s="27">
        <f t="shared" si="3"/>
        <v>998.39822707876203</v>
      </c>
      <c r="L104" s="27">
        <f t="shared" si="3"/>
        <v>907.7860284781824</v>
      </c>
      <c r="M104" s="27">
        <f t="shared" si="3"/>
        <v>329.45785981797928</v>
      </c>
      <c r="N104" s="27">
        <f t="shared" si="3"/>
        <v>212.55539999999999</v>
      </c>
      <c r="O104" s="27">
        <f t="shared" si="3"/>
        <v>214.22219999999999</v>
      </c>
      <c r="P104" s="27">
        <f t="shared" si="3"/>
        <v>207.119</v>
      </c>
      <c r="Q104" s="27">
        <f t="shared" si="3"/>
        <v>184.4069861437047</v>
      </c>
      <c r="R104" s="27">
        <f t="shared" si="3"/>
        <v>206.46214053790209</v>
      </c>
      <c r="S104" s="27">
        <f t="shared" si="3"/>
        <v>221.7290464716144</v>
      </c>
      <c r="T104" s="27">
        <f t="shared" si="3"/>
        <v>227.03874317857299</v>
      </c>
      <c r="U104" s="27">
        <f t="shared" si="3"/>
        <v>215.37419509122819</v>
      </c>
      <c r="V104" s="27">
        <f t="shared" si="3"/>
        <v>204.63268666136071</v>
      </c>
      <c r="W104" s="27">
        <f t="shared" si="3"/>
        <v>199.79426259313939</v>
      </c>
      <c r="X104" s="27">
        <f t="shared" si="3"/>
        <v>188.90614589580031</v>
      </c>
      <c r="Y104" s="27">
        <f t="shared" si="3"/>
        <v>186.09705562284549</v>
      </c>
      <c r="Z104" s="27">
        <f t="shared" si="3"/>
        <v>0</v>
      </c>
      <c r="AA104" s="27">
        <f t="shared" si="3"/>
        <v>0</v>
      </c>
      <c r="AB104" s="27">
        <f t="shared" si="3"/>
        <v>0</v>
      </c>
      <c r="AC104" s="27">
        <f t="shared" si="3"/>
        <v>0</v>
      </c>
      <c r="AD104" s="27">
        <f t="shared" si="3"/>
        <v>0</v>
      </c>
    </row>
    <row r="105" spans="3:30">
      <c r="F105" s="27">
        <f>MEDIAN(F$2:F$98)</f>
        <v>1210.0943</v>
      </c>
      <c r="G105" s="27">
        <f t="shared" ref="G105:AD105" si="4">MEDIAN(G$2:G$98)</f>
        <v>1047.9066</v>
      </c>
      <c r="H105" s="27">
        <f t="shared" si="4"/>
        <v>1135.6108999999999</v>
      </c>
      <c r="I105" s="27">
        <f t="shared" si="4"/>
        <v>1261.079</v>
      </c>
      <c r="J105" s="27">
        <f t="shared" si="4"/>
        <v>962.65269999999998</v>
      </c>
      <c r="K105" s="27">
        <f t="shared" si="4"/>
        <v>583.40920000000006</v>
      </c>
      <c r="L105" s="27">
        <f t="shared" si="4"/>
        <v>219.4246</v>
      </c>
      <c r="M105" s="27">
        <f t="shared" si="4"/>
        <v>87.600300000000004</v>
      </c>
      <c r="N105" s="27">
        <f t="shared" si="4"/>
        <v>83.461299999999994</v>
      </c>
      <c r="O105" s="27">
        <f t="shared" si="4"/>
        <v>78.543400000000005</v>
      </c>
      <c r="P105" s="27">
        <f t="shared" si="4"/>
        <v>69.994200000000006</v>
      </c>
      <c r="Q105" s="27">
        <f t="shared" si="4"/>
        <v>59.867100000000001</v>
      </c>
      <c r="R105" s="27">
        <f t="shared" si="4"/>
        <v>128.32211752780796</v>
      </c>
      <c r="S105" s="27">
        <f t="shared" si="4"/>
        <v>52.654499999999999</v>
      </c>
      <c r="T105" s="27">
        <f t="shared" si="4"/>
        <v>133.1845255471485</v>
      </c>
      <c r="U105" s="27">
        <f t="shared" si="4"/>
        <v>51.837400000000002</v>
      </c>
      <c r="V105" s="27">
        <f t="shared" si="4"/>
        <v>111.82664438161065</v>
      </c>
      <c r="W105" s="27">
        <f t="shared" si="4"/>
        <v>49.515999999999998</v>
      </c>
      <c r="X105" s="27">
        <f t="shared" si="4"/>
        <v>99.72018160399405</v>
      </c>
      <c r="Y105" s="27">
        <f t="shared" si="4"/>
        <v>45.7241</v>
      </c>
      <c r="Z105" s="27" t="e">
        <f t="shared" si="4"/>
        <v>#NUM!</v>
      </c>
      <c r="AA105" s="27" t="e">
        <f t="shared" si="4"/>
        <v>#NUM!</v>
      </c>
      <c r="AB105" s="27" t="e">
        <f t="shared" si="4"/>
        <v>#NUM!</v>
      </c>
      <c r="AC105" s="27" t="e">
        <f t="shared" si="4"/>
        <v>#NUM!</v>
      </c>
      <c r="AD105" s="27" t="e">
        <f t="shared" si="4"/>
        <v>#NUM!</v>
      </c>
    </row>
    <row r="106" spans="3:30">
      <c r="F106" s="27">
        <f>MIN(F$2:F$98)</f>
        <v>1210.0943</v>
      </c>
      <c r="G106" s="27">
        <f t="shared" ref="G106:AD106" si="5">MIN(G$2:G$98)</f>
        <v>1047.9066</v>
      </c>
      <c r="H106" s="27">
        <f t="shared" si="5"/>
        <v>1135.6108999999999</v>
      </c>
      <c r="I106" s="27">
        <f t="shared" si="5"/>
        <v>1100.19</v>
      </c>
      <c r="J106" s="27">
        <f t="shared" si="5"/>
        <v>514.17759999999998</v>
      </c>
      <c r="K106" s="27">
        <f t="shared" si="5"/>
        <v>314.44993606574542</v>
      </c>
      <c r="L106" s="27">
        <f t="shared" si="5"/>
        <v>96.0565</v>
      </c>
      <c r="M106" s="27">
        <f t="shared" si="5"/>
        <v>85.624600000000001</v>
      </c>
      <c r="N106" s="27">
        <f t="shared" si="5"/>
        <v>82.077100000000002</v>
      </c>
      <c r="O106" s="27">
        <f t="shared" si="5"/>
        <v>77.741500000000002</v>
      </c>
      <c r="P106" s="27">
        <f t="shared" si="5"/>
        <v>69.815899999999999</v>
      </c>
      <c r="Q106" s="27">
        <f t="shared" si="5"/>
        <v>59.867100000000001</v>
      </c>
      <c r="R106" s="27">
        <f t="shared" si="5"/>
        <v>91.904322990829399</v>
      </c>
      <c r="S106" s="27">
        <f t="shared" si="5"/>
        <v>52.654499999999999</v>
      </c>
      <c r="T106" s="27">
        <f t="shared" si="5"/>
        <v>89.530163553207402</v>
      </c>
      <c r="U106" s="27">
        <f t="shared" si="5"/>
        <v>51.837400000000002</v>
      </c>
      <c r="V106" s="27">
        <f t="shared" si="5"/>
        <v>75.663529315816973</v>
      </c>
      <c r="W106" s="27">
        <f t="shared" si="5"/>
        <v>49.515999999999998</v>
      </c>
      <c r="X106" s="27">
        <f t="shared" si="5"/>
        <v>68.428138518404097</v>
      </c>
      <c r="Y106" s="27">
        <f t="shared" si="5"/>
        <v>45.7241</v>
      </c>
      <c r="Z106" s="27">
        <f t="shared" si="5"/>
        <v>0</v>
      </c>
      <c r="AA106" s="27">
        <f t="shared" si="5"/>
        <v>0</v>
      </c>
      <c r="AB106" s="27">
        <f t="shared" si="5"/>
        <v>0</v>
      </c>
      <c r="AC106" s="27">
        <f t="shared" si="5"/>
        <v>0</v>
      </c>
      <c r="AD106" s="27">
        <f t="shared" si="5"/>
        <v>0</v>
      </c>
    </row>
  </sheetData>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11B08-2B80-4D12-90F3-DBF19D6754E3}">
  <sheetPr codeName="Sheet41">
    <tabColor theme="7" tint="0.79998168889431442"/>
  </sheetPr>
  <dimension ref="A1:AD108"/>
  <sheetViews>
    <sheetView workbookViewId="0">
      <pane ySplit="1" topLeftCell="A86" activePane="bottomLeft" state="frozen"/>
      <selection pane="bottomLeft" activeCell="N113" sqref="N113"/>
      <selection activeCell="P95" sqref="P95"/>
    </sheetView>
  </sheetViews>
  <sheetFormatPr defaultColWidth="9.140625" defaultRowHeight="15.75"/>
  <cols>
    <col min="1" max="16384" width="9.140625" style="27"/>
  </cols>
  <sheetData>
    <row r="1" spans="1:30">
      <c r="A1" s="27" t="s">
        <v>193</v>
      </c>
      <c r="B1" s="27" t="s">
        <v>194</v>
      </c>
      <c r="C1" s="27" t="s">
        <v>195</v>
      </c>
      <c r="D1" s="27" t="s">
        <v>64</v>
      </c>
      <c r="E1" s="27" t="s">
        <v>65</v>
      </c>
      <c r="F1" s="27">
        <v>2000</v>
      </c>
      <c r="G1" s="27">
        <v>2005</v>
      </c>
      <c r="H1" s="27">
        <v>2010</v>
      </c>
      <c r="I1" s="27">
        <v>2015</v>
      </c>
      <c r="J1" s="27">
        <v>2020</v>
      </c>
      <c r="K1" s="27">
        <v>2021</v>
      </c>
      <c r="L1" s="27">
        <v>2022</v>
      </c>
      <c r="M1" s="27">
        <v>2023</v>
      </c>
      <c r="N1" s="27">
        <v>2024</v>
      </c>
      <c r="O1" s="27">
        <v>2025</v>
      </c>
      <c r="P1" s="27">
        <v>2030</v>
      </c>
      <c r="Q1" s="27">
        <v>2035</v>
      </c>
      <c r="R1" s="27">
        <v>2040</v>
      </c>
      <c r="S1" s="27">
        <v>2045</v>
      </c>
      <c r="T1" s="27">
        <v>2050</v>
      </c>
      <c r="U1" s="27">
        <v>2055</v>
      </c>
      <c r="V1" s="27">
        <v>2060</v>
      </c>
      <c r="W1" s="27">
        <v>2065</v>
      </c>
      <c r="X1" s="27">
        <v>2070</v>
      </c>
      <c r="Y1" s="27">
        <v>2075</v>
      </c>
      <c r="Z1" s="27">
        <v>2080</v>
      </c>
      <c r="AA1" s="27">
        <v>2085</v>
      </c>
      <c r="AB1" s="27">
        <v>2090</v>
      </c>
      <c r="AC1" s="27">
        <v>2095</v>
      </c>
      <c r="AD1" s="27">
        <v>2100</v>
      </c>
    </row>
    <row r="2" spans="1:30">
      <c r="A2" s="27" t="s">
        <v>196</v>
      </c>
      <c r="B2" s="27" t="s">
        <v>197</v>
      </c>
      <c r="C2" s="27" t="s">
        <v>198</v>
      </c>
      <c r="D2" s="27" t="s">
        <v>1162</v>
      </c>
      <c r="E2" s="27" t="s">
        <v>83</v>
      </c>
      <c r="F2" s="27" t="s">
        <v>200</v>
      </c>
      <c r="G2" s="27">
        <v>9879.3521000000001</v>
      </c>
      <c r="H2" s="27">
        <v>10556.0538</v>
      </c>
      <c r="I2" s="27">
        <v>11721.626899999999</v>
      </c>
      <c r="J2" s="27">
        <v>12646.665999999999</v>
      </c>
      <c r="K2" s="27" t="s">
        <v>200</v>
      </c>
      <c r="L2" s="27" t="s">
        <v>200</v>
      </c>
      <c r="M2" s="27" t="s">
        <v>200</v>
      </c>
      <c r="N2" s="27" t="s">
        <v>200</v>
      </c>
      <c r="O2" s="27">
        <v>11379.832700000001</v>
      </c>
      <c r="P2" s="27">
        <v>11415.9627</v>
      </c>
      <c r="Q2" s="27">
        <v>11388.700699999999</v>
      </c>
      <c r="R2" s="27">
        <v>11527.538399999999</v>
      </c>
      <c r="S2" s="27">
        <v>11766.1415</v>
      </c>
      <c r="T2" s="27">
        <v>11867.0705</v>
      </c>
      <c r="U2" s="27">
        <v>12027.931200000001</v>
      </c>
      <c r="V2" s="27">
        <v>12064.394399999999</v>
      </c>
      <c r="W2" s="27" t="s">
        <v>200</v>
      </c>
      <c r="X2" s="27">
        <v>11862.890600000001</v>
      </c>
      <c r="Y2" s="27" t="s">
        <v>200</v>
      </c>
      <c r="Z2" s="27">
        <v>11446.5555</v>
      </c>
      <c r="AA2" s="27" t="s">
        <v>200</v>
      </c>
      <c r="AB2" s="27">
        <v>10881.9607</v>
      </c>
      <c r="AC2" s="27" t="s">
        <v>200</v>
      </c>
      <c r="AD2" s="27">
        <v>10473.4908</v>
      </c>
    </row>
    <row r="3" spans="1:30">
      <c r="A3" s="27" t="s">
        <v>196</v>
      </c>
      <c r="B3" s="27" t="s">
        <v>201</v>
      </c>
      <c r="C3" s="27" t="s">
        <v>198</v>
      </c>
      <c r="D3" s="27" t="s">
        <v>1162</v>
      </c>
      <c r="E3" s="27" t="s">
        <v>83</v>
      </c>
      <c r="F3" s="27" t="s">
        <v>200</v>
      </c>
      <c r="G3" s="27" t="s">
        <v>200</v>
      </c>
      <c r="H3" s="27">
        <v>10593.8519</v>
      </c>
      <c r="I3" s="27">
        <v>11796.775600000001</v>
      </c>
      <c r="J3" s="27">
        <v>12032.333699999999</v>
      </c>
      <c r="K3" s="27" t="s">
        <v>200</v>
      </c>
      <c r="L3" s="27" t="s">
        <v>200</v>
      </c>
      <c r="M3" s="27" t="s">
        <v>200</v>
      </c>
      <c r="N3" s="27" t="s">
        <v>200</v>
      </c>
      <c r="O3" s="27">
        <v>11169.9218</v>
      </c>
      <c r="P3" s="27">
        <v>11014.2454</v>
      </c>
      <c r="Q3" s="27">
        <v>10939.438099999999</v>
      </c>
      <c r="R3" s="27">
        <v>11290.3411</v>
      </c>
      <c r="S3" s="27">
        <v>11655.8815</v>
      </c>
      <c r="T3" s="27">
        <v>11816.162899999999</v>
      </c>
      <c r="U3" s="27">
        <v>12053.6738</v>
      </c>
      <c r="V3" s="27">
        <v>12063.923199999999</v>
      </c>
      <c r="W3" s="27" t="s">
        <v>200</v>
      </c>
      <c r="X3" s="27">
        <v>11772.810600000001</v>
      </c>
      <c r="Y3" s="27" t="s">
        <v>200</v>
      </c>
      <c r="Z3" s="27">
        <v>11254.313200000001</v>
      </c>
      <c r="AA3" s="27" t="s">
        <v>200</v>
      </c>
      <c r="AB3" s="27">
        <v>10649.928</v>
      </c>
      <c r="AC3" s="27" t="s">
        <v>200</v>
      </c>
      <c r="AD3" s="27">
        <v>10225.8406</v>
      </c>
    </row>
    <row r="4" spans="1:30">
      <c r="A4" s="27" t="s">
        <v>196</v>
      </c>
      <c r="B4" s="27" t="s">
        <v>202</v>
      </c>
      <c r="C4" s="27" t="s">
        <v>198</v>
      </c>
      <c r="D4" s="27" t="s">
        <v>1162</v>
      </c>
      <c r="E4" s="27" t="s">
        <v>83</v>
      </c>
      <c r="F4" s="27" t="s">
        <v>200</v>
      </c>
      <c r="G4" s="27">
        <v>9879.3521000000001</v>
      </c>
      <c r="H4" s="27">
        <v>10557.809499999999</v>
      </c>
      <c r="I4" s="27">
        <v>11723.0085</v>
      </c>
      <c r="J4" s="27">
        <v>12623.856100000001</v>
      </c>
      <c r="K4" s="27" t="s">
        <v>200</v>
      </c>
      <c r="L4" s="27" t="s">
        <v>200</v>
      </c>
      <c r="M4" s="27" t="s">
        <v>200</v>
      </c>
      <c r="N4" s="27" t="s">
        <v>200</v>
      </c>
      <c r="O4" s="27">
        <v>11356.372499999999</v>
      </c>
      <c r="P4" s="27">
        <v>11394.036899999999</v>
      </c>
      <c r="Q4" s="27">
        <v>11366.459699999999</v>
      </c>
      <c r="R4" s="27">
        <v>11507.6088</v>
      </c>
      <c r="S4" s="27">
        <v>11734.556</v>
      </c>
      <c r="T4" s="27">
        <v>11876.692499999999</v>
      </c>
      <c r="U4" s="27">
        <v>12101.706</v>
      </c>
      <c r="V4" s="27">
        <v>12160.7958</v>
      </c>
      <c r="W4" s="27" t="s">
        <v>200</v>
      </c>
      <c r="X4" s="27">
        <v>12087.8716</v>
      </c>
      <c r="Y4" s="27" t="s">
        <v>200</v>
      </c>
      <c r="Z4" s="27">
        <v>11684.9486</v>
      </c>
      <c r="AA4" s="27" t="s">
        <v>200</v>
      </c>
      <c r="AB4" s="27">
        <v>11103.4668</v>
      </c>
      <c r="AC4" s="27" t="s">
        <v>200</v>
      </c>
      <c r="AD4" s="27">
        <v>10725.1515</v>
      </c>
    </row>
    <row r="5" spans="1:30">
      <c r="A5" s="27" t="s">
        <v>203</v>
      </c>
      <c r="B5" s="27" t="s">
        <v>204</v>
      </c>
      <c r="C5" s="27" t="s">
        <v>198</v>
      </c>
      <c r="D5" s="27" t="s">
        <v>1162</v>
      </c>
      <c r="E5" s="27" t="s">
        <v>83</v>
      </c>
      <c r="F5" s="27" t="s">
        <v>200</v>
      </c>
      <c r="G5" s="27">
        <v>9892.6908000000003</v>
      </c>
      <c r="H5" s="27">
        <v>10581.7094</v>
      </c>
      <c r="I5" s="27">
        <v>11755.3362</v>
      </c>
      <c r="J5" s="27">
        <v>12705.295</v>
      </c>
      <c r="K5" s="27" t="s">
        <v>200</v>
      </c>
      <c r="L5" s="27" t="s">
        <v>200</v>
      </c>
      <c r="M5" s="27" t="s">
        <v>200</v>
      </c>
      <c r="N5" s="27" t="s">
        <v>200</v>
      </c>
      <c r="O5" s="27">
        <v>12132.1446</v>
      </c>
      <c r="P5" s="27">
        <v>12137.1924</v>
      </c>
      <c r="Q5" s="27">
        <v>11597.529399999999</v>
      </c>
      <c r="R5" s="27">
        <v>11432.993700000001</v>
      </c>
      <c r="S5" s="27">
        <v>11743.140799999999</v>
      </c>
      <c r="T5" s="27">
        <v>11966.6086</v>
      </c>
      <c r="U5" s="27">
        <v>12331.9817</v>
      </c>
      <c r="V5" s="27">
        <v>12494.492</v>
      </c>
      <c r="W5" s="27" t="s">
        <v>200</v>
      </c>
      <c r="X5" s="27">
        <v>12431.5016</v>
      </c>
      <c r="Y5" s="27" t="s">
        <v>200</v>
      </c>
      <c r="Z5" s="27">
        <v>12111.726500000001</v>
      </c>
      <c r="AA5" s="27" t="s">
        <v>200</v>
      </c>
      <c r="AB5" s="27">
        <v>11603.9169</v>
      </c>
      <c r="AC5" s="27" t="s">
        <v>200</v>
      </c>
      <c r="AD5" s="27">
        <v>11236.8056</v>
      </c>
    </row>
    <row r="6" spans="1:30">
      <c r="A6" s="27" t="s">
        <v>205</v>
      </c>
      <c r="B6" s="27" t="s">
        <v>206</v>
      </c>
      <c r="C6" s="27" t="s">
        <v>198</v>
      </c>
      <c r="D6" s="27" t="s">
        <v>1162</v>
      </c>
      <c r="E6" s="27" t="s">
        <v>83</v>
      </c>
      <c r="F6" s="27" t="s">
        <v>200</v>
      </c>
      <c r="G6" s="27">
        <v>9140.4</v>
      </c>
      <c r="H6" s="27">
        <v>9762.4</v>
      </c>
      <c r="I6" s="27">
        <v>10281.9</v>
      </c>
      <c r="J6" s="27">
        <v>10082</v>
      </c>
      <c r="K6" s="27" t="s">
        <v>200</v>
      </c>
      <c r="L6" s="27" t="s">
        <v>200</v>
      </c>
      <c r="M6" s="27" t="s">
        <v>200</v>
      </c>
      <c r="N6" s="27" t="s">
        <v>200</v>
      </c>
      <c r="O6" s="27">
        <v>10145.5</v>
      </c>
      <c r="P6" s="27">
        <v>8481.11</v>
      </c>
      <c r="Q6" s="27">
        <v>8164.3</v>
      </c>
      <c r="R6" s="27">
        <v>7847.49</v>
      </c>
      <c r="S6" s="27">
        <v>7714.69</v>
      </c>
      <c r="T6" s="27">
        <v>7581.9</v>
      </c>
      <c r="U6" s="27">
        <v>7533.66</v>
      </c>
      <c r="V6" s="27">
        <v>7485.42</v>
      </c>
      <c r="W6" s="27">
        <v>7467.63</v>
      </c>
      <c r="X6" s="27">
        <v>7449.83</v>
      </c>
      <c r="Y6" s="27">
        <v>7480.41</v>
      </c>
      <c r="Z6" s="27">
        <v>7510.98</v>
      </c>
      <c r="AA6" s="27">
        <v>7632.21</v>
      </c>
      <c r="AB6" s="27">
        <v>7753.45</v>
      </c>
      <c r="AC6" s="27">
        <v>7672.93</v>
      </c>
      <c r="AD6" s="27">
        <v>7592.41</v>
      </c>
    </row>
    <row r="7" spans="1:30">
      <c r="A7" s="27" t="s">
        <v>207</v>
      </c>
      <c r="B7" s="27" t="s">
        <v>208</v>
      </c>
      <c r="C7" s="27" t="s">
        <v>198</v>
      </c>
      <c r="D7" s="27" t="s">
        <v>1162</v>
      </c>
      <c r="E7" s="27" t="s">
        <v>83</v>
      </c>
      <c r="F7" s="27">
        <v>7823.0509077609549</v>
      </c>
      <c r="G7" s="27">
        <v>8323.2376629405171</v>
      </c>
      <c r="H7" s="27">
        <v>8829.9702803471864</v>
      </c>
      <c r="I7" s="27">
        <v>9347.948046784888</v>
      </c>
      <c r="J7" s="27">
        <v>9765.8621934397015</v>
      </c>
      <c r="K7" s="27" t="s">
        <v>200</v>
      </c>
      <c r="L7" s="27" t="s">
        <v>200</v>
      </c>
      <c r="M7" s="27" t="s">
        <v>200</v>
      </c>
      <c r="N7" s="27" t="s">
        <v>200</v>
      </c>
      <c r="O7" s="27">
        <v>9266.8219117881399</v>
      </c>
      <c r="P7" s="27">
        <v>8797.2868799638472</v>
      </c>
      <c r="Q7" s="27">
        <v>8492.7078073062312</v>
      </c>
      <c r="R7" s="27">
        <v>8145.4435521352243</v>
      </c>
      <c r="S7" s="27">
        <v>7853.9309456200299</v>
      </c>
      <c r="T7" s="27">
        <v>7526.0846466644489</v>
      </c>
      <c r="U7" s="27">
        <v>7301.2825988916647</v>
      </c>
      <c r="V7" s="27">
        <v>7229.1891454680836</v>
      </c>
      <c r="W7" s="27" t="s">
        <v>200</v>
      </c>
      <c r="X7" s="27">
        <v>6991.7451723290469</v>
      </c>
      <c r="Y7" s="27" t="s">
        <v>200</v>
      </c>
      <c r="Z7" s="27">
        <v>6771.626581623651</v>
      </c>
      <c r="AA7" s="27" t="s">
        <v>200</v>
      </c>
      <c r="AB7" s="27">
        <v>6647.1495693035886</v>
      </c>
      <c r="AC7" s="27" t="s">
        <v>200</v>
      </c>
      <c r="AD7" s="27">
        <v>6378.4513903711104</v>
      </c>
    </row>
    <row r="8" spans="1:30">
      <c r="A8" s="27" t="s">
        <v>209</v>
      </c>
      <c r="B8" s="27" t="s">
        <v>210</v>
      </c>
      <c r="C8" s="27" t="s">
        <v>198</v>
      </c>
      <c r="D8" s="27" t="s">
        <v>1162</v>
      </c>
      <c r="E8" s="27" t="s">
        <v>83</v>
      </c>
      <c r="F8" s="27" t="s">
        <v>200</v>
      </c>
      <c r="G8" s="27" t="s">
        <v>200</v>
      </c>
      <c r="H8" s="27">
        <v>9941.5612000000037</v>
      </c>
      <c r="I8" s="27">
        <v>10584.6893</v>
      </c>
      <c r="J8" s="27">
        <v>11280.387500000001</v>
      </c>
      <c r="K8" s="27" t="s">
        <v>200</v>
      </c>
      <c r="L8" s="27" t="s">
        <v>200</v>
      </c>
      <c r="M8" s="27" t="s">
        <v>200</v>
      </c>
      <c r="N8" s="27" t="s">
        <v>200</v>
      </c>
      <c r="O8" s="27">
        <v>7015.302999999999</v>
      </c>
      <c r="P8" s="27">
        <v>6527.1518000000005</v>
      </c>
      <c r="Q8" s="27">
        <v>6084.2273999999998</v>
      </c>
      <c r="R8" s="27">
        <v>5983.3125</v>
      </c>
      <c r="S8" s="27">
        <v>6425.1392999999989</v>
      </c>
      <c r="T8" s="27">
        <v>7150.6119000000008</v>
      </c>
      <c r="U8" s="27">
        <v>7210.7804000000006</v>
      </c>
      <c r="V8" s="27">
        <v>7001.6279999999988</v>
      </c>
      <c r="W8" s="27">
        <v>6861.9956000000002</v>
      </c>
      <c r="X8" s="27">
        <v>7031.140199999998</v>
      </c>
      <c r="Y8" s="27">
        <v>7176.8810999999996</v>
      </c>
      <c r="Z8" s="27">
        <v>7174.5682999999999</v>
      </c>
      <c r="AA8" s="27">
        <v>7255.2606999999998</v>
      </c>
      <c r="AB8" s="27">
        <v>7343.5335999999988</v>
      </c>
      <c r="AC8" s="27">
        <v>7416.3887999999997</v>
      </c>
      <c r="AD8" s="27">
        <v>7469.4744999999994</v>
      </c>
    </row>
    <row r="9" spans="1:30">
      <c r="A9" s="27" t="s">
        <v>211</v>
      </c>
      <c r="B9" s="27" t="s">
        <v>212</v>
      </c>
      <c r="C9" s="27" t="s">
        <v>198</v>
      </c>
      <c r="D9" s="27" t="s">
        <v>1162</v>
      </c>
      <c r="E9" s="27" t="s">
        <v>83</v>
      </c>
      <c r="F9" s="27">
        <v>7797.7239918822816</v>
      </c>
      <c r="G9" s="27">
        <v>8230.7238579283003</v>
      </c>
      <c r="H9" s="27">
        <v>8682.8205159395202</v>
      </c>
      <c r="I9" s="27" t="s">
        <v>200</v>
      </c>
      <c r="J9" s="27">
        <v>9667.7469660154911</v>
      </c>
      <c r="K9" s="27" t="s">
        <v>200</v>
      </c>
      <c r="L9" s="27" t="s">
        <v>200</v>
      </c>
      <c r="M9" s="27" t="s">
        <v>200</v>
      </c>
      <c r="N9" s="27" t="s">
        <v>200</v>
      </c>
      <c r="O9" s="27" t="s">
        <v>200</v>
      </c>
      <c r="P9" s="27">
        <v>8370.9401391620595</v>
      </c>
      <c r="Q9" s="27" t="s">
        <v>200</v>
      </c>
      <c r="R9" s="27">
        <v>7714.3743606485104</v>
      </c>
      <c r="S9" s="27" t="s">
        <v>200</v>
      </c>
      <c r="T9" s="27">
        <v>7162.7373292020202</v>
      </c>
      <c r="U9" s="27" t="s">
        <v>200</v>
      </c>
      <c r="V9" s="27">
        <v>6543.3793492939694</v>
      </c>
      <c r="W9" s="27" t="s">
        <v>200</v>
      </c>
      <c r="X9" s="27">
        <v>6358.5933333966614</v>
      </c>
      <c r="Y9" s="27" t="s">
        <v>200</v>
      </c>
      <c r="Z9" s="27">
        <v>6256.2087337663497</v>
      </c>
      <c r="AA9" s="27" t="s">
        <v>200</v>
      </c>
      <c r="AB9" s="27">
        <v>6180.8953757176014</v>
      </c>
      <c r="AC9" s="27" t="s">
        <v>200</v>
      </c>
      <c r="AD9" s="27">
        <v>6157.2178657668392</v>
      </c>
    </row>
    <row r="10" spans="1:30">
      <c r="A10" s="27" t="s">
        <v>196</v>
      </c>
      <c r="B10" s="27" t="s">
        <v>213</v>
      </c>
      <c r="C10" s="27" t="s">
        <v>198</v>
      </c>
      <c r="D10" s="27" t="s">
        <v>1162</v>
      </c>
      <c r="E10" s="27" t="s">
        <v>83</v>
      </c>
      <c r="F10" s="27" t="s">
        <v>200</v>
      </c>
      <c r="G10" s="27">
        <v>9879.3521000000001</v>
      </c>
      <c r="H10" s="27">
        <v>10556.581399999999</v>
      </c>
      <c r="I10" s="27">
        <v>11722.5486</v>
      </c>
      <c r="J10" s="27">
        <v>12647.1031</v>
      </c>
      <c r="K10" s="27" t="s">
        <v>200</v>
      </c>
      <c r="L10" s="27" t="s">
        <v>200</v>
      </c>
      <c r="M10" s="27" t="s">
        <v>200</v>
      </c>
      <c r="N10" s="27" t="s">
        <v>200</v>
      </c>
      <c r="O10" s="27">
        <v>10258.968000000001</v>
      </c>
      <c r="P10" s="27">
        <v>9113.3264999999992</v>
      </c>
      <c r="Q10" s="27">
        <v>7815.53</v>
      </c>
      <c r="R10" s="27">
        <v>6580.5666000000001</v>
      </c>
      <c r="S10" s="27">
        <v>5692.8717999999999</v>
      </c>
      <c r="T10" s="27">
        <v>4819.0830999999998</v>
      </c>
      <c r="U10" s="27">
        <v>4742.4629000000004</v>
      </c>
      <c r="V10" s="27">
        <v>4660.7403999999997</v>
      </c>
      <c r="W10" s="27" t="s">
        <v>200</v>
      </c>
      <c r="X10" s="27">
        <v>4408.2992000000004</v>
      </c>
      <c r="Y10" s="27" t="s">
        <v>200</v>
      </c>
      <c r="Z10" s="27">
        <v>4162.7264999999998</v>
      </c>
      <c r="AA10" s="27" t="s">
        <v>200</v>
      </c>
      <c r="AB10" s="27">
        <v>3888.1405</v>
      </c>
      <c r="AC10" s="27" t="s">
        <v>200</v>
      </c>
      <c r="AD10" s="27">
        <v>3570.9394000000002</v>
      </c>
    </row>
    <row r="11" spans="1:30">
      <c r="A11" s="27" t="s">
        <v>214</v>
      </c>
      <c r="B11" s="27" t="s">
        <v>215</v>
      </c>
      <c r="C11" s="27" t="s">
        <v>198</v>
      </c>
      <c r="D11" s="27" t="s">
        <v>1162</v>
      </c>
      <c r="E11" s="27" t="s">
        <v>83</v>
      </c>
      <c r="F11" s="27" t="s">
        <v>200</v>
      </c>
      <c r="G11" s="27">
        <v>9925.5039660000002</v>
      </c>
      <c r="H11" s="27">
        <v>10629.11275</v>
      </c>
      <c r="I11" s="27" t="s">
        <v>200</v>
      </c>
      <c r="J11" s="27">
        <v>9730.8938120000003</v>
      </c>
      <c r="K11" s="27" t="s">
        <v>200</v>
      </c>
      <c r="L11" s="27" t="s">
        <v>200</v>
      </c>
      <c r="M11" s="27" t="s">
        <v>200</v>
      </c>
      <c r="N11" s="27" t="s">
        <v>200</v>
      </c>
      <c r="O11" s="27" t="s">
        <v>200</v>
      </c>
      <c r="P11" s="27">
        <v>8446.2357909999992</v>
      </c>
      <c r="Q11" s="27" t="s">
        <v>200</v>
      </c>
      <c r="R11" s="27">
        <v>8010.0872689999997</v>
      </c>
      <c r="S11" s="27" t="s">
        <v>200</v>
      </c>
      <c r="T11" s="27">
        <v>7489.0803880000003</v>
      </c>
      <c r="U11" s="27" t="s">
        <v>200</v>
      </c>
      <c r="V11" s="27">
        <v>6958.0172780000003</v>
      </c>
      <c r="W11" s="27" t="s">
        <v>200</v>
      </c>
      <c r="X11" s="27">
        <v>6301.4220277000004</v>
      </c>
      <c r="Y11" s="27" t="s">
        <v>200</v>
      </c>
      <c r="Z11" s="27">
        <v>5750.4167278000004</v>
      </c>
      <c r="AA11" s="27" t="s">
        <v>200</v>
      </c>
      <c r="AB11" s="27">
        <v>5090.8930891999998</v>
      </c>
      <c r="AC11" s="27" t="s">
        <v>200</v>
      </c>
      <c r="AD11" s="27">
        <v>4370.3220160000001</v>
      </c>
    </row>
    <row r="12" spans="1:30">
      <c r="A12" s="27" t="s">
        <v>216</v>
      </c>
      <c r="B12" s="27" t="s">
        <v>217</v>
      </c>
      <c r="C12" s="27" t="s">
        <v>198</v>
      </c>
      <c r="D12" s="27" t="s">
        <v>1162</v>
      </c>
      <c r="E12" s="27" t="s">
        <v>83</v>
      </c>
      <c r="F12" s="27">
        <v>7823.0509077609504</v>
      </c>
      <c r="G12" s="27">
        <v>8323.2376629405207</v>
      </c>
      <c r="H12" s="27">
        <v>8829.9702803471901</v>
      </c>
      <c r="I12" s="27">
        <v>9347.9480467848898</v>
      </c>
      <c r="J12" s="27">
        <v>9646.5525026196792</v>
      </c>
      <c r="K12" s="27">
        <v>9551.2380880050296</v>
      </c>
      <c r="L12" s="27">
        <v>9432.4987081279305</v>
      </c>
      <c r="M12" s="27">
        <v>9343.9097872853308</v>
      </c>
      <c r="N12" s="27">
        <v>9214.5083552054402</v>
      </c>
      <c r="O12" s="27">
        <v>9184.2070829638596</v>
      </c>
      <c r="P12" s="27">
        <v>8628.9271439358708</v>
      </c>
      <c r="Q12" s="27">
        <v>8272.3582322970797</v>
      </c>
      <c r="R12" s="27">
        <v>7831.2494158477703</v>
      </c>
      <c r="S12" s="27">
        <v>7446.5339250943198</v>
      </c>
      <c r="T12" s="27">
        <v>7136.2018588819001</v>
      </c>
      <c r="U12" s="27">
        <v>6958.4154834211704</v>
      </c>
      <c r="V12" s="27">
        <v>6993.12897847148</v>
      </c>
      <c r="W12" s="27" t="s">
        <v>200</v>
      </c>
      <c r="X12" s="27">
        <v>6717.2410310914302</v>
      </c>
      <c r="Y12" s="27" t="s">
        <v>200</v>
      </c>
      <c r="Z12" s="27">
        <v>6764.5063243436298</v>
      </c>
      <c r="AA12" s="27" t="s">
        <v>200</v>
      </c>
      <c r="AB12" s="27">
        <v>6711.0824604836898</v>
      </c>
      <c r="AC12" s="27" t="s">
        <v>200</v>
      </c>
      <c r="AD12" s="27">
        <v>6506.8331886548303</v>
      </c>
    </row>
    <row r="13" spans="1:30">
      <c r="A13" s="27" t="s">
        <v>218</v>
      </c>
      <c r="B13" s="27" t="s">
        <v>219</v>
      </c>
      <c r="C13" s="27" t="s">
        <v>198</v>
      </c>
      <c r="D13" s="27" t="s">
        <v>1162</v>
      </c>
      <c r="E13" s="27" t="s">
        <v>83</v>
      </c>
      <c r="F13" s="27" t="s">
        <v>200</v>
      </c>
      <c r="G13" s="27">
        <v>9638.9624000000003</v>
      </c>
      <c r="H13" s="27">
        <v>10566.519899999999</v>
      </c>
      <c r="I13" s="27">
        <v>11437.675499999999</v>
      </c>
      <c r="J13" s="27">
        <v>12096.513499999999</v>
      </c>
      <c r="K13" s="27" t="s">
        <v>200</v>
      </c>
      <c r="L13" s="27" t="s">
        <v>200</v>
      </c>
      <c r="M13" s="27" t="s">
        <v>200</v>
      </c>
      <c r="N13" s="27" t="s">
        <v>200</v>
      </c>
      <c r="O13" s="27">
        <v>11857</v>
      </c>
      <c r="P13" s="27">
        <v>11612.66</v>
      </c>
      <c r="Q13" s="27">
        <v>11134.06</v>
      </c>
      <c r="R13" s="27">
        <v>11036.97</v>
      </c>
      <c r="S13" s="27">
        <v>11114.89</v>
      </c>
      <c r="T13" s="27">
        <v>11006.36</v>
      </c>
      <c r="U13" s="27">
        <v>11129.23</v>
      </c>
      <c r="V13" s="27">
        <v>11215.7</v>
      </c>
      <c r="W13" s="27" t="s">
        <v>200</v>
      </c>
      <c r="X13" s="27">
        <v>11496.39</v>
      </c>
      <c r="Y13" s="27" t="s">
        <v>200</v>
      </c>
      <c r="Z13" s="27">
        <v>11454.22</v>
      </c>
      <c r="AA13" s="27" t="s">
        <v>200</v>
      </c>
      <c r="AB13" s="27">
        <v>11339.86</v>
      </c>
      <c r="AC13" s="27" t="s">
        <v>200</v>
      </c>
      <c r="AD13" s="27">
        <v>10687.51</v>
      </c>
    </row>
    <row r="14" spans="1:30">
      <c r="A14" s="27" t="s">
        <v>220</v>
      </c>
      <c r="B14" s="27" t="s">
        <v>221</v>
      </c>
      <c r="C14" s="27" t="s">
        <v>198</v>
      </c>
      <c r="D14" s="27" t="s">
        <v>1162</v>
      </c>
      <c r="E14" s="27" t="s">
        <v>83</v>
      </c>
      <c r="F14" s="27" t="s">
        <v>200</v>
      </c>
      <c r="G14" s="27">
        <v>9541.5304696696803</v>
      </c>
      <c r="H14" s="27">
        <v>9922.6461604328088</v>
      </c>
      <c r="I14" s="27" t="s">
        <v>200</v>
      </c>
      <c r="J14" s="27">
        <v>10570.407848446601</v>
      </c>
      <c r="K14" s="27" t="s">
        <v>200</v>
      </c>
      <c r="L14" s="27" t="s">
        <v>200</v>
      </c>
      <c r="M14" s="27" t="s">
        <v>200</v>
      </c>
      <c r="N14" s="27" t="s">
        <v>200</v>
      </c>
      <c r="O14" s="27" t="s">
        <v>200</v>
      </c>
      <c r="P14" s="27">
        <v>7829.3831817455002</v>
      </c>
      <c r="Q14" s="27" t="s">
        <v>200</v>
      </c>
      <c r="R14" s="27">
        <v>7195.7588377644497</v>
      </c>
      <c r="S14" s="27" t="s">
        <v>200</v>
      </c>
      <c r="T14" s="27">
        <v>6559.34585470605</v>
      </c>
      <c r="U14" s="27" t="s">
        <v>200</v>
      </c>
      <c r="V14" s="27">
        <v>6020.1170638112499</v>
      </c>
      <c r="W14" s="27" t="s">
        <v>200</v>
      </c>
      <c r="X14" s="27">
        <v>5610.1386265670608</v>
      </c>
      <c r="Y14" s="27" t="s">
        <v>200</v>
      </c>
      <c r="Z14" s="27">
        <v>5244.5033051748496</v>
      </c>
      <c r="AA14" s="27" t="s">
        <v>200</v>
      </c>
      <c r="AB14" s="27">
        <v>4920.4940645177903</v>
      </c>
      <c r="AC14" s="27" t="s">
        <v>200</v>
      </c>
      <c r="AD14" s="27">
        <v>4632.0127202800204</v>
      </c>
    </row>
    <row r="15" spans="1:30">
      <c r="A15" s="27" t="s">
        <v>222</v>
      </c>
      <c r="B15" s="27" t="s">
        <v>223</v>
      </c>
      <c r="C15" s="27" t="s">
        <v>198</v>
      </c>
      <c r="D15" s="27" t="s">
        <v>1162</v>
      </c>
      <c r="E15" s="27" t="s">
        <v>83</v>
      </c>
      <c r="F15" s="27" t="s">
        <v>200</v>
      </c>
      <c r="G15" s="27">
        <v>10080.118399999999</v>
      </c>
      <c r="H15" s="27">
        <v>10771.843199999999</v>
      </c>
      <c r="I15" s="27">
        <v>11967.356100000001</v>
      </c>
      <c r="J15" s="27">
        <v>12798.9095</v>
      </c>
      <c r="K15" s="27" t="s">
        <v>200</v>
      </c>
      <c r="L15" s="27" t="s">
        <v>200</v>
      </c>
      <c r="M15" s="27" t="s">
        <v>200</v>
      </c>
      <c r="N15" s="27" t="s">
        <v>200</v>
      </c>
      <c r="O15" s="27">
        <v>11610.081200000001</v>
      </c>
      <c r="P15" s="27">
        <v>11475.4352</v>
      </c>
      <c r="Q15" s="27">
        <v>11291.1165</v>
      </c>
      <c r="R15" s="27">
        <v>11502.598599999999</v>
      </c>
      <c r="S15" s="27">
        <v>11730.185100000001</v>
      </c>
      <c r="T15" s="27">
        <v>11791.9609</v>
      </c>
      <c r="U15" s="27">
        <v>11927.3482</v>
      </c>
      <c r="V15" s="27">
        <v>11932.396699999999</v>
      </c>
      <c r="W15" s="27" t="s">
        <v>200</v>
      </c>
      <c r="X15" s="27">
        <v>11791.516</v>
      </c>
      <c r="Y15" s="27" t="s">
        <v>200</v>
      </c>
      <c r="Z15" s="27">
        <v>11381.955099999999</v>
      </c>
      <c r="AA15" s="27" t="s">
        <v>200</v>
      </c>
      <c r="AB15" s="27">
        <v>10815.9715</v>
      </c>
      <c r="AC15" s="27" t="s">
        <v>200</v>
      </c>
      <c r="AD15" s="27">
        <v>10391.3969</v>
      </c>
    </row>
    <row r="16" spans="1:30">
      <c r="A16" s="27" t="s">
        <v>196</v>
      </c>
      <c r="B16" s="27" t="s">
        <v>224</v>
      </c>
      <c r="C16" s="27" t="s">
        <v>198</v>
      </c>
      <c r="D16" s="27" t="s">
        <v>1162</v>
      </c>
      <c r="E16" s="27" t="s">
        <v>83</v>
      </c>
      <c r="F16" s="27" t="s">
        <v>200</v>
      </c>
      <c r="G16" s="27">
        <v>9879.3521000000001</v>
      </c>
      <c r="H16" s="27">
        <v>10556.0538</v>
      </c>
      <c r="I16" s="27">
        <v>11721.626899999999</v>
      </c>
      <c r="J16" s="27">
        <v>12646.665999999999</v>
      </c>
      <c r="K16" s="27" t="s">
        <v>200</v>
      </c>
      <c r="L16" s="27" t="s">
        <v>200</v>
      </c>
      <c r="M16" s="27" t="s">
        <v>200</v>
      </c>
      <c r="N16" s="27" t="s">
        <v>200</v>
      </c>
      <c r="O16" s="27">
        <v>11395.462100000001</v>
      </c>
      <c r="P16" s="27">
        <v>11435.2569</v>
      </c>
      <c r="Q16" s="27">
        <v>11395.6134</v>
      </c>
      <c r="R16" s="27">
        <v>11521.1824</v>
      </c>
      <c r="S16" s="27">
        <v>11743.654500000001</v>
      </c>
      <c r="T16" s="27">
        <v>11841.5368</v>
      </c>
      <c r="U16" s="27">
        <v>12000.484200000001</v>
      </c>
      <c r="V16" s="27">
        <v>12040.3225</v>
      </c>
      <c r="W16" s="27" t="s">
        <v>200</v>
      </c>
      <c r="X16" s="27">
        <v>11858.573</v>
      </c>
      <c r="Y16" s="27" t="s">
        <v>200</v>
      </c>
      <c r="Z16" s="27">
        <v>11455.1268</v>
      </c>
      <c r="AA16" s="27" t="s">
        <v>200</v>
      </c>
      <c r="AB16" s="27">
        <v>10893.309600000001</v>
      </c>
      <c r="AC16" s="27" t="s">
        <v>200</v>
      </c>
      <c r="AD16" s="27">
        <v>10488.7855</v>
      </c>
    </row>
    <row r="17" spans="1:30">
      <c r="A17" s="27" t="s">
        <v>207</v>
      </c>
      <c r="B17" s="27" t="s">
        <v>225</v>
      </c>
      <c r="C17" s="27" t="s">
        <v>198</v>
      </c>
      <c r="D17" s="27" t="s">
        <v>1162</v>
      </c>
      <c r="E17" s="27" t="s">
        <v>83</v>
      </c>
      <c r="F17" s="27">
        <v>7823.0509077609549</v>
      </c>
      <c r="G17" s="27">
        <v>8323.2376629405171</v>
      </c>
      <c r="H17" s="27">
        <v>8829.9702803471864</v>
      </c>
      <c r="I17" s="27">
        <v>9347.948046784888</v>
      </c>
      <c r="J17" s="27">
        <v>9768.3269565704286</v>
      </c>
      <c r="K17" s="27" t="s">
        <v>200</v>
      </c>
      <c r="L17" s="27" t="s">
        <v>200</v>
      </c>
      <c r="M17" s="27" t="s">
        <v>200</v>
      </c>
      <c r="N17" s="27" t="s">
        <v>200</v>
      </c>
      <c r="O17" s="27">
        <v>9242.483270447392</v>
      </c>
      <c r="P17" s="27">
        <v>8739.5459381340879</v>
      </c>
      <c r="Q17" s="27">
        <v>8435.3811741922</v>
      </c>
      <c r="R17" s="27">
        <v>8080.8963002181372</v>
      </c>
      <c r="S17" s="27">
        <v>7766.2814765689618</v>
      </c>
      <c r="T17" s="27">
        <v>7424.8838850666189</v>
      </c>
      <c r="U17" s="27">
        <v>7202.4217868928454</v>
      </c>
      <c r="V17" s="27">
        <v>7073.9048211550726</v>
      </c>
      <c r="W17" s="27" t="s">
        <v>200</v>
      </c>
      <c r="X17" s="27">
        <v>6915.217808266988</v>
      </c>
      <c r="Y17" s="27" t="s">
        <v>200</v>
      </c>
      <c r="Z17" s="27">
        <v>6738.4302628725964</v>
      </c>
      <c r="AA17" s="27" t="s">
        <v>200</v>
      </c>
      <c r="AB17" s="27">
        <v>6637.6920444980533</v>
      </c>
      <c r="AC17" s="27" t="s">
        <v>200</v>
      </c>
      <c r="AD17" s="27">
        <v>6382.2105147720622</v>
      </c>
    </row>
    <row r="18" spans="1:30">
      <c r="A18" s="27" t="s">
        <v>226</v>
      </c>
      <c r="B18" s="27" t="s">
        <v>227</v>
      </c>
      <c r="C18" s="27" t="s">
        <v>198</v>
      </c>
      <c r="D18" s="27" t="s">
        <v>1162</v>
      </c>
      <c r="E18" s="27" t="s">
        <v>83</v>
      </c>
      <c r="F18" s="27" t="s">
        <v>200</v>
      </c>
      <c r="G18" s="27">
        <v>9627.1602000000003</v>
      </c>
      <c r="H18" s="27">
        <v>10533.4079</v>
      </c>
      <c r="I18" s="27">
        <v>11434.761</v>
      </c>
      <c r="J18" s="27">
        <v>12159.582899999999</v>
      </c>
      <c r="K18" s="27" t="s">
        <v>200</v>
      </c>
      <c r="L18" s="27" t="s">
        <v>200</v>
      </c>
      <c r="M18" s="27" t="s">
        <v>200</v>
      </c>
      <c r="N18" s="27" t="s">
        <v>200</v>
      </c>
      <c r="O18" s="27">
        <v>10720.5242</v>
      </c>
      <c r="P18" s="27">
        <v>10019.7747</v>
      </c>
      <c r="Q18" s="27">
        <v>8870.6576000000005</v>
      </c>
      <c r="R18" s="27">
        <v>8803.1684000000005</v>
      </c>
      <c r="S18" s="27">
        <v>8530.1093999999994</v>
      </c>
      <c r="T18" s="27">
        <v>8722.0962999999992</v>
      </c>
      <c r="U18" s="27">
        <v>8662.2605999999996</v>
      </c>
      <c r="V18" s="27">
        <v>8516.8451999999997</v>
      </c>
      <c r="W18" s="27" t="s">
        <v>200</v>
      </c>
      <c r="X18" s="27">
        <v>8264.4640999999992</v>
      </c>
      <c r="Y18" s="27" t="s">
        <v>200</v>
      </c>
      <c r="Z18" s="27">
        <v>7943.3329999999996</v>
      </c>
      <c r="AA18" s="27" t="s">
        <v>200</v>
      </c>
      <c r="AB18" s="27">
        <v>7493.0048999999999</v>
      </c>
      <c r="AC18" s="27" t="s">
        <v>200</v>
      </c>
      <c r="AD18" s="27">
        <v>6995.4912999999997</v>
      </c>
    </row>
    <row r="19" spans="1:30">
      <c r="A19" s="27" t="s">
        <v>226</v>
      </c>
      <c r="B19" s="27" t="s">
        <v>228</v>
      </c>
      <c r="C19" s="27" t="s">
        <v>198</v>
      </c>
      <c r="D19" s="27" t="s">
        <v>1162</v>
      </c>
      <c r="E19" s="27" t="s">
        <v>83</v>
      </c>
      <c r="F19" s="27" t="s">
        <v>200</v>
      </c>
      <c r="G19" s="27">
        <v>9626.3983000000007</v>
      </c>
      <c r="H19" s="27">
        <v>10533.1777</v>
      </c>
      <c r="I19" s="27">
        <v>11427.5355</v>
      </c>
      <c r="J19" s="27">
        <v>12113.277899999999</v>
      </c>
      <c r="K19" s="27" t="s">
        <v>200</v>
      </c>
      <c r="L19" s="27" t="s">
        <v>200</v>
      </c>
      <c r="M19" s="27" t="s">
        <v>200</v>
      </c>
      <c r="N19" s="27" t="s">
        <v>200</v>
      </c>
      <c r="O19" s="27">
        <v>10730.482099999999</v>
      </c>
      <c r="P19" s="27">
        <v>10035.9185</v>
      </c>
      <c r="Q19" s="27">
        <v>8921.4706000000006</v>
      </c>
      <c r="R19" s="27">
        <v>8918.7219000000005</v>
      </c>
      <c r="S19" s="27">
        <v>8783.7612000000008</v>
      </c>
      <c r="T19" s="27">
        <v>9148.9753000000001</v>
      </c>
      <c r="U19" s="27">
        <v>9212.7003999999997</v>
      </c>
      <c r="V19" s="27">
        <v>9259.8552</v>
      </c>
      <c r="W19" s="27" t="s">
        <v>200</v>
      </c>
      <c r="X19" s="27">
        <v>9401.3862000000008</v>
      </c>
      <c r="Y19" s="27" t="s">
        <v>200</v>
      </c>
      <c r="Z19" s="27">
        <v>9253.7983000000004</v>
      </c>
      <c r="AA19" s="27" t="s">
        <v>200</v>
      </c>
      <c r="AB19" s="27">
        <v>8903.1437999999998</v>
      </c>
      <c r="AC19" s="27" t="s">
        <v>200</v>
      </c>
      <c r="AD19" s="27">
        <v>8557.6044999999995</v>
      </c>
    </row>
    <row r="20" spans="1:30">
      <c r="A20" s="27" t="s">
        <v>207</v>
      </c>
      <c r="B20" s="27" t="s">
        <v>229</v>
      </c>
      <c r="C20" s="27" t="s">
        <v>198</v>
      </c>
      <c r="D20" s="27" t="s">
        <v>1162</v>
      </c>
      <c r="E20" s="27" t="s">
        <v>83</v>
      </c>
      <c r="F20" s="27">
        <v>7823.0509077609549</v>
      </c>
      <c r="G20" s="27">
        <v>8323.2376629405171</v>
      </c>
      <c r="H20" s="27">
        <v>8829.9702803471864</v>
      </c>
      <c r="I20" s="27">
        <v>9347.948046784888</v>
      </c>
      <c r="J20" s="27">
        <v>9766.0441815084778</v>
      </c>
      <c r="K20" s="27" t="s">
        <v>200</v>
      </c>
      <c r="L20" s="27" t="s">
        <v>200</v>
      </c>
      <c r="M20" s="27" t="s">
        <v>200</v>
      </c>
      <c r="N20" s="27" t="s">
        <v>200</v>
      </c>
      <c r="O20" s="27">
        <v>9233.4255265031807</v>
      </c>
      <c r="P20" s="27">
        <v>8725.60428654108</v>
      </c>
      <c r="Q20" s="27">
        <v>8422.2416177726082</v>
      </c>
      <c r="R20" s="27">
        <v>8064.738066929679</v>
      </c>
      <c r="S20" s="27">
        <v>7740.8901731572678</v>
      </c>
      <c r="T20" s="27">
        <v>7391.3651268209651</v>
      </c>
      <c r="U20" s="27">
        <v>7147.2153449465068</v>
      </c>
      <c r="V20" s="27">
        <v>7035.6632716756239</v>
      </c>
      <c r="W20" s="27" t="s">
        <v>200</v>
      </c>
      <c r="X20" s="27">
        <v>6967.2088612752714</v>
      </c>
      <c r="Y20" s="27" t="s">
        <v>200</v>
      </c>
      <c r="Z20" s="27">
        <v>6711.1669152337527</v>
      </c>
      <c r="AA20" s="27" t="s">
        <v>200</v>
      </c>
      <c r="AB20" s="27">
        <v>6633.133258493458</v>
      </c>
      <c r="AC20" s="27" t="s">
        <v>200</v>
      </c>
      <c r="AD20" s="27">
        <v>6395.8613932712333</v>
      </c>
    </row>
    <row r="21" spans="1:30">
      <c r="A21" s="27" t="s">
        <v>207</v>
      </c>
      <c r="B21" s="27" t="s">
        <v>230</v>
      </c>
      <c r="C21" s="27" t="s">
        <v>198</v>
      </c>
      <c r="D21" s="27" t="s">
        <v>1162</v>
      </c>
      <c r="E21" s="27" t="s">
        <v>83</v>
      </c>
      <c r="F21" s="27">
        <v>7823.0509077609549</v>
      </c>
      <c r="G21" s="27">
        <v>8323.2376629405171</v>
      </c>
      <c r="H21" s="27">
        <v>8829.9702803471864</v>
      </c>
      <c r="I21" s="27">
        <v>9347.948046784888</v>
      </c>
      <c r="J21" s="27">
        <v>9764.8684805021803</v>
      </c>
      <c r="K21" s="27" t="s">
        <v>200</v>
      </c>
      <c r="L21" s="27" t="s">
        <v>200</v>
      </c>
      <c r="M21" s="27" t="s">
        <v>200</v>
      </c>
      <c r="N21" s="27" t="s">
        <v>200</v>
      </c>
      <c r="O21" s="27">
        <v>8998.2121030914841</v>
      </c>
      <c r="P21" s="27">
        <v>8278.4447192708612</v>
      </c>
      <c r="Q21" s="27">
        <v>7891.2839264316281</v>
      </c>
      <c r="R21" s="27">
        <v>7484.9624033017853</v>
      </c>
      <c r="S21" s="27">
        <v>7111.3457084802394</v>
      </c>
      <c r="T21" s="27">
        <v>6771.13762060099</v>
      </c>
      <c r="U21" s="27">
        <v>6815.5181810175691</v>
      </c>
      <c r="V21" s="27">
        <v>6893.5339256616317</v>
      </c>
      <c r="W21" s="27" t="s">
        <v>200</v>
      </c>
      <c r="X21" s="27">
        <v>6776.8758503792969</v>
      </c>
      <c r="Y21" s="27" t="s">
        <v>200</v>
      </c>
      <c r="Z21" s="27">
        <v>6647.9123307871896</v>
      </c>
      <c r="AA21" s="27" t="s">
        <v>200</v>
      </c>
      <c r="AB21" s="27">
        <v>6608.2225329967478</v>
      </c>
      <c r="AC21" s="27" t="s">
        <v>200</v>
      </c>
      <c r="AD21" s="27">
        <v>6431.3741856417728</v>
      </c>
    </row>
    <row r="22" spans="1:30">
      <c r="A22" s="27" t="s">
        <v>231</v>
      </c>
      <c r="B22" s="27" t="s">
        <v>232</v>
      </c>
      <c r="C22" s="27" t="s">
        <v>198</v>
      </c>
      <c r="D22" s="27" t="s">
        <v>1162</v>
      </c>
      <c r="E22" s="27" t="s">
        <v>83</v>
      </c>
      <c r="F22" s="27" t="s">
        <v>200</v>
      </c>
      <c r="G22" s="27">
        <v>9396.3974528838899</v>
      </c>
      <c r="H22" s="27">
        <v>10022.00953055</v>
      </c>
      <c r="I22" s="27">
        <v>10609.4808132079</v>
      </c>
      <c r="J22" s="27">
        <v>11230.915688276</v>
      </c>
      <c r="K22" s="27" t="s">
        <v>200</v>
      </c>
      <c r="L22" s="27" t="s">
        <v>200</v>
      </c>
      <c r="M22" s="27" t="s">
        <v>200</v>
      </c>
      <c r="N22" s="27" t="s">
        <v>200</v>
      </c>
      <c r="O22" s="27">
        <v>10552.481189005701</v>
      </c>
      <c r="P22" s="27">
        <v>10811.5872086696</v>
      </c>
      <c r="Q22" s="27">
        <v>10872.758048764401</v>
      </c>
      <c r="R22" s="27">
        <v>10910.622445531601</v>
      </c>
      <c r="S22" s="27">
        <v>11010.886478599799</v>
      </c>
      <c r="T22" s="27">
        <v>11163.328455523701</v>
      </c>
      <c r="U22" s="27">
        <v>11175.5781985945</v>
      </c>
      <c r="V22" s="27">
        <v>11170.897037287599</v>
      </c>
      <c r="W22" s="27">
        <v>11165.013457303599</v>
      </c>
      <c r="X22" s="27">
        <v>11161.2832216388</v>
      </c>
      <c r="Y22" s="27">
        <v>11162.186055545</v>
      </c>
      <c r="Z22" s="27">
        <v>11165.187469300599</v>
      </c>
      <c r="AA22" s="27">
        <v>11141.6264293522</v>
      </c>
      <c r="AB22" s="27">
        <v>11092.943234784299</v>
      </c>
      <c r="AC22" s="27">
        <v>11028.928267490601</v>
      </c>
      <c r="AD22" s="27">
        <v>10957.087631345999</v>
      </c>
    </row>
    <row r="23" spans="1:30">
      <c r="A23" s="27" t="s">
        <v>233</v>
      </c>
      <c r="B23" s="27" t="s">
        <v>224</v>
      </c>
      <c r="C23" s="27" t="s">
        <v>198</v>
      </c>
      <c r="D23" s="27" t="s">
        <v>1162</v>
      </c>
      <c r="E23" s="27" t="s">
        <v>83</v>
      </c>
      <c r="F23" s="27" t="s">
        <v>200</v>
      </c>
      <c r="G23" s="27" t="s">
        <v>200</v>
      </c>
      <c r="H23" s="27">
        <v>9705.1700824626441</v>
      </c>
      <c r="I23" s="27">
        <v>10057.81587025752</v>
      </c>
      <c r="J23" s="27">
        <v>10788.47681054536</v>
      </c>
      <c r="K23" s="27" t="s">
        <v>200</v>
      </c>
      <c r="L23" s="27" t="s">
        <v>200</v>
      </c>
      <c r="M23" s="27" t="s">
        <v>200</v>
      </c>
      <c r="N23" s="27" t="s">
        <v>200</v>
      </c>
      <c r="O23" s="27">
        <v>7950.4843838667421</v>
      </c>
      <c r="P23" s="27">
        <v>7213.9132254640981</v>
      </c>
      <c r="Q23" s="27">
        <v>6834.1594468968106</v>
      </c>
      <c r="R23" s="27">
        <v>6515.1038241240276</v>
      </c>
      <c r="S23" s="27">
        <v>6242.0336806275254</v>
      </c>
      <c r="T23" s="27">
        <v>5972.9134351892499</v>
      </c>
      <c r="U23" s="27">
        <v>6009.8703447481312</v>
      </c>
      <c r="V23" s="27">
        <v>6047.6663647840014</v>
      </c>
      <c r="W23" s="27">
        <v>6073.1085769308593</v>
      </c>
      <c r="X23" s="27">
        <v>6095.709241706405</v>
      </c>
      <c r="Y23" s="27">
        <v>6110.1498900886609</v>
      </c>
      <c r="Z23" s="27">
        <v>6126.3513906164444</v>
      </c>
      <c r="AA23" s="27">
        <v>6113.9993948632055</v>
      </c>
      <c r="AB23" s="27">
        <v>6109.5347898829286</v>
      </c>
      <c r="AC23" s="27">
        <v>6077.7180694854924</v>
      </c>
      <c r="AD23" s="27">
        <v>6044.6190461252127</v>
      </c>
    </row>
    <row r="24" spans="1:30">
      <c r="A24" s="27" t="s">
        <v>220</v>
      </c>
      <c r="B24" s="27" t="s">
        <v>215</v>
      </c>
      <c r="C24" s="27" t="s">
        <v>198</v>
      </c>
      <c r="D24" s="27" t="s">
        <v>1162</v>
      </c>
      <c r="E24" s="27" t="s">
        <v>83</v>
      </c>
      <c r="F24" s="27" t="s">
        <v>200</v>
      </c>
      <c r="G24" s="27">
        <v>9541.5304696696803</v>
      </c>
      <c r="H24" s="27">
        <v>9922.6461604328106</v>
      </c>
      <c r="I24" s="27" t="s">
        <v>200</v>
      </c>
      <c r="J24" s="27">
        <v>10410.2753867959</v>
      </c>
      <c r="K24" s="27" t="s">
        <v>200</v>
      </c>
      <c r="L24" s="27" t="s">
        <v>200</v>
      </c>
      <c r="M24" s="27" t="s">
        <v>200</v>
      </c>
      <c r="N24" s="27" t="s">
        <v>200</v>
      </c>
      <c r="O24" s="27" t="s">
        <v>200</v>
      </c>
      <c r="P24" s="27">
        <v>7607.1464633861497</v>
      </c>
      <c r="Q24" s="27" t="s">
        <v>200</v>
      </c>
      <c r="R24" s="27">
        <v>6979.75359588431</v>
      </c>
      <c r="S24" s="27" t="s">
        <v>200</v>
      </c>
      <c r="T24" s="27">
        <v>6390.5268733434896</v>
      </c>
      <c r="U24" s="27" t="s">
        <v>200</v>
      </c>
      <c r="V24" s="27">
        <v>5927.81518729664</v>
      </c>
      <c r="W24" s="27" t="s">
        <v>200</v>
      </c>
      <c r="X24" s="27">
        <v>5567.0836667461299</v>
      </c>
      <c r="Y24" s="27" t="s">
        <v>200</v>
      </c>
      <c r="Z24" s="27">
        <v>5244.9453438088503</v>
      </c>
      <c r="AA24" s="27" t="s">
        <v>200</v>
      </c>
      <c r="AB24" s="27">
        <v>4910.44908153701</v>
      </c>
      <c r="AC24" s="27" t="s">
        <v>200</v>
      </c>
      <c r="AD24" s="27">
        <v>4611.2066675420801</v>
      </c>
    </row>
    <row r="25" spans="1:30">
      <c r="A25" s="27" t="s">
        <v>226</v>
      </c>
      <c r="B25" s="27" t="s">
        <v>234</v>
      </c>
      <c r="C25" s="27" t="s">
        <v>198</v>
      </c>
      <c r="D25" s="27" t="s">
        <v>1162</v>
      </c>
      <c r="E25" s="27" t="s">
        <v>83</v>
      </c>
      <c r="F25" s="27" t="s">
        <v>200</v>
      </c>
      <c r="G25" s="27">
        <v>9627.1602000000003</v>
      </c>
      <c r="H25" s="27">
        <v>10533.4079</v>
      </c>
      <c r="I25" s="27">
        <v>11434.761</v>
      </c>
      <c r="J25" s="27">
        <v>12159.582899999999</v>
      </c>
      <c r="K25" s="27" t="s">
        <v>200</v>
      </c>
      <c r="L25" s="27" t="s">
        <v>200</v>
      </c>
      <c r="M25" s="27" t="s">
        <v>200</v>
      </c>
      <c r="N25" s="27" t="s">
        <v>200</v>
      </c>
      <c r="O25" s="27">
        <v>10046.48</v>
      </c>
      <c r="P25" s="27">
        <v>9556.2738000000008</v>
      </c>
      <c r="Q25" s="27">
        <v>9198.1401000000005</v>
      </c>
      <c r="R25" s="27">
        <v>9835.0797000000002</v>
      </c>
      <c r="S25" s="27">
        <v>9256.7651000000005</v>
      </c>
      <c r="T25" s="27">
        <v>9001.3310000000001</v>
      </c>
      <c r="U25" s="27">
        <v>8771.0154000000002</v>
      </c>
      <c r="V25" s="27">
        <v>8597.1369999999988</v>
      </c>
      <c r="W25" s="27" t="s">
        <v>200</v>
      </c>
      <c r="X25" s="27">
        <v>8303.5262999999995</v>
      </c>
      <c r="Y25" s="27" t="s">
        <v>200</v>
      </c>
      <c r="Z25" s="27">
        <v>7895.5451999999996</v>
      </c>
      <c r="AA25" s="27" t="s">
        <v>200</v>
      </c>
      <c r="AB25" s="27">
        <v>7544.5569999999998</v>
      </c>
      <c r="AC25" s="27" t="s">
        <v>200</v>
      </c>
      <c r="AD25" s="27">
        <v>6996.7001</v>
      </c>
    </row>
    <row r="26" spans="1:30">
      <c r="A26" s="27" t="s">
        <v>216</v>
      </c>
      <c r="B26" s="27" t="s">
        <v>235</v>
      </c>
      <c r="C26" s="27" t="s">
        <v>198</v>
      </c>
      <c r="D26" s="27" t="s">
        <v>1162</v>
      </c>
      <c r="E26" s="27" t="s">
        <v>83</v>
      </c>
      <c r="F26" s="27">
        <v>7823.0509077609504</v>
      </c>
      <c r="G26" s="27">
        <v>8323.2376629405207</v>
      </c>
      <c r="H26" s="27">
        <v>8829.9702803471901</v>
      </c>
      <c r="I26" s="27">
        <v>9347.9480467848898</v>
      </c>
      <c r="J26" s="27">
        <v>9651.4388418017897</v>
      </c>
      <c r="K26" s="27">
        <v>9522.1026961165007</v>
      </c>
      <c r="L26" s="27">
        <v>9396.38330833693</v>
      </c>
      <c r="M26" s="27">
        <v>9289.5611581490994</v>
      </c>
      <c r="N26" s="27">
        <v>9195.7771884919694</v>
      </c>
      <c r="O26" s="27">
        <v>9144.1654454591499</v>
      </c>
      <c r="P26" s="27">
        <v>8609.5897648435694</v>
      </c>
      <c r="Q26" s="27">
        <v>8264.8621333047795</v>
      </c>
      <c r="R26" s="27">
        <v>7844.3768404587299</v>
      </c>
      <c r="S26" s="27">
        <v>7486.9605775339196</v>
      </c>
      <c r="T26" s="27">
        <v>7180.8952915639102</v>
      </c>
      <c r="U26" s="27">
        <v>6983.8607498545398</v>
      </c>
      <c r="V26" s="27">
        <v>6997.2145522011197</v>
      </c>
      <c r="W26" s="27" t="s">
        <v>200</v>
      </c>
      <c r="X26" s="27">
        <v>6716.0035768670796</v>
      </c>
      <c r="Y26" s="27" t="s">
        <v>200</v>
      </c>
      <c r="Z26" s="27">
        <v>6768.9913315382501</v>
      </c>
      <c r="AA26" s="27" t="s">
        <v>200</v>
      </c>
      <c r="AB26" s="27">
        <v>6705.21646075025</v>
      </c>
      <c r="AC26" s="27" t="s">
        <v>200</v>
      </c>
      <c r="AD26" s="27">
        <v>6488.44887456379</v>
      </c>
    </row>
    <row r="27" spans="1:30">
      <c r="A27" s="27" t="s">
        <v>196</v>
      </c>
      <c r="B27" s="27" t="s">
        <v>236</v>
      </c>
      <c r="C27" s="27" t="s">
        <v>198</v>
      </c>
      <c r="D27" s="27" t="s">
        <v>1162</v>
      </c>
      <c r="E27" s="27" t="s">
        <v>83</v>
      </c>
      <c r="F27" s="27" t="s">
        <v>200</v>
      </c>
      <c r="G27" s="27" t="s">
        <v>200</v>
      </c>
      <c r="H27" s="27">
        <v>10593.850700000001</v>
      </c>
      <c r="I27" s="27">
        <v>11796.569</v>
      </c>
      <c r="J27" s="27">
        <v>12035.5455</v>
      </c>
      <c r="K27" s="27" t="s">
        <v>200</v>
      </c>
      <c r="L27" s="27" t="s">
        <v>200</v>
      </c>
      <c r="M27" s="27" t="s">
        <v>200</v>
      </c>
      <c r="N27" s="27" t="s">
        <v>200</v>
      </c>
      <c r="O27" s="27">
        <v>10881.4072</v>
      </c>
      <c r="P27" s="27">
        <v>10824.8393</v>
      </c>
      <c r="Q27" s="27">
        <v>10892.2582</v>
      </c>
      <c r="R27" s="27">
        <v>11289.521699999999</v>
      </c>
      <c r="S27" s="27">
        <v>11659.785400000001</v>
      </c>
      <c r="T27" s="27">
        <v>11824.067999999999</v>
      </c>
      <c r="U27" s="27">
        <v>12060.8434</v>
      </c>
      <c r="V27" s="27">
        <v>12069.752399999999</v>
      </c>
      <c r="W27" s="27" t="s">
        <v>200</v>
      </c>
      <c r="X27" s="27">
        <v>11782.6095</v>
      </c>
      <c r="Y27" s="27" t="s">
        <v>200</v>
      </c>
      <c r="Z27" s="27">
        <v>11280.1237</v>
      </c>
      <c r="AA27" s="27" t="s">
        <v>200</v>
      </c>
      <c r="AB27" s="27">
        <v>10689.439</v>
      </c>
      <c r="AC27" s="27" t="s">
        <v>200</v>
      </c>
      <c r="AD27" s="27">
        <v>10269.9548</v>
      </c>
    </row>
    <row r="28" spans="1:30">
      <c r="A28" s="27" t="s">
        <v>231</v>
      </c>
      <c r="B28" s="27" t="s">
        <v>237</v>
      </c>
      <c r="C28" s="27" t="s">
        <v>198</v>
      </c>
      <c r="D28" s="27" t="s">
        <v>1162</v>
      </c>
      <c r="E28" s="27" t="s">
        <v>83</v>
      </c>
      <c r="F28" s="27" t="s">
        <v>200</v>
      </c>
      <c r="G28" s="27">
        <v>9396.3974528838899</v>
      </c>
      <c r="H28" s="27">
        <v>10022.00953055</v>
      </c>
      <c r="I28" s="27">
        <v>10609.4808132079</v>
      </c>
      <c r="J28" s="27">
        <v>11230.915688276</v>
      </c>
      <c r="K28" s="27" t="s">
        <v>200</v>
      </c>
      <c r="L28" s="27" t="s">
        <v>200</v>
      </c>
      <c r="M28" s="27" t="s">
        <v>200</v>
      </c>
      <c r="N28" s="27" t="s">
        <v>200</v>
      </c>
      <c r="O28" s="27">
        <v>10818.5389879786</v>
      </c>
      <c r="P28" s="27">
        <v>10863.8802245563</v>
      </c>
      <c r="Q28" s="27">
        <v>11004.934650728201</v>
      </c>
      <c r="R28" s="27">
        <v>11154.317463507001</v>
      </c>
      <c r="S28" s="27">
        <v>11014.4726585218</v>
      </c>
      <c r="T28" s="27">
        <v>11151.182042095999</v>
      </c>
      <c r="U28" s="27">
        <v>11162.104742346401</v>
      </c>
      <c r="V28" s="27">
        <v>11169.1588816443</v>
      </c>
      <c r="W28" s="27">
        <v>11172.895427215801</v>
      </c>
      <c r="X28" s="27">
        <v>11165.950579390799</v>
      </c>
      <c r="Y28" s="27">
        <v>11158.2857059325</v>
      </c>
      <c r="Z28" s="27">
        <v>11158.595094951799</v>
      </c>
      <c r="AA28" s="27">
        <v>11141.994639471501</v>
      </c>
      <c r="AB28" s="27">
        <v>11099.9580429209</v>
      </c>
      <c r="AC28" s="27">
        <v>11033.1717262078</v>
      </c>
      <c r="AD28" s="27">
        <v>10942.2101704569</v>
      </c>
    </row>
    <row r="29" spans="1:30">
      <c r="A29" s="27" t="s">
        <v>233</v>
      </c>
      <c r="B29" s="27" t="s">
        <v>238</v>
      </c>
      <c r="C29" s="27" t="s">
        <v>198</v>
      </c>
      <c r="D29" s="27" t="s">
        <v>1162</v>
      </c>
      <c r="E29" s="27" t="s">
        <v>83</v>
      </c>
      <c r="F29" s="27" t="s">
        <v>200</v>
      </c>
      <c r="G29" s="27" t="s">
        <v>200</v>
      </c>
      <c r="H29" s="27">
        <v>9705.1700824626441</v>
      </c>
      <c r="I29" s="27">
        <v>10057.81587025752</v>
      </c>
      <c r="J29" s="27">
        <v>10788.47681054536</v>
      </c>
      <c r="K29" s="27" t="s">
        <v>200</v>
      </c>
      <c r="L29" s="27" t="s">
        <v>200</v>
      </c>
      <c r="M29" s="27" t="s">
        <v>200</v>
      </c>
      <c r="N29" s="27" t="s">
        <v>200</v>
      </c>
      <c r="O29" s="27">
        <v>8012.2283030380786</v>
      </c>
      <c r="P29" s="27">
        <v>7278.1356004313893</v>
      </c>
      <c r="Q29" s="27">
        <v>6849.2178302479024</v>
      </c>
      <c r="R29" s="27">
        <v>6526.7096923659929</v>
      </c>
      <c r="S29" s="27">
        <v>6254.0537942365636</v>
      </c>
      <c r="T29" s="27">
        <v>5979.7875937122817</v>
      </c>
      <c r="U29" s="27">
        <v>6017.4140081106561</v>
      </c>
      <c r="V29" s="27">
        <v>6053.1859391780818</v>
      </c>
      <c r="W29" s="27">
        <v>6078.7017085566777</v>
      </c>
      <c r="X29" s="27">
        <v>6102.7398495692469</v>
      </c>
      <c r="Y29" s="27">
        <v>6116.9271819552514</v>
      </c>
      <c r="Z29" s="27">
        <v>6132.5037588223004</v>
      </c>
      <c r="AA29" s="27">
        <v>6118.9899996935501</v>
      </c>
      <c r="AB29" s="27">
        <v>6112.5326055354499</v>
      </c>
      <c r="AC29" s="27">
        <v>6080.6485107322487</v>
      </c>
      <c r="AD29" s="27">
        <v>6042.7226216974186</v>
      </c>
    </row>
    <row r="30" spans="1:30">
      <c r="A30" s="27" t="s">
        <v>239</v>
      </c>
      <c r="B30" s="27" t="s">
        <v>240</v>
      </c>
      <c r="C30" s="27" t="s">
        <v>198</v>
      </c>
      <c r="D30" s="27" t="s">
        <v>1162</v>
      </c>
      <c r="E30" s="27" t="s">
        <v>83</v>
      </c>
      <c r="F30" s="27" t="s">
        <v>200</v>
      </c>
      <c r="G30" s="27">
        <v>9805.0812000000005</v>
      </c>
      <c r="H30" s="27">
        <v>10325.495500000001</v>
      </c>
      <c r="I30" s="27" t="s">
        <v>200</v>
      </c>
      <c r="J30" s="27">
        <v>10922.0849</v>
      </c>
      <c r="K30" s="27" t="s">
        <v>200</v>
      </c>
      <c r="L30" s="27" t="s">
        <v>200</v>
      </c>
      <c r="M30" s="27" t="s">
        <v>200</v>
      </c>
      <c r="N30" s="27" t="s">
        <v>200</v>
      </c>
      <c r="O30" s="27" t="s">
        <v>200</v>
      </c>
      <c r="P30" s="27">
        <v>9937.4847000000009</v>
      </c>
      <c r="Q30" s="27" t="s">
        <v>200</v>
      </c>
      <c r="R30" s="27">
        <v>10574.261</v>
      </c>
      <c r="S30" s="27" t="s">
        <v>200</v>
      </c>
      <c r="T30" s="27">
        <v>11029.080400000001</v>
      </c>
      <c r="U30" s="27" t="s">
        <v>200</v>
      </c>
      <c r="V30" s="27">
        <v>10542.9004</v>
      </c>
      <c r="W30" s="27" t="s">
        <v>200</v>
      </c>
      <c r="X30" s="27">
        <v>10600.6764</v>
      </c>
      <c r="Y30" s="27" t="s">
        <v>200</v>
      </c>
      <c r="Z30" s="27">
        <v>10529.0128</v>
      </c>
      <c r="AA30" s="27" t="s">
        <v>200</v>
      </c>
      <c r="AB30" s="27">
        <v>10320.3873</v>
      </c>
      <c r="AC30" s="27" t="s">
        <v>200</v>
      </c>
      <c r="AD30" s="27">
        <v>10143.3195</v>
      </c>
    </row>
    <row r="31" spans="1:30">
      <c r="A31" s="27" t="s">
        <v>207</v>
      </c>
      <c r="B31" s="27" t="s">
        <v>241</v>
      </c>
      <c r="C31" s="27" t="s">
        <v>198</v>
      </c>
      <c r="D31" s="27" t="s">
        <v>1162</v>
      </c>
      <c r="E31" s="27" t="s">
        <v>83</v>
      </c>
      <c r="F31" s="27">
        <v>7823.0509077609549</v>
      </c>
      <c r="G31" s="27">
        <v>8323.2376629405171</v>
      </c>
      <c r="H31" s="27">
        <v>8829.9702803471864</v>
      </c>
      <c r="I31" s="27">
        <v>9347.948046784888</v>
      </c>
      <c r="J31" s="27">
        <v>9764.3931800786286</v>
      </c>
      <c r="K31" s="27" t="s">
        <v>200</v>
      </c>
      <c r="L31" s="27" t="s">
        <v>200</v>
      </c>
      <c r="M31" s="27" t="s">
        <v>200</v>
      </c>
      <c r="N31" s="27" t="s">
        <v>200</v>
      </c>
      <c r="O31" s="27">
        <v>9235.3906678758085</v>
      </c>
      <c r="P31" s="27">
        <v>8725.0713343034859</v>
      </c>
      <c r="Q31" s="27">
        <v>8395.6722349163338</v>
      </c>
      <c r="R31" s="27">
        <v>8022.8081053330116</v>
      </c>
      <c r="S31" s="27">
        <v>7685.7862669326814</v>
      </c>
      <c r="T31" s="27">
        <v>7342.9248125717249</v>
      </c>
      <c r="U31" s="27">
        <v>7086.1513881927431</v>
      </c>
      <c r="V31" s="27">
        <v>6957.4888323376908</v>
      </c>
      <c r="W31" s="27" t="s">
        <v>200</v>
      </c>
      <c r="X31" s="27">
        <v>6917.2861882601073</v>
      </c>
      <c r="Y31" s="27" t="s">
        <v>200</v>
      </c>
      <c r="Z31" s="27">
        <v>6693.7939189925119</v>
      </c>
      <c r="AA31" s="27" t="s">
        <v>200</v>
      </c>
      <c r="AB31" s="27">
        <v>6651.7396494048526</v>
      </c>
      <c r="AC31" s="27" t="s">
        <v>200</v>
      </c>
      <c r="AD31" s="27">
        <v>6460.5532043947742</v>
      </c>
    </row>
    <row r="32" spans="1:30">
      <c r="A32" s="27" t="s">
        <v>242</v>
      </c>
      <c r="B32" s="27" t="s">
        <v>243</v>
      </c>
      <c r="C32" s="27" t="s">
        <v>198</v>
      </c>
      <c r="D32" s="27" t="s">
        <v>1162</v>
      </c>
      <c r="E32" s="27" t="s">
        <v>83</v>
      </c>
      <c r="F32" s="27" t="s">
        <v>200</v>
      </c>
      <c r="G32" s="27">
        <v>10643.4700101336</v>
      </c>
      <c r="H32" s="27">
        <v>10235.5690044862</v>
      </c>
      <c r="I32" s="27">
        <v>10330.0540236257</v>
      </c>
      <c r="J32" s="27">
        <v>10570.7268784814</v>
      </c>
      <c r="K32" s="27" t="s">
        <v>200</v>
      </c>
      <c r="L32" s="27" t="s">
        <v>200</v>
      </c>
      <c r="M32" s="27" t="s">
        <v>200</v>
      </c>
      <c r="N32" s="27" t="s">
        <v>200</v>
      </c>
      <c r="O32" s="27">
        <v>7265.6569953350599</v>
      </c>
      <c r="P32" s="27">
        <v>6370.3264732493508</v>
      </c>
      <c r="Q32" s="27">
        <v>5793.2800423065892</v>
      </c>
      <c r="R32" s="27">
        <v>5347.2911188359794</v>
      </c>
      <c r="S32" s="27">
        <v>4950.2742333289707</v>
      </c>
      <c r="T32" s="27">
        <v>4557.7075150892606</v>
      </c>
      <c r="U32" s="27" t="s">
        <v>200</v>
      </c>
      <c r="V32" s="27">
        <v>4380.8901672576503</v>
      </c>
      <c r="W32" s="27" t="s">
        <v>200</v>
      </c>
      <c r="X32" s="27">
        <v>4135.0943748945701</v>
      </c>
      <c r="Y32" s="27" t="s">
        <v>200</v>
      </c>
      <c r="Z32" s="27">
        <v>3996.55819263886</v>
      </c>
      <c r="AA32" s="27" t="s">
        <v>200</v>
      </c>
      <c r="AB32" s="27">
        <v>3928.21502834071</v>
      </c>
      <c r="AC32" s="27" t="s">
        <v>200</v>
      </c>
      <c r="AD32" s="27">
        <v>3884.6754439476099</v>
      </c>
    </row>
    <row r="33" spans="1:30">
      <c r="A33" s="27" t="s">
        <v>244</v>
      </c>
      <c r="B33" s="27" t="s">
        <v>202</v>
      </c>
      <c r="C33" s="27" t="s">
        <v>198</v>
      </c>
      <c r="D33" s="27" t="s">
        <v>1162</v>
      </c>
      <c r="E33" s="27" t="s">
        <v>83</v>
      </c>
      <c r="F33" s="27" t="s">
        <v>200</v>
      </c>
      <c r="G33" s="27" t="s">
        <v>200</v>
      </c>
      <c r="H33" s="27" t="s">
        <v>200</v>
      </c>
      <c r="I33" s="27">
        <v>9036.3942460076978</v>
      </c>
      <c r="J33" s="27">
        <v>9447.0666189088097</v>
      </c>
      <c r="K33" s="27" t="s">
        <v>200</v>
      </c>
      <c r="L33" s="27" t="s">
        <v>200</v>
      </c>
      <c r="M33" s="27" t="s">
        <v>200</v>
      </c>
      <c r="N33" s="27" t="s">
        <v>200</v>
      </c>
      <c r="O33" s="27">
        <v>8927.5017716251114</v>
      </c>
      <c r="P33" s="27">
        <v>8508.5526524248817</v>
      </c>
      <c r="Q33" s="27">
        <v>7223.2332268630907</v>
      </c>
      <c r="R33" s="27">
        <v>6262.2704215679132</v>
      </c>
      <c r="S33" s="27">
        <v>5926.7122593511294</v>
      </c>
      <c r="T33" s="27">
        <v>5835.7803791649994</v>
      </c>
      <c r="U33" s="27">
        <v>5908.7421370395041</v>
      </c>
      <c r="V33" s="27">
        <v>6067.2718693226398</v>
      </c>
      <c r="W33" s="27">
        <v>6173.3312196597544</v>
      </c>
      <c r="X33" s="27">
        <v>6286.6438601014106</v>
      </c>
      <c r="Y33" s="27">
        <v>6469.2798168564514</v>
      </c>
      <c r="Z33" s="27">
        <v>6610.1152010463647</v>
      </c>
      <c r="AA33" s="27">
        <v>6713.6499121089046</v>
      </c>
      <c r="AB33" s="27">
        <v>6809.677284451579</v>
      </c>
      <c r="AC33" s="27">
        <v>6898.0655548052846</v>
      </c>
      <c r="AD33" s="27">
        <v>6990.8481854422944</v>
      </c>
    </row>
    <row r="34" spans="1:30">
      <c r="A34" s="27" t="s">
        <v>242</v>
      </c>
      <c r="B34" s="27" t="s">
        <v>245</v>
      </c>
      <c r="C34" s="27" t="s">
        <v>198</v>
      </c>
      <c r="D34" s="27" t="s">
        <v>1162</v>
      </c>
      <c r="E34" s="27" t="s">
        <v>83</v>
      </c>
      <c r="F34" s="27" t="s">
        <v>200</v>
      </c>
      <c r="G34" s="27">
        <v>10643.4700101336</v>
      </c>
      <c r="H34" s="27">
        <v>10235.5690044862</v>
      </c>
      <c r="I34" s="27">
        <v>10330.0540236257</v>
      </c>
      <c r="J34" s="27">
        <v>10570.7268784814</v>
      </c>
      <c r="K34" s="27" t="s">
        <v>200</v>
      </c>
      <c r="L34" s="27" t="s">
        <v>200</v>
      </c>
      <c r="M34" s="27" t="s">
        <v>200</v>
      </c>
      <c r="N34" s="27" t="s">
        <v>200</v>
      </c>
      <c r="O34" s="27">
        <v>7882.7752014627285</v>
      </c>
      <c r="P34" s="27">
        <v>7030.9544610892599</v>
      </c>
      <c r="Q34" s="27">
        <v>6493.7540993196108</v>
      </c>
      <c r="R34" s="27">
        <v>6048.6069593125712</v>
      </c>
      <c r="S34" s="27">
        <v>5618.4911096768601</v>
      </c>
      <c r="T34" s="27">
        <v>5205.53862105396</v>
      </c>
      <c r="U34" s="27" t="s">
        <v>200</v>
      </c>
      <c r="V34" s="27">
        <v>4993.1129075247209</v>
      </c>
      <c r="W34" s="27" t="s">
        <v>200</v>
      </c>
      <c r="X34" s="27">
        <v>4751.0732487640398</v>
      </c>
      <c r="Y34" s="27" t="s">
        <v>200</v>
      </c>
      <c r="Z34" s="27">
        <v>4485.91896253714</v>
      </c>
      <c r="AA34" s="27" t="s">
        <v>200</v>
      </c>
      <c r="AB34" s="27">
        <v>4263.1203821872004</v>
      </c>
      <c r="AC34" s="27" t="s">
        <v>200</v>
      </c>
      <c r="AD34" s="27">
        <v>3920.3727945572718</v>
      </c>
    </row>
    <row r="35" spans="1:30">
      <c r="A35" s="27" t="s">
        <v>246</v>
      </c>
      <c r="B35" s="27" t="s">
        <v>243</v>
      </c>
      <c r="C35" s="27" t="s">
        <v>198</v>
      </c>
      <c r="D35" s="27" t="s">
        <v>1162</v>
      </c>
      <c r="E35" s="27" t="s">
        <v>83</v>
      </c>
      <c r="F35" s="27" t="s">
        <v>200</v>
      </c>
      <c r="G35" s="27">
        <v>9297.3402999999998</v>
      </c>
      <c r="H35" s="27">
        <v>9967.1718000000001</v>
      </c>
      <c r="I35" s="27">
        <v>10438.944299999999</v>
      </c>
      <c r="J35" s="27">
        <v>10710.975899999999</v>
      </c>
      <c r="K35" s="27" t="s">
        <v>200</v>
      </c>
      <c r="L35" s="27" t="s">
        <v>200</v>
      </c>
      <c r="M35" s="27" t="s">
        <v>200</v>
      </c>
      <c r="N35" s="27" t="s">
        <v>200</v>
      </c>
      <c r="O35" s="27">
        <v>7033.7708000000002</v>
      </c>
      <c r="P35" s="27">
        <v>6244.1786000000002</v>
      </c>
      <c r="Q35" s="27">
        <v>5836.0924000000005</v>
      </c>
      <c r="R35" s="27">
        <v>5844.4472999999998</v>
      </c>
      <c r="S35" s="27">
        <v>5787.3365000000003</v>
      </c>
      <c r="T35" s="27">
        <v>5865.3140000000003</v>
      </c>
      <c r="U35" s="27">
        <v>5892.8207000000002</v>
      </c>
      <c r="V35" s="27">
        <v>6022.9636</v>
      </c>
      <c r="W35" s="27">
        <v>6179.6952000000001</v>
      </c>
      <c r="X35" s="27">
        <v>6338.2224999999999</v>
      </c>
      <c r="Y35" s="27">
        <v>6425.7530999999999</v>
      </c>
      <c r="Z35" s="27">
        <v>6348.0942999999997</v>
      </c>
      <c r="AA35" s="27">
        <v>6328.8861999999999</v>
      </c>
      <c r="AB35" s="27">
        <v>6383.6022999999996</v>
      </c>
      <c r="AC35" s="27">
        <v>6416.7861000000003</v>
      </c>
      <c r="AD35" s="27">
        <v>6218.7664999999997</v>
      </c>
    </row>
    <row r="36" spans="1:30">
      <c r="A36" s="27" t="s">
        <v>247</v>
      </c>
      <c r="B36" s="27" t="s">
        <v>248</v>
      </c>
      <c r="C36" s="27" t="s">
        <v>198</v>
      </c>
      <c r="D36" s="27" t="s">
        <v>1162</v>
      </c>
      <c r="E36" s="27" t="s">
        <v>83</v>
      </c>
      <c r="F36" s="27">
        <v>7511.2431640625</v>
      </c>
      <c r="G36" s="27">
        <v>7923.25244140625</v>
      </c>
      <c r="H36" s="27">
        <v>8265.357421875</v>
      </c>
      <c r="I36" s="27" t="s">
        <v>200</v>
      </c>
      <c r="J36" s="27">
        <v>9172.8916015625</v>
      </c>
      <c r="K36" s="27" t="s">
        <v>200</v>
      </c>
      <c r="L36" s="27" t="s">
        <v>200</v>
      </c>
      <c r="M36" s="27" t="s">
        <v>200</v>
      </c>
      <c r="N36" s="27" t="s">
        <v>200</v>
      </c>
      <c r="O36" s="27" t="s">
        <v>200</v>
      </c>
      <c r="P36" s="27">
        <v>6314.6640625</v>
      </c>
      <c r="Q36" s="27" t="s">
        <v>200</v>
      </c>
      <c r="R36" s="27">
        <v>4851.84423828125</v>
      </c>
      <c r="S36" s="27" t="s">
        <v>200</v>
      </c>
      <c r="T36" s="27">
        <v>3733.15893554688</v>
      </c>
      <c r="U36" s="27" t="s">
        <v>200</v>
      </c>
      <c r="V36" s="27">
        <v>3318.11767578125</v>
      </c>
      <c r="W36" s="27" t="s">
        <v>200</v>
      </c>
      <c r="X36" s="27">
        <v>3185.78295898438</v>
      </c>
      <c r="Y36" s="27" t="s">
        <v>200</v>
      </c>
      <c r="Z36" s="27">
        <v>2765.88159179688</v>
      </c>
      <c r="AA36" s="27" t="s">
        <v>200</v>
      </c>
      <c r="AB36" s="27">
        <v>2500.22802734375</v>
      </c>
      <c r="AC36" s="27" t="s">
        <v>200</v>
      </c>
      <c r="AD36" s="27">
        <v>2471.28295898438</v>
      </c>
    </row>
    <row r="37" spans="1:30">
      <c r="A37" s="27" t="s">
        <v>203</v>
      </c>
      <c r="B37" s="27" t="s">
        <v>249</v>
      </c>
      <c r="C37" s="27" t="s">
        <v>198</v>
      </c>
      <c r="D37" s="27" t="s">
        <v>1162</v>
      </c>
      <c r="E37" s="27" t="s">
        <v>83</v>
      </c>
      <c r="F37" s="27" t="s">
        <v>200</v>
      </c>
      <c r="G37" s="27">
        <v>9892.6908000000003</v>
      </c>
      <c r="H37" s="27">
        <v>10581.7094</v>
      </c>
      <c r="I37" s="27">
        <v>11755.3362</v>
      </c>
      <c r="J37" s="27">
        <v>12705.295</v>
      </c>
      <c r="K37" s="27" t="s">
        <v>200</v>
      </c>
      <c r="L37" s="27" t="s">
        <v>200</v>
      </c>
      <c r="M37" s="27" t="s">
        <v>200</v>
      </c>
      <c r="N37" s="27" t="s">
        <v>200</v>
      </c>
      <c r="O37" s="27">
        <v>12141.9087</v>
      </c>
      <c r="P37" s="27">
        <v>12123.966200000001</v>
      </c>
      <c r="Q37" s="27">
        <v>11707.5483</v>
      </c>
      <c r="R37" s="27">
        <v>11624.5749</v>
      </c>
      <c r="S37" s="27">
        <v>11927.221</v>
      </c>
      <c r="T37" s="27">
        <v>12086.358399999999</v>
      </c>
      <c r="U37" s="27">
        <v>12285.5689</v>
      </c>
      <c r="V37" s="27">
        <v>12334.064899999999</v>
      </c>
      <c r="W37" s="27" t="s">
        <v>200</v>
      </c>
      <c r="X37" s="27">
        <v>12089.931399999999</v>
      </c>
      <c r="Y37" s="27" t="s">
        <v>200</v>
      </c>
      <c r="Z37" s="27">
        <v>11593.914699999999</v>
      </c>
      <c r="AA37" s="27" t="s">
        <v>200</v>
      </c>
      <c r="AB37" s="27">
        <v>11756.5694</v>
      </c>
      <c r="AC37" s="27" t="s">
        <v>200</v>
      </c>
      <c r="AD37" s="27">
        <v>10648.0519</v>
      </c>
    </row>
    <row r="38" spans="1:30">
      <c r="A38" s="27" t="s">
        <v>196</v>
      </c>
      <c r="B38" s="27" t="s">
        <v>250</v>
      </c>
      <c r="C38" s="27" t="s">
        <v>198</v>
      </c>
      <c r="D38" s="27" t="s">
        <v>1162</v>
      </c>
      <c r="E38" s="27" t="s">
        <v>83</v>
      </c>
      <c r="F38" s="27" t="s">
        <v>200</v>
      </c>
      <c r="G38" s="27">
        <v>9879.9531000000006</v>
      </c>
      <c r="H38" s="27">
        <v>10557.555200000001</v>
      </c>
      <c r="I38" s="27">
        <v>11728.8856</v>
      </c>
      <c r="J38" s="27">
        <v>12645.4427</v>
      </c>
      <c r="K38" s="27" t="s">
        <v>200</v>
      </c>
      <c r="L38" s="27" t="s">
        <v>200</v>
      </c>
      <c r="M38" s="27" t="s">
        <v>200</v>
      </c>
      <c r="N38" s="27" t="s">
        <v>200</v>
      </c>
      <c r="O38" s="27">
        <v>11647.3644</v>
      </c>
      <c r="P38" s="27">
        <v>11695.349099999999</v>
      </c>
      <c r="Q38" s="27">
        <v>11561.5975</v>
      </c>
      <c r="R38" s="27">
        <v>11689.1741</v>
      </c>
      <c r="S38" s="27">
        <v>11998.4049</v>
      </c>
      <c r="T38" s="27">
        <v>12128.878000000001</v>
      </c>
      <c r="U38" s="27">
        <v>12291.8372</v>
      </c>
      <c r="V38" s="27">
        <v>12384.2071</v>
      </c>
      <c r="W38" s="27" t="s">
        <v>200</v>
      </c>
      <c r="X38" s="27">
        <v>12209.447899999999</v>
      </c>
      <c r="Y38" s="27" t="s">
        <v>200</v>
      </c>
      <c r="Z38" s="27">
        <v>11774.2531</v>
      </c>
      <c r="AA38" s="27" t="s">
        <v>200</v>
      </c>
      <c r="AB38" s="27">
        <v>11212.2029</v>
      </c>
      <c r="AC38" s="27" t="s">
        <v>200</v>
      </c>
      <c r="AD38" s="27">
        <v>10861.5062</v>
      </c>
    </row>
    <row r="39" spans="1:30">
      <c r="A39" s="27" t="s">
        <v>203</v>
      </c>
      <c r="B39" s="27" t="s">
        <v>251</v>
      </c>
      <c r="C39" s="27" t="s">
        <v>198</v>
      </c>
      <c r="D39" s="27" t="s">
        <v>1162</v>
      </c>
      <c r="E39" s="27" t="s">
        <v>83</v>
      </c>
      <c r="F39" s="27" t="s">
        <v>200</v>
      </c>
      <c r="G39" s="27">
        <v>9892.6908000000003</v>
      </c>
      <c r="H39" s="27">
        <v>10581.7094</v>
      </c>
      <c r="I39" s="27">
        <v>11755.3362</v>
      </c>
      <c r="J39" s="27">
        <v>12705.295</v>
      </c>
      <c r="K39" s="27" t="s">
        <v>200</v>
      </c>
      <c r="L39" s="27" t="s">
        <v>200</v>
      </c>
      <c r="M39" s="27" t="s">
        <v>200</v>
      </c>
      <c r="N39" s="27" t="s">
        <v>200</v>
      </c>
      <c r="O39" s="27">
        <v>12151.9594</v>
      </c>
      <c r="P39" s="27">
        <v>12139.4458</v>
      </c>
      <c r="Q39" s="27">
        <v>11745.6986</v>
      </c>
      <c r="R39" s="27">
        <v>11581.2608</v>
      </c>
      <c r="S39" s="27">
        <v>11854.613799999999</v>
      </c>
      <c r="T39" s="27">
        <v>12070.6991</v>
      </c>
      <c r="U39" s="27">
        <v>12451.7335</v>
      </c>
      <c r="V39" s="27">
        <v>12628.634099999999</v>
      </c>
      <c r="W39" s="27" t="s">
        <v>200</v>
      </c>
      <c r="X39" s="27">
        <v>12572.312900000001</v>
      </c>
      <c r="Y39" s="27" t="s">
        <v>200</v>
      </c>
      <c r="Z39" s="27">
        <v>12201.429599999999</v>
      </c>
      <c r="AA39" s="27" t="s">
        <v>200</v>
      </c>
      <c r="AB39" s="27">
        <v>11617.714099999999</v>
      </c>
      <c r="AC39" s="27" t="s">
        <v>200</v>
      </c>
      <c r="AD39" s="27">
        <v>11182.0437</v>
      </c>
    </row>
    <row r="40" spans="1:30">
      <c r="A40" s="27" t="s">
        <v>205</v>
      </c>
      <c r="B40" s="27" t="s">
        <v>252</v>
      </c>
      <c r="C40" s="27" t="s">
        <v>198</v>
      </c>
      <c r="D40" s="27" t="s">
        <v>1162</v>
      </c>
      <c r="E40" s="27" t="s">
        <v>83</v>
      </c>
      <c r="F40" s="27" t="s">
        <v>200</v>
      </c>
      <c r="G40" s="27">
        <v>9140.4</v>
      </c>
      <c r="H40" s="27">
        <v>9762.4</v>
      </c>
      <c r="I40" s="27">
        <v>10281.9</v>
      </c>
      <c r="J40" s="27">
        <v>10077.299999999999</v>
      </c>
      <c r="K40" s="27" t="s">
        <v>200</v>
      </c>
      <c r="L40" s="27" t="s">
        <v>200</v>
      </c>
      <c r="M40" s="27" t="s">
        <v>200</v>
      </c>
      <c r="N40" s="27" t="s">
        <v>200</v>
      </c>
      <c r="O40" s="27">
        <v>9056.07</v>
      </c>
      <c r="P40" s="27">
        <v>8481.11</v>
      </c>
      <c r="Q40" s="27">
        <v>8164.3</v>
      </c>
      <c r="R40" s="27">
        <v>7847.49</v>
      </c>
      <c r="S40" s="27">
        <v>7714.69</v>
      </c>
      <c r="T40" s="27">
        <v>7581.9</v>
      </c>
      <c r="U40" s="27">
        <v>7533.66</v>
      </c>
      <c r="V40" s="27">
        <v>7485.42</v>
      </c>
      <c r="W40" s="27">
        <v>7467.63</v>
      </c>
      <c r="X40" s="27">
        <v>7449.83</v>
      </c>
      <c r="Y40" s="27">
        <v>7480.41</v>
      </c>
      <c r="Z40" s="27">
        <v>7510.98</v>
      </c>
      <c r="AA40" s="27">
        <v>7632.21</v>
      </c>
      <c r="AB40" s="27">
        <v>7753.45</v>
      </c>
      <c r="AC40" s="27">
        <v>7672.93</v>
      </c>
      <c r="AD40" s="27">
        <v>7592.41</v>
      </c>
    </row>
    <row r="41" spans="1:30">
      <c r="A41" s="27" t="s">
        <v>205</v>
      </c>
      <c r="B41" s="27" t="s">
        <v>253</v>
      </c>
      <c r="C41" s="27" t="s">
        <v>198</v>
      </c>
      <c r="D41" s="27" t="s">
        <v>1162</v>
      </c>
      <c r="E41" s="27" t="s">
        <v>83</v>
      </c>
      <c r="F41" s="27" t="s">
        <v>200</v>
      </c>
      <c r="G41" s="27">
        <v>9140.4</v>
      </c>
      <c r="H41" s="27">
        <v>9762.4</v>
      </c>
      <c r="I41" s="27">
        <v>10281.9</v>
      </c>
      <c r="J41" s="27">
        <v>10077.299999999999</v>
      </c>
      <c r="K41" s="27" t="s">
        <v>200</v>
      </c>
      <c r="L41" s="27" t="s">
        <v>200</v>
      </c>
      <c r="M41" s="27" t="s">
        <v>200</v>
      </c>
      <c r="N41" s="27" t="s">
        <v>200</v>
      </c>
      <c r="O41" s="27">
        <v>9033.6200000000008</v>
      </c>
      <c r="P41" s="27">
        <v>8481.11</v>
      </c>
      <c r="Q41" s="27">
        <v>8164.3</v>
      </c>
      <c r="R41" s="27">
        <v>7847.49</v>
      </c>
      <c r="S41" s="27">
        <v>7714.69</v>
      </c>
      <c r="T41" s="27">
        <v>7581.9</v>
      </c>
      <c r="U41" s="27">
        <v>7533.66</v>
      </c>
      <c r="V41" s="27">
        <v>7485.42</v>
      </c>
      <c r="W41" s="27">
        <v>7467.63</v>
      </c>
      <c r="X41" s="27">
        <v>7449.83</v>
      </c>
      <c r="Y41" s="27">
        <v>7480.41</v>
      </c>
      <c r="Z41" s="27">
        <v>7510.98</v>
      </c>
      <c r="AA41" s="27">
        <v>7632.21</v>
      </c>
      <c r="AB41" s="27">
        <v>7753.45</v>
      </c>
      <c r="AC41" s="27">
        <v>7672.93</v>
      </c>
      <c r="AD41" s="27">
        <v>7592.41</v>
      </c>
    </row>
    <row r="42" spans="1:30">
      <c r="A42" s="27" t="s">
        <v>216</v>
      </c>
      <c r="B42" s="27" t="s">
        <v>254</v>
      </c>
      <c r="C42" s="27" t="s">
        <v>198</v>
      </c>
      <c r="D42" s="27" t="s">
        <v>1162</v>
      </c>
      <c r="E42" s="27" t="s">
        <v>83</v>
      </c>
      <c r="F42" s="27">
        <v>7823.0509077609504</v>
      </c>
      <c r="G42" s="27">
        <v>8323.2376629405207</v>
      </c>
      <c r="H42" s="27">
        <v>8829.9702803471901</v>
      </c>
      <c r="I42" s="27">
        <v>9347.9480467848898</v>
      </c>
      <c r="J42" s="27">
        <v>9814.9001412825601</v>
      </c>
      <c r="K42" s="27">
        <v>9626.0015050709499</v>
      </c>
      <c r="L42" s="27">
        <v>9486.0306111216305</v>
      </c>
      <c r="M42" s="27">
        <v>9365.0485957799101</v>
      </c>
      <c r="N42" s="27">
        <v>9245.9044041758207</v>
      </c>
      <c r="O42" s="27">
        <v>9143.6626717624295</v>
      </c>
      <c r="P42" s="27">
        <v>8486.7464757092293</v>
      </c>
      <c r="Q42" s="27">
        <v>8100.2247364716304</v>
      </c>
      <c r="R42" s="27">
        <v>7656.6122868192597</v>
      </c>
      <c r="S42" s="27">
        <v>7265.6276020543201</v>
      </c>
      <c r="T42" s="27">
        <v>6953.1806550147003</v>
      </c>
      <c r="U42" s="27">
        <v>6912.6175065604502</v>
      </c>
      <c r="V42" s="27">
        <v>6948.7342455866101</v>
      </c>
      <c r="W42" s="27" t="s">
        <v>200</v>
      </c>
      <c r="X42" s="27">
        <v>6686.2672065274401</v>
      </c>
      <c r="Y42" s="27" t="s">
        <v>200</v>
      </c>
      <c r="Z42" s="27">
        <v>6726.6559127944001</v>
      </c>
      <c r="AA42" s="27" t="s">
        <v>200</v>
      </c>
      <c r="AB42" s="27">
        <v>6733.3360030666599</v>
      </c>
      <c r="AC42" s="27" t="s">
        <v>200</v>
      </c>
      <c r="AD42" s="27">
        <v>6575.0899104480404</v>
      </c>
    </row>
    <row r="43" spans="1:30">
      <c r="A43" s="27" t="s">
        <v>255</v>
      </c>
      <c r="B43" s="27" t="s">
        <v>256</v>
      </c>
      <c r="C43" s="27" t="s">
        <v>198</v>
      </c>
      <c r="D43" s="27" t="s">
        <v>1162</v>
      </c>
      <c r="E43" s="27" t="s">
        <v>83</v>
      </c>
      <c r="F43" s="27" t="s">
        <v>200</v>
      </c>
      <c r="G43" s="27">
        <v>8111.8193548387098</v>
      </c>
      <c r="H43" s="27">
        <v>8432.5056451612909</v>
      </c>
      <c r="I43" s="27">
        <v>8766.9056451612905</v>
      </c>
      <c r="J43" s="27">
        <v>9066.5862903225807</v>
      </c>
      <c r="K43" s="27" t="s">
        <v>200</v>
      </c>
      <c r="L43" s="27" t="s">
        <v>200</v>
      </c>
      <c r="M43" s="27" t="s">
        <v>200</v>
      </c>
      <c r="N43" s="27" t="s">
        <v>200</v>
      </c>
      <c r="O43" s="27">
        <v>7718.9024193548403</v>
      </c>
      <c r="P43" s="27">
        <v>6887.1241935483886</v>
      </c>
      <c r="Q43" s="27">
        <v>6054.6262096774208</v>
      </c>
      <c r="R43" s="27">
        <v>5986.6112903225794</v>
      </c>
      <c r="S43" s="27">
        <v>5929.9629032258108</v>
      </c>
      <c r="T43" s="27">
        <v>5889.3911290322603</v>
      </c>
      <c r="U43" s="27">
        <v>5856.2596774193607</v>
      </c>
      <c r="V43" s="27">
        <v>5856.0189516129003</v>
      </c>
      <c r="W43" s="27">
        <v>5862.4826612903198</v>
      </c>
      <c r="X43" s="27">
        <v>5877.3463709677389</v>
      </c>
      <c r="Y43" s="27">
        <v>5889.4141129032296</v>
      </c>
      <c r="Z43" s="27">
        <v>5884.8733870967699</v>
      </c>
      <c r="AA43" s="27">
        <v>5889.1665322580602</v>
      </c>
      <c r="AB43" s="27">
        <v>5897.4927419354799</v>
      </c>
      <c r="AC43" s="27">
        <v>5874.0818548387097</v>
      </c>
      <c r="AD43" s="27">
        <v>5863.5947580645206</v>
      </c>
    </row>
    <row r="44" spans="1:30">
      <c r="A44" s="27" t="s">
        <v>257</v>
      </c>
      <c r="B44" s="27" t="s">
        <v>197</v>
      </c>
      <c r="C44" s="27" t="s">
        <v>198</v>
      </c>
      <c r="D44" s="27" t="s">
        <v>1162</v>
      </c>
      <c r="E44" s="27" t="s">
        <v>83</v>
      </c>
      <c r="F44" s="27" t="s">
        <v>200</v>
      </c>
      <c r="G44" s="27" t="s">
        <v>200</v>
      </c>
      <c r="H44" s="27">
        <v>9966.5213000000003</v>
      </c>
      <c r="I44" s="27">
        <v>10682.8243</v>
      </c>
      <c r="J44" s="27">
        <v>11409.835300000001</v>
      </c>
      <c r="K44" s="27" t="s">
        <v>200</v>
      </c>
      <c r="L44" s="27" t="s">
        <v>200</v>
      </c>
      <c r="M44" s="27" t="s">
        <v>200</v>
      </c>
      <c r="N44" s="27" t="s">
        <v>200</v>
      </c>
      <c r="O44" s="27">
        <v>8852.9454999999998</v>
      </c>
      <c r="P44" s="27">
        <v>8051.4904999999999</v>
      </c>
      <c r="Q44" s="27">
        <v>7650.9996000000001</v>
      </c>
      <c r="R44" s="27">
        <v>7822.9467999999997</v>
      </c>
      <c r="S44" s="27">
        <v>7886.0857999999998</v>
      </c>
      <c r="T44" s="27">
        <v>7570.3231999999998</v>
      </c>
      <c r="U44" s="27">
        <v>7525.2686999999996</v>
      </c>
      <c r="V44" s="27">
        <v>7474.1614</v>
      </c>
      <c r="W44" s="27">
        <v>7405.8362999999999</v>
      </c>
      <c r="X44" s="27">
        <v>7385.6752999999999</v>
      </c>
      <c r="Y44" s="27">
        <v>7504.1976999999997</v>
      </c>
      <c r="Z44" s="27">
        <v>7658.1423000000004</v>
      </c>
      <c r="AA44" s="27">
        <v>7791.0155000000004</v>
      </c>
      <c r="AB44" s="27">
        <v>7897.5708999999997</v>
      </c>
      <c r="AC44" s="27">
        <v>7986.9056</v>
      </c>
      <c r="AD44" s="27">
        <v>8059.6930000000002</v>
      </c>
    </row>
    <row r="45" spans="1:30">
      <c r="A45" s="27" t="s">
        <v>196</v>
      </c>
      <c r="B45" s="27" t="s">
        <v>258</v>
      </c>
      <c r="C45" s="27" t="s">
        <v>198</v>
      </c>
      <c r="D45" s="27" t="s">
        <v>1162</v>
      </c>
      <c r="E45" s="27" t="s">
        <v>83</v>
      </c>
      <c r="F45" s="27" t="s">
        <v>200</v>
      </c>
      <c r="G45" s="27">
        <v>9879.3521000000001</v>
      </c>
      <c r="H45" s="27">
        <v>10557.809499999999</v>
      </c>
      <c r="I45" s="27">
        <v>11723.0085</v>
      </c>
      <c r="J45" s="27">
        <v>12623.856100000001</v>
      </c>
      <c r="K45" s="27" t="s">
        <v>200</v>
      </c>
      <c r="L45" s="27" t="s">
        <v>200</v>
      </c>
      <c r="M45" s="27" t="s">
        <v>200</v>
      </c>
      <c r="N45" s="27" t="s">
        <v>200</v>
      </c>
      <c r="O45" s="27">
        <v>11664.959000000001</v>
      </c>
      <c r="P45" s="27">
        <v>11825.6631</v>
      </c>
      <c r="Q45" s="27">
        <v>11624.045400000001</v>
      </c>
      <c r="R45" s="27">
        <v>11529.727699999999</v>
      </c>
      <c r="S45" s="27">
        <v>11666.040199999999</v>
      </c>
      <c r="T45" s="27">
        <v>11745.2194</v>
      </c>
      <c r="U45" s="27">
        <v>11927.4313</v>
      </c>
      <c r="V45" s="27">
        <v>12057.8459</v>
      </c>
      <c r="W45" s="27" t="s">
        <v>200</v>
      </c>
      <c r="X45" s="27">
        <v>12094.8416</v>
      </c>
      <c r="Y45" s="27" t="s">
        <v>200</v>
      </c>
      <c r="Z45" s="27">
        <v>11810.2454</v>
      </c>
      <c r="AA45" s="27" t="s">
        <v>200</v>
      </c>
      <c r="AB45" s="27">
        <v>11331.450699999999</v>
      </c>
      <c r="AC45" s="27" t="s">
        <v>200</v>
      </c>
      <c r="AD45" s="27">
        <v>11000.4617</v>
      </c>
    </row>
    <row r="46" spans="1:30">
      <c r="A46" s="27" t="s">
        <v>247</v>
      </c>
      <c r="B46" s="27" t="s">
        <v>259</v>
      </c>
      <c r="C46" s="27" t="s">
        <v>198</v>
      </c>
      <c r="D46" s="27" t="s">
        <v>1162</v>
      </c>
      <c r="E46" s="27" t="s">
        <v>83</v>
      </c>
      <c r="F46" s="27">
        <v>7511.2431640625</v>
      </c>
      <c r="G46" s="27">
        <v>7923.25244140625</v>
      </c>
      <c r="H46" s="27">
        <v>8265.357421875</v>
      </c>
      <c r="I46" s="27" t="s">
        <v>200</v>
      </c>
      <c r="J46" s="27">
        <v>9172.509765625</v>
      </c>
      <c r="K46" s="27" t="s">
        <v>200</v>
      </c>
      <c r="L46" s="27" t="s">
        <v>200</v>
      </c>
      <c r="M46" s="27" t="s">
        <v>200</v>
      </c>
      <c r="N46" s="27" t="s">
        <v>200</v>
      </c>
      <c r="O46" s="27" t="s">
        <v>200</v>
      </c>
      <c r="P46" s="27">
        <v>6384.45947265625</v>
      </c>
      <c r="Q46" s="27" t="s">
        <v>200</v>
      </c>
      <c r="R46" s="27">
        <v>5122.37451171875</v>
      </c>
      <c r="S46" s="27" t="s">
        <v>200</v>
      </c>
      <c r="T46" s="27">
        <v>3954.7294921875</v>
      </c>
      <c r="U46" s="27" t="s">
        <v>200</v>
      </c>
      <c r="V46" s="27">
        <v>3542.88061523438</v>
      </c>
      <c r="W46" s="27" t="s">
        <v>200</v>
      </c>
      <c r="X46" s="27">
        <v>3609.59838867188</v>
      </c>
      <c r="Y46" s="27" t="s">
        <v>200</v>
      </c>
      <c r="Z46" s="27">
        <v>2820.630859375</v>
      </c>
      <c r="AA46" s="27" t="s">
        <v>200</v>
      </c>
      <c r="AB46" s="27">
        <v>2622.96240234375</v>
      </c>
      <c r="AC46" s="27" t="s">
        <v>200</v>
      </c>
      <c r="AD46" s="27">
        <v>2519.21264648438</v>
      </c>
    </row>
    <row r="47" spans="1:30">
      <c r="A47" s="27" t="s">
        <v>233</v>
      </c>
      <c r="B47" s="27" t="s">
        <v>260</v>
      </c>
      <c r="C47" s="27" t="s">
        <v>198</v>
      </c>
      <c r="D47" s="27" t="s">
        <v>1162</v>
      </c>
      <c r="E47" s="27" t="s">
        <v>83</v>
      </c>
      <c r="F47" s="27" t="s">
        <v>200</v>
      </c>
      <c r="G47" s="27" t="s">
        <v>200</v>
      </c>
      <c r="H47" s="27">
        <v>9705.1700824626441</v>
      </c>
      <c r="I47" s="27">
        <v>10057.81587025752</v>
      </c>
      <c r="J47" s="27">
        <v>10788.47681054536</v>
      </c>
      <c r="K47" s="27" t="s">
        <v>200</v>
      </c>
      <c r="L47" s="27" t="s">
        <v>200</v>
      </c>
      <c r="M47" s="27" t="s">
        <v>200</v>
      </c>
      <c r="N47" s="27" t="s">
        <v>200</v>
      </c>
      <c r="O47" s="27">
        <v>8105.4480692720181</v>
      </c>
      <c r="P47" s="27">
        <v>7354.8159258017467</v>
      </c>
      <c r="Q47" s="27">
        <v>6864.411465951599</v>
      </c>
      <c r="R47" s="27">
        <v>6539.0549972665376</v>
      </c>
      <c r="S47" s="27">
        <v>6269.4748922682174</v>
      </c>
      <c r="T47" s="27">
        <v>5992.9558635968388</v>
      </c>
      <c r="U47" s="27">
        <v>6022.8325431251351</v>
      </c>
      <c r="V47" s="27">
        <v>6060.9931725270444</v>
      </c>
      <c r="W47" s="27">
        <v>6084.4707702766018</v>
      </c>
      <c r="X47" s="27">
        <v>6109.1274651929198</v>
      </c>
      <c r="Y47" s="27">
        <v>6123.4539985463371</v>
      </c>
      <c r="Z47" s="27">
        <v>6139.9752337257578</v>
      </c>
      <c r="AA47" s="27">
        <v>6129.3715581400729</v>
      </c>
      <c r="AB47" s="27">
        <v>6115.391903964668</v>
      </c>
      <c r="AC47" s="27">
        <v>6083.4115166310621</v>
      </c>
      <c r="AD47" s="27">
        <v>6045.4655583475114</v>
      </c>
    </row>
    <row r="48" spans="1:30">
      <c r="A48" s="27" t="s">
        <v>261</v>
      </c>
      <c r="B48" s="27" t="s">
        <v>262</v>
      </c>
      <c r="C48" s="27" t="s">
        <v>198</v>
      </c>
      <c r="D48" s="27" t="s">
        <v>1162</v>
      </c>
      <c r="E48" s="27" t="s">
        <v>83</v>
      </c>
      <c r="F48" s="27" t="s">
        <v>200</v>
      </c>
      <c r="G48" s="27">
        <v>10017.450471598329</v>
      </c>
      <c r="H48" s="27">
        <v>10519.47893128284</v>
      </c>
      <c r="I48" s="27">
        <v>10950.02196966988</v>
      </c>
      <c r="J48" s="27">
        <v>11044.997485827011</v>
      </c>
      <c r="K48" s="27" t="s">
        <v>200</v>
      </c>
      <c r="L48" s="27" t="s">
        <v>200</v>
      </c>
      <c r="M48" s="27" t="s">
        <v>200</v>
      </c>
      <c r="N48" s="27" t="s">
        <v>200</v>
      </c>
      <c r="O48" s="27">
        <v>10581.34932747132</v>
      </c>
      <c r="P48" s="27">
        <v>9773.6826145219493</v>
      </c>
      <c r="Q48" s="27">
        <v>9361.2324890763994</v>
      </c>
      <c r="R48" s="27">
        <v>9064.2624138225729</v>
      </c>
      <c r="S48" s="27">
        <v>8771.9214540808716</v>
      </c>
      <c r="T48" s="27">
        <v>8505.0210635286639</v>
      </c>
      <c r="U48" s="27">
        <v>8442.8376093045499</v>
      </c>
      <c r="V48" s="27">
        <v>8417.7392555167535</v>
      </c>
      <c r="W48" s="27">
        <v>8291.6996350154132</v>
      </c>
      <c r="X48" s="27">
        <v>8219.2236305708939</v>
      </c>
      <c r="Y48" s="27">
        <v>8136.9768392986816</v>
      </c>
      <c r="Z48" s="27">
        <v>8010.97021265894</v>
      </c>
      <c r="AA48" s="27">
        <v>7868.5479889254611</v>
      </c>
      <c r="AB48" s="27">
        <v>7698.6863818289294</v>
      </c>
      <c r="AC48" s="27">
        <v>7566.8421435836372</v>
      </c>
      <c r="AD48" s="27">
        <v>7394.8367027823333</v>
      </c>
    </row>
    <row r="49" spans="1:30">
      <c r="A49" s="27" t="s">
        <v>218</v>
      </c>
      <c r="B49" s="27" t="s">
        <v>263</v>
      </c>
      <c r="C49" s="27" t="s">
        <v>198</v>
      </c>
      <c r="D49" s="27" t="s">
        <v>1162</v>
      </c>
      <c r="E49" s="27" t="s">
        <v>83</v>
      </c>
      <c r="F49" s="27" t="s">
        <v>200</v>
      </c>
      <c r="G49" s="27">
        <v>9638.9624000000003</v>
      </c>
      <c r="H49" s="27">
        <v>10566.519899999999</v>
      </c>
      <c r="I49" s="27">
        <v>11437.675499999999</v>
      </c>
      <c r="J49" s="27">
        <v>12096.513499999999</v>
      </c>
      <c r="K49" s="27" t="s">
        <v>200</v>
      </c>
      <c r="L49" s="27" t="s">
        <v>200</v>
      </c>
      <c r="M49" s="27" t="s">
        <v>200</v>
      </c>
      <c r="N49" s="27" t="s">
        <v>200</v>
      </c>
      <c r="O49" s="27">
        <v>11887.6</v>
      </c>
      <c r="P49" s="27">
        <v>11700.35</v>
      </c>
      <c r="Q49" s="27">
        <v>11082.57</v>
      </c>
      <c r="R49" s="27">
        <v>10844.5</v>
      </c>
      <c r="S49" s="27">
        <v>11038.52</v>
      </c>
      <c r="T49" s="27">
        <v>11175.83</v>
      </c>
      <c r="U49" s="27">
        <v>11472.66</v>
      </c>
      <c r="V49" s="27">
        <v>11602.66</v>
      </c>
      <c r="W49" s="27" t="s">
        <v>200</v>
      </c>
      <c r="X49" s="27">
        <v>11660.95</v>
      </c>
      <c r="Y49" s="27" t="s">
        <v>200</v>
      </c>
      <c r="Z49" s="27">
        <v>11236.62</v>
      </c>
      <c r="AA49" s="27" t="s">
        <v>200</v>
      </c>
      <c r="AB49" s="27">
        <v>11043.44</v>
      </c>
      <c r="AC49" s="27" t="s">
        <v>200</v>
      </c>
      <c r="AD49" s="27">
        <v>10767.03</v>
      </c>
    </row>
    <row r="50" spans="1:30">
      <c r="A50" s="27" t="s">
        <v>196</v>
      </c>
      <c r="B50" s="27" t="s">
        <v>264</v>
      </c>
      <c r="C50" s="27" t="s">
        <v>198</v>
      </c>
      <c r="D50" s="27" t="s">
        <v>1162</v>
      </c>
      <c r="E50" s="27" t="s">
        <v>83</v>
      </c>
      <c r="F50" s="27" t="s">
        <v>200</v>
      </c>
      <c r="G50" s="27">
        <v>9896.0910000000003</v>
      </c>
      <c r="H50" s="27">
        <v>10618.770500000001</v>
      </c>
      <c r="I50" s="27">
        <v>11637.1158</v>
      </c>
      <c r="J50" s="27">
        <v>12607.4807</v>
      </c>
      <c r="K50" s="27" t="s">
        <v>200</v>
      </c>
      <c r="L50" s="27" t="s">
        <v>200</v>
      </c>
      <c r="M50" s="27" t="s">
        <v>200</v>
      </c>
      <c r="N50" s="27" t="s">
        <v>200</v>
      </c>
      <c r="O50" s="27">
        <v>11072.5242</v>
      </c>
      <c r="P50" s="27">
        <v>10755.8946</v>
      </c>
      <c r="Q50" s="27">
        <v>10257.042600000001</v>
      </c>
      <c r="R50" s="27">
        <v>9961.8518999999997</v>
      </c>
      <c r="S50" s="27">
        <v>9803.1671000000006</v>
      </c>
      <c r="T50" s="27">
        <v>9395.7795000000006</v>
      </c>
      <c r="U50" s="27">
        <v>9180.2494000000006</v>
      </c>
      <c r="V50" s="27">
        <v>8841.8269</v>
      </c>
      <c r="W50" s="27" t="s">
        <v>200</v>
      </c>
      <c r="X50" s="27">
        <v>7825.8563000000004</v>
      </c>
      <c r="Y50" s="27" t="s">
        <v>200</v>
      </c>
      <c r="Z50" s="27">
        <v>6831.3504000000003</v>
      </c>
      <c r="AA50" s="27" t="s">
        <v>200</v>
      </c>
      <c r="AB50" s="27">
        <v>5916.5268999999998</v>
      </c>
      <c r="AC50" s="27" t="s">
        <v>200</v>
      </c>
      <c r="AD50" s="27">
        <v>5217.2855</v>
      </c>
    </row>
    <row r="51" spans="1:30">
      <c r="A51" s="27" t="s">
        <v>218</v>
      </c>
      <c r="B51" s="27" t="s">
        <v>265</v>
      </c>
      <c r="C51" s="27" t="s">
        <v>198</v>
      </c>
      <c r="D51" s="27" t="s">
        <v>1162</v>
      </c>
      <c r="E51" s="27" t="s">
        <v>83</v>
      </c>
      <c r="F51" s="27" t="s">
        <v>200</v>
      </c>
      <c r="G51" s="27">
        <v>9638.9624000000003</v>
      </c>
      <c r="H51" s="27">
        <v>10566.519899999999</v>
      </c>
      <c r="I51" s="27">
        <v>11437.675499999999</v>
      </c>
      <c r="J51" s="27">
        <v>12096.513499999999</v>
      </c>
      <c r="K51" s="27" t="s">
        <v>200</v>
      </c>
      <c r="L51" s="27" t="s">
        <v>200</v>
      </c>
      <c r="M51" s="27" t="s">
        <v>200</v>
      </c>
      <c r="N51" s="27" t="s">
        <v>200</v>
      </c>
      <c r="O51" s="27">
        <v>11893.4</v>
      </c>
      <c r="P51" s="27">
        <v>11675.56</v>
      </c>
      <c r="Q51" s="27">
        <v>11014.17</v>
      </c>
      <c r="R51" s="27">
        <v>10726.35</v>
      </c>
      <c r="S51" s="27">
        <v>10774.15</v>
      </c>
      <c r="T51" s="27">
        <v>10703.41</v>
      </c>
      <c r="U51" s="27">
        <v>10799.04</v>
      </c>
      <c r="V51" s="27">
        <v>10819.85</v>
      </c>
      <c r="W51" s="27" t="s">
        <v>200</v>
      </c>
      <c r="X51" s="27">
        <v>11018.84</v>
      </c>
      <c r="Y51" s="27" t="s">
        <v>200</v>
      </c>
      <c r="Z51" s="27">
        <v>11044.63</v>
      </c>
      <c r="AA51" s="27" t="s">
        <v>200</v>
      </c>
      <c r="AB51" s="27">
        <v>11303.78</v>
      </c>
      <c r="AC51" s="27" t="s">
        <v>200</v>
      </c>
      <c r="AD51" s="27">
        <v>11067.18</v>
      </c>
    </row>
    <row r="52" spans="1:30">
      <c r="A52" s="27" t="s">
        <v>226</v>
      </c>
      <c r="B52" s="27" t="s">
        <v>243</v>
      </c>
      <c r="C52" s="27" t="s">
        <v>198</v>
      </c>
      <c r="D52" s="27" t="s">
        <v>1162</v>
      </c>
      <c r="E52" s="27" t="s">
        <v>83</v>
      </c>
      <c r="F52" s="27" t="s">
        <v>200</v>
      </c>
      <c r="G52" s="27">
        <v>9626.0735999999997</v>
      </c>
      <c r="H52" s="27">
        <v>10510.783600000001</v>
      </c>
      <c r="I52" s="27">
        <v>11396.258900000001</v>
      </c>
      <c r="J52" s="27">
        <v>11781.2637</v>
      </c>
      <c r="K52" s="27" t="s">
        <v>200</v>
      </c>
      <c r="L52" s="27" t="s">
        <v>200</v>
      </c>
      <c r="M52" s="27" t="s">
        <v>200</v>
      </c>
      <c r="N52" s="27" t="s">
        <v>200</v>
      </c>
      <c r="O52" s="27">
        <v>10215.1752</v>
      </c>
      <c r="P52" s="27">
        <v>9706.2756000000008</v>
      </c>
      <c r="Q52" s="27">
        <v>8855.0655000000006</v>
      </c>
      <c r="R52" s="27">
        <v>9103.3480999999992</v>
      </c>
      <c r="S52" s="27">
        <v>8978.1623999999993</v>
      </c>
      <c r="T52" s="27">
        <v>9438.0337</v>
      </c>
      <c r="U52" s="27">
        <v>9512.7790999999997</v>
      </c>
      <c r="V52" s="27">
        <v>9558.5162999999993</v>
      </c>
      <c r="W52" s="27" t="s">
        <v>200</v>
      </c>
      <c r="X52" s="27">
        <v>9624.9138999999996</v>
      </c>
      <c r="Y52" s="27" t="s">
        <v>200</v>
      </c>
      <c r="Z52" s="27">
        <v>9430.0406999999996</v>
      </c>
      <c r="AA52" s="27" t="s">
        <v>200</v>
      </c>
      <c r="AB52" s="27">
        <v>9059.5565000000006</v>
      </c>
      <c r="AC52" s="27" t="s">
        <v>200</v>
      </c>
      <c r="AD52" s="27">
        <v>8730.5738000000001</v>
      </c>
    </row>
    <row r="53" spans="1:30">
      <c r="A53" s="27" t="s">
        <v>231</v>
      </c>
      <c r="B53" s="27" t="s">
        <v>266</v>
      </c>
      <c r="C53" s="27" t="s">
        <v>198</v>
      </c>
      <c r="D53" s="27" t="s">
        <v>1162</v>
      </c>
      <c r="E53" s="27" t="s">
        <v>83</v>
      </c>
      <c r="F53" s="27" t="s">
        <v>200</v>
      </c>
      <c r="G53" s="27">
        <v>9396.3974528838899</v>
      </c>
      <c r="H53" s="27">
        <v>10022.00953055</v>
      </c>
      <c r="I53" s="27">
        <v>10609.4808132079</v>
      </c>
      <c r="J53" s="27">
        <v>11230.915688276</v>
      </c>
      <c r="K53" s="27" t="s">
        <v>200</v>
      </c>
      <c r="L53" s="27" t="s">
        <v>200</v>
      </c>
      <c r="M53" s="27" t="s">
        <v>200</v>
      </c>
      <c r="N53" s="27" t="s">
        <v>200</v>
      </c>
      <c r="O53" s="27">
        <v>10724.6962534258</v>
      </c>
      <c r="P53" s="27">
        <v>10652.8961509692</v>
      </c>
      <c r="Q53" s="27">
        <v>11066.7402180586</v>
      </c>
      <c r="R53" s="27">
        <v>10920.789892728701</v>
      </c>
      <c r="S53" s="27">
        <v>11005.9024024218</v>
      </c>
      <c r="T53" s="27">
        <v>11150.9054372635</v>
      </c>
      <c r="U53" s="27">
        <v>11164.650504989</v>
      </c>
      <c r="V53" s="27">
        <v>11168.150997799799</v>
      </c>
      <c r="W53" s="27">
        <v>11168.616584355699</v>
      </c>
      <c r="X53" s="27">
        <v>11161.3795285047</v>
      </c>
      <c r="Y53" s="27">
        <v>11156.9930650603</v>
      </c>
      <c r="Z53" s="27">
        <v>11161.093939703</v>
      </c>
      <c r="AA53" s="27">
        <v>11142.4107834232</v>
      </c>
      <c r="AB53" s="27">
        <v>11096.042465103899</v>
      </c>
      <c r="AC53" s="27">
        <v>11031.0922030159</v>
      </c>
      <c r="AD53" s="27">
        <v>10954.4184955031</v>
      </c>
    </row>
    <row r="54" spans="1:30">
      <c r="A54" s="27" t="s">
        <v>233</v>
      </c>
      <c r="B54" s="27" t="s">
        <v>267</v>
      </c>
      <c r="C54" s="27" t="s">
        <v>198</v>
      </c>
      <c r="D54" s="27" t="s">
        <v>1162</v>
      </c>
      <c r="E54" s="27" t="s">
        <v>83</v>
      </c>
      <c r="F54" s="27" t="s">
        <v>200</v>
      </c>
      <c r="G54" s="27" t="s">
        <v>200</v>
      </c>
      <c r="H54" s="27">
        <v>9705.1700824626441</v>
      </c>
      <c r="I54" s="27">
        <v>10057.81587025752</v>
      </c>
      <c r="J54" s="27">
        <v>10788.47681054536</v>
      </c>
      <c r="K54" s="27" t="s">
        <v>200</v>
      </c>
      <c r="L54" s="27" t="s">
        <v>200</v>
      </c>
      <c r="M54" s="27" t="s">
        <v>200</v>
      </c>
      <c r="N54" s="27" t="s">
        <v>200</v>
      </c>
      <c r="O54" s="27">
        <v>7616.103322960701</v>
      </c>
      <c r="P54" s="27">
        <v>7154.5440147152422</v>
      </c>
      <c r="Q54" s="27">
        <v>6747.3856701666609</v>
      </c>
      <c r="R54" s="27">
        <v>6450.1752777333377</v>
      </c>
      <c r="S54" s="27">
        <v>6192.6519345846591</v>
      </c>
      <c r="T54" s="27">
        <v>5938.2027530299283</v>
      </c>
      <c r="U54" s="27">
        <v>5976.0376110749803</v>
      </c>
      <c r="V54" s="27">
        <v>6029.6333128790056</v>
      </c>
      <c r="W54" s="27">
        <v>6073.8643737314287</v>
      </c>
      <c r="X54" s="27">
        <v>6115.3553730665299</v>
      </c>
      <c r="Y54" s="27">
        <v>6155.0284210469517</v>
      </c>
      <c r="Z54" s="27">
        <v>6190.6545774977567</v>
      </c>
      <c r="AA54" s="27">
        <v>6184.8176392229952</v>
      </c>
      <c r="AB54" s="27">
        <v>6179.1465645043954</v>
      </c>
      <c r="AC54" s="27">
        <v>6141.6392298775118</v>
      </c>
      <c r="AD54" s="27">
        <v>6098.7136353651376</v>
      </c>
    </row>
    <row r="55" spans="1:30">
      <c r="A55" s="27" t="s">
        <v>196</v>
      </c>
      <c r="B55" s="27" t="s">
        <v>268</v>
      </c>
      <c r="C55" s="27" t="s">
        <v>198</v>
      </c>
      <c r="D55" s="27" t="s">
        <v>1162</v>
      </c>
      <c r="E55" s="27" t="s">
        <v>83</v>
      </c>
      <c r="F55" s="27" t="s">
        <v>200</v>
      </c>
      <c r="G55" s="27">
        <v>9879.3521000000001</v>
      </c>
      <c r="H55" s="27">
        <v>10556.0538</v>
      </c>
      <c r="I55" s="27">
        <v>11721.626899999999</v>
      </c>
      <c r="J55" s="27">
        <v>12646.665999999999</v>
      </c>
      <c r="K55" s="27" t="s">
        <v>200</v>
      </c>
      <c r="L55" s="27" t="s">
        <v>200</v>
      </c>
      <c r="M55" s="27" t="s">
        <v>200</v>
      </c>
      <c r="N55" s="27" t="s">
        <v>200</v>
      </c>
      <c r="O55" s="27">
        <v>11359.0427</v>
      </c>
      <c r="P55" s="27">
        <v>11396.8032</v>
      </c>
      <c r="Q55" s="27">
        <v>11382.7168</v>
      </c>
      <c r="R55" s="27">
        <v>11525.837600000001</v>
      </c>
      <c r="S55" s="27">
        <v>11791.1693</v>
      </c>
      <c r="T55" s="27">
        <v>11880.7644</v>
      </c>
      <c r="U55" s="27">
        <v>12044.0831</v>
      </c>
      <c r="V55" s="27">
        <v>12067.9696</v>
      </c>
      <c r="W55" s="27" t="s">
        <v>200</v>
      </c>
      <c r="X55" s="27">
        <v>11856.7166</v>
      </c>
      <c r="Y55" s="27" t="s">
        <v>200</v>
      </c>
      <c r="Z55" s="27">
        <v>11438.641900000001</v>
      </c>
      <c r="AA55" s="27" t="s">
        <v>200</v>
      </c>
      <c r="AB55" s="27">
        <v>10868.8953</v>
      </c>
      <c r="AC55" s="27" t="s">
        <v>200</v>
      </c>
      <c r="AD55" s="27">
        <v>10457.3897</v>
      </c>
    </row>
    <row r="56" spans="1:30">
      <c r="A56" s="27" t="s">
        <v>222</v>
      </c>
      <c r="B56" s="27" t="s">
        <v>269</v>
      </c>
      <c r="C56" s="27" t="s">
        <v>198</v>
      </c>
      <c r="D56" s="27" t="s">
        <v>1162</v>
      </c>
      <c r="E56" s="27" t="s">
        <v>83</v>
      </c>
      <c r="F56" s="27" t="s">
        <v>200</v>
      </c>
      <c r="G56" s="27">
        <v>10080.118399999999</v>
      </c>
      <c r="H56" s="27">
        <v>10771.843199999999</v>
      </c>
      <c r="I56" s="27">
        <v>11967.356100000001</v>
      </c>
      <c r="J56" s="27">
        <v>12798.9095</v>
      </c>
      <c r="K56" s="27" t="s">
        <v>200</v>
      </c>
      <c r="L56" s="27" t="s">
        <v>200</v>
      </c>
      <c r="M56" s="27" t="s">
        <v>200</v>
      </c>
      <c r="N56" s="27" t="s">
        <v>200</v>
      </c>
      <c r="O56" s="27">
        <v>11782.784600000001</v>
      </c>
      <c r="P56" s="27">
        <v>11870.4704</v>
      </c>
      <c r="Q56" s="27">
        <v>11837.3253</v>
      </c>
      <c r="R56" s="27">
        <v>12284.308499999999</v>
      </c>
      <c r="S56" s="27">
        <v>12745.625099999999</v>
      </c>
      <c r="T56" s="27">
        <v>13068.911599999999</v>
      </c>
      <c r="U56" s="27">
        <v>13410.751200000001</v>
      </c>
      <c r="V56" s="27">
        <v>13502.293</v>
      </c>
      <c r="W56" s="27" t="s">
        <v>200</v>
      </c>
      <c r="X56" s="27">
        <v>13441.5229</v>
      </c>
      <c r="Y56" s="27" t="s">
        <v>200</v>
      </c>
      <c r="Z56" s="27">
        <v>13031.1065</v>
      </c>
      <c r="AA56" s="27" t="s">
        <v>200</v>
      </c>
      <c r="AB56" s="27">
        <v>12496.098099999999</v>
      </c>
      <c r="AC56" s="27" t="s">
        <v>200</v>
      </c>
      <c r="AD56" s="27">
        <v>12122.2889</v>
      </c>
    </row>
    <row r="57" spans="1:30">
      <c r="A57" s="27" t="s">
        <v>231</v>
      </c>
      <c r="B57" s="27" t="s">
        <v>270</v>
      </c>
      <c r="C57" s="27" t="s">
        <v>198</v>
      </c>
      <c r="D57" s="27" t="s">
        <v>1162</v>
      </c>
      <c r="E57" s="27" t="s">
        <v>83</v>
      </c>
      <c r="F57" s="27" t="s">
        <v>200</v>
      </c>
      <c r="G57" s="27">
        <v>9396.3974528838899</v>
      </c>
      <c r="H57" s="27">
        <v>10022.00953055</v>
      </c>
      <c r="I57" s="27">
        <v>10609.4808132079</v>
      </c>
      <c r="J57" s="27">
        <v>11230.915688276</v>
      </c>
      <c r="K57" s="27" t="s">
        <v>200</v>
      </c>
      <c r="L57" s="27" t="s">
        <v>200</v>
      </c>
      <c r="M57" s="27" t="s">
        <v>200</v>
      </c>
      <c r="N57" s="27" t="s">
        <v>200</v>
      </c>
      <c r="O57" s="27">
        <v>10889.193991517801</v>
      </c>
      <c r="P57" s="27">
        <v>11037.0451275047</v>
      </c>
      <c r="Q57" s="27">
        <v>10996.545640840901</v>
      </c>
      <c r="R57" s="27">
        <v>11222.9144799895</v>
      </c>
      <c r="S57" s="27">
        <v>11283.7092141176</v>
      </c>
      <c r="T57" s="27">
        <v>11151.399271410801</v>
      </c>
      <c r="U57" s="27">
        <v>11159.220341099601</v>
      </c>
      <c r="V57" s="27">
        <v>11167.919496901601</v>
      </c>
      <c r="W57" s="27">
        <v>11174.3796071627</v>
      </c>
      <c r="X57" s="27">
        <v>11171.568266418701</v>
      </c>
      <c r="Y57" s="27">
        <v>11162.963684071499</v>
      </c>
      <c r="Z57" s="27">
        <v>11161.725143179499</v>
      </c>
      <c r="AA57" s="27">
        <v>11143.318680853599</v>
      </c>
      <c r="AB57" s="27">
        <v>11100.574355798301</v>
      </c>
      <c r="AC57" s="27">
        <v>11028.833183651201</v>
      </c>
      <c r="AD57" s="27">
        <v>10935.9213417213</v>
      </c>
    </row>
    <row r="58" spans="1:30">
      <c r="A58" s="27" t="s">
        <v>231</v>
      </c>
      <c r="B58" s="27" t="s">
        <v>271</v>
      </c>
      <c r="C58" s="27" t="s">
        <v>198</v>
      </c>
      <c r="D58" s="27" t="s">
        <v>1162</v>
      </c>
      <c r="E58" s="27" t="s">
        <v>83</v>
      </c>
      <c r="F58" s="27" t="s">
        <v>200</v>
      </c>
      <c r="G58" s="27">
        <v>9396.3974528838899</v>
      </c>
      <c r="H58" s="27">
        <v>10022.00953055</v>
      </c>
      <c r="I58" s="27">
        <v>10609.4808132079</v>
      </c>
      <c r="J58" s="27">
        <v>11230.915688276</v>
      </c>
      <c r="K58" s="27" t="s">
        <v>200</v>
      </c>
      <c r="L58" s="27" t="s">
        <v>200</v>
      </c>
      <c r="M58" s="27" t="s">
        <v>200</v>
      </c>
      <c r="N58" s="27" t="s">
        <v>200</v>
      </c>
      <c r="O58" s="27">
        <v>10336.4771276711</v>
      </c>
      <c r="P58" s="27">
        <v>10937.7552909757</v>
      </c>
      <c r="Q58" s="27">
        <v>11003.495392349199</v>
      </c>
      <c r="R58" s="27">
        <v>11167.697815211999</v>
      </c>
      <c r="S58" s="27">
        <v>11373.365403850201</v>
      </c>
      <c r="T58" s="27">
        <v>11562.254078019399</v>
      </c>
      <c r="U58" s="27">
        <v>11570.2637041492</v>
      </c>
      <c r="V58" s="27">
        <v>11550.537097378099</v>
      </c>
      <c r="W58" s="27">
        <v>11558.0205931536</v>
      </c>
      <c r="X58" s="27">
        <v>11593.0588605824</v>
      </c>
      <c r="Y58" s="27">
        <v>11615.287122923</v>
      </c>
      <c r="Z58" s="27">
        <v>11616.1435966233</v>
      </c>
      <c r="AA58" s="27">
        <v>11604.9375312962</v>
      </c>
      <c r="AB58" s="27">
        <v>11569.400364941001</v>
      </c>
      <c r="AC58" s="27">
        <v>11507.393052526701</v>
      </c>
      <c r="AD58" s="27">
        <v>11436.6843068905</v>
      </c>
    </row>
    <row r="59" spans="1:30">
      <c r="A59" s="27" t="s">
        <v>216</v>
      </c>
      <c r="B59" s="27" t="s">
        <v>272</v>
      </c>
      <c r="C59" s="27" t="s">
        <v>198</v>
      </c>
      <c r="D59" s="27" t="s">
        <v>1162</v>
      </c>
      <c r="E59" s="27" t="s">
        <v>83</v>
      </c>
      <c r="F59" s="27">
        <v>7823.0509077609504</v>
      </c>
      <c r="G59" s="27">
        <v>8323.2376629405207</v>
      </c>
      <c r="H59" s="27">
        <v>8829.9702803471901</v>
      </c>
      <c r="I59" s="27">
        <v>9347.9480467848898</v>
      </c>
      <c r="J59" s="27">
        <v>9651.6296632044596</v>
      </c>
      <c r="K59" s="27">
        <v>9494.5587097814096</v>
      </c>
      <c r="L59" s="27">
        <v>9367.9566054131592</v>
      </c>
      <c r="M59" s="27">
        <v>9267.6120170949307</v>
      </c>
      <c r="N59" s="27">
        <v>9164.1853914651201</v>
      </c>
      <c r="O59" s="27">
        <v>9116.9932994978208</v>
      </c>
      <c r="P59" s="27">
        <v>8607.7648630529602</v>
      </c>
      <c r="Q59" s="27">
        <v>8275.2912273780694</v>
      </c>
      <c r="R59" s="27">
        <v>7884.8308014149297</v>
      </c>
      <c r="S59" s="27">
        <v>7539.7326027900599</v>
      </c>
      <c r="T59" s="27">
        <v>7251.2352257297298</v>
      </c>
      <c r="U59" s="27">
        <v>7042.1051443842998</v>
      </c>
      <c r="V59" s="27">
        <v>7027.7952317770296</v>
      </c>
      <c r="W59" s="27" t="s">
        <v>200</v>
      </c>
      <c r="X59" s="27">
        <v>6745.7603698031699</v>
      </c>
      <c r="Y59" s="27" t="s">
        <v>200</v>
      </c>
      <c r="Z59" s="27">
        <v>6786.1209316983504</v>
      </c>
      <c r="AA59" s="27" t="s">
        <v>200</v>
      </c>
      <c r="AB59" s="27">
        <v>6732.1229780637996</v>
      </c>
      <c r="AC59" s="27" t="s">
        <v>200</v>
      </c>
      <c r="AD59" s="27">
        <v>6507.2836277172401</v>
      </c>
    </row>
    <row r="60" spans="1:30">
      <c r="A60" s="27" t="s">
        <v>196</v>
      </c>
      <c r="B60" s="27" t="s">
        <v>273</v>
      </c>
      <c r="C60" s="27" t="s">
        <v>198</v>
      </c>
      <c r="D60" s="27" t="s">
        <v>1162</v>
      </c>
      <c r="E60" s="27" t="s">
        <v>83</v>
      </c>
      <c r="F60" s="27" t="s">
        <v>200</v>
      </c>
      <c r="G60" s="27" t="s">
        <v>200</v>
      </c>
      <c r="H60" s="27">
        <v>10593.8519</v>
      </c>
      <c r="I60" s="27">
        <v>11796.775600000001</v>
      </c>
      <c r="J60" s="27">
        <v>12032.333699999999</v>
      </c>
      <c r="K60" s="27" t="s">
        <v>200</v>
      </c>
      <c r="L60" s="27" t="s">
        <v>200</v>
      </c>
      <c r="M60" s="27" t="s">
        <v>200</v>
      </c>
      <c r="N60" s="27" t="s">
        <v>200</v>
      </c>
      <c r="O60" s="27">
        <v>11213.623100000001</v>
      </c>
      <c r="P60" s="27">
        <v>11099.276400000001</v>
      </c>
      <c r="Q60" s="27">
        <v>10937.7826</v>
      </c>
      <c r="R60" s="27">
        <v>11186.6278</v>
      </c>
      <c r="S60" s="27">
        <v>11508.870699999999</v>
      </c>
      <c r="T60" s="27">
        <v>11669.534799999999</v>
      </c>
      <c r="U60" s="27">
        <v>11941.906999999999</v>
      </c>
      <c r="V60" s="27">
        <v>12002.674499999999</v>
      </c>
      <c r="W60" s="27" t="s">
        <v>200</v>
      </c>
      <c r="X60" s="27">
        <v>11768.9331</v>
      </c>
      <c r="Y60" s="27" t="s">
        <v>200</v>
      </c>
      <c r="Z60" s="27">
        <v>11281.4771</v>
      </c>
      <c r="AA60" s="27" t="s">
        <v>200</v>
      </c>
      <c r="AB60" s="27">
        <v>10710.127500000001</v>
      </c>
      <c r="AC60" s="27" t="s">
        <v>200</v>
      </c>
      <c r="AD60" s="27">
        <v>10297.989299999999</v>
      </c>
    </row>
    <row r="61" spans="1:30">
      <c r="A61" s="27" t="s">
        <v>226</v>
      </c>
      <c r="B61" s="27" t="s">
        <v>274</v>
      </c>
      <c r="C61" s="27" t="s">
        <v>198</v>
      </c>
      <c r="D61" s="27" t="s">
        <v>1162</v>
      </c>
      <c r="E61" s="27" t="s">
        <v>83</v>
      </c>
      <c r="F61" s="27" t="s">
        <v>200</v>
      </c>
      <c r="G61" s="27">
        <v>9626.8536000000004</v>
      </c>
      <c r="H61" s="27">
        <v>10562.430899999999</v>
      </c>
      <c r="I61" s="27">
        <v>11465.093699999999</v>
      </c>
      <c r="J61" s="27">
        <v>11121.463100000001</v>
      </c>
      <c r="K61" s="27" t="s">
        <v>200</v>
      </c>
      <c r="L61" s="27" t="s">
        <v>200</v>
      </c>
      <c r="M61" s="27" t="s">
        <v>200</v>
      </c>
      <c r="N61" s="27" t="s">
        <v>200</v>
      </c>
      <c r="O61" s="27">
        <v>10293.6178</v>
      </c>
      <c r="P61" s="27">
        <v>9125.5892999999996</v>
      </c>
      <c r="Q61" s="27">
        <v>8175.7743</v>
      </c>
      <c r="R61" s="27">
        <v>7788.1477000000004</v>
      </c>
      <c r="S61" s="27">
        <v>7363.9413000000004</v>
      </c>
      <c r="T61" s="27">
        <v>7078.7507999999998</v>
      </c>
      <c r="U61" s="27">
        <v>6652.0730000000003</v>
      </c>
      <c r="V61" s="27">
        <v>6419.1977999999999</v>
      </c>
      <c r="W61" s="27" t="s">
        <v>200</v>
      </c>
      <c r="X61" s="27">
        <v>6514.8086999999996</v>
      </c>
      <c r="Y61" s="27" t="s">
        <v>200</v>
      </c>
      <c r="Z61" s="27">
        <v>6282.3658999999998</v>
      </c>
      <c r="AA61" s="27" t="s">
        <v>200</v>
      </c>
      <c r="AB61" s="27">
        <v>6027.7761</v>
      </c>
      <c r="AC61" s="27" t="s">
        <v>200</v>
      </c>
      <c r="AD61" s="27">
        <v>5801.0893999999998</v>
      </c>
    </row>
    <row r="62" spans="1:30">
      <c r="A62" s="27" t="s">
        <v>196</v>
      </c>
      <c r="B62" s="27" t="s">
        <v>275</v>
      </c>
      <c r="C62" s="27" t="s">
        <v>198</v>
      </c>
      <c r="D62" s="27" t="s">
        <v>1162</v>
      </c>
      <c r="E62" s="27" t="s">
        <v>83</v>
      </c>
      <c r="F62" s="27" t="s">
        <v>200</v>
      </c>
      <c r="G62" s="27">
        <v>9879.3521000000001</v>
      </c>
      <c r="H62" s="27">
        <v>10556.581399999999</v>
      </c>
      <c r="I62" s="27">
        <v>11722.5486</v>
      </c>
      <c r="J62" s="27">
        <v>12647.1031</v>
      </c>
      <c r="K62" s="27" t="s">
        <v>200</v>
      </c>
      <c r="L62" s="27" t="s">
        <v>200</v>
      </c>
      <c r="M62" s="27" t="s">
        <v>200</v>
      </c>
      <c r="N62" s="27" t="s">
        <v>200</v>
      </c>
      <c r="O62" s="27">
        <v>11608.5483</v>
      </c>
      <c r="P62" s="27">
        <v>11646.771500000001</v>
      </c>
      <c r="Q62" s="27">
        <v>11511.4733</v>
      </c>
      <c r="R62" s="27">
        <v>11641.672</v>
      </c>
      <c r="S62" s="27">
        <v>11963.8848</v>
      </c>
      <c r="T62" s="27">
        <v>12142.869000000001</v>
      </c>
      <c r="U62" s="27">
        <v>12384.4509</v>
      </c>
      <c r="V62" s="27">
        <v>12401.4791</v>
      </c>
      <c r="W62" s="27" t="s">
        <v>200</v>
      </c>
      <c r="X62" s="27">
        <v>12333.367899999999</v>
      </c>
      <c r="Y62" s="27" t="s">
        <v>200</v>
      </c>
      <c r="Z62" s="27">
        <v>11940.743899999999</v>
      </c>
      <c r="AA62" s="27" t="s">
        <v>200</v>
      </c>
      <c r="AB62" s="27">
        <v>11402.6258</v>
      </c>
      <c r="AC62" s="27" t="s">
        <v>200</v>
      </c>
      <c r="AD62" s="27">
        <v>11054.6206</v>
      </c>
    </row>
    <row r="63" spans="1:30">
      <c r="A63" s="27" t="s">
        <v>261</v>
      </c>
      <c r="B63" s="27" t="s">
        <v>276</v>
      </c>
      <c r="C63" s="27" t="s">
        <v>198</v>
      </c>
      <c r="D63" s="27" t="s">
        <v>1162</v>
      </c>
      <c r="E63" s="27" t="s">
        <v>83</v>
      </c>
      <c r="F63" s="27" t="s">
        <v>200</v>
      </c>
      <c r="G63" s="27">
        <v>10017.063752848429</v>
      </c>
      <c r="H63" s="27">
        <v>10518.240510524251</v>
      </c>
      <c r="I63" s="27">
        <v>10949.98437201364</v>
      </c>
      <c r="J63" s="27">
        <v>11046.120044420461</v>
      </c>
      <c r="K63" s="27" t="s">
        <v>200</v>
      </c>
      <c r="L63" s="27" t="s">
        <v>200</v>
      </c>
      <c r="M63" s="27" t="s">
        <v>200</v>
      </c>
      <c r="N63" s="27" t="s">
        <v>200</v>
      </c>
      <c r="O63" s="27">
        <v>10230.83788783477</v>
      </c>
      <c r="P63" s="27">
        <v>9011.9433569171979</v>
      </c>
      <c r="Q63" s="27">
        <v>8365.6964262898746</v>
      </c>
      <c r="R63" s="27">
        <v>7890.4459381382376</v>
      </c>
      <c r="S63" s="27">
        <v>7377.2126095951762</v>
      </c>
      <c r="T63" s="27">
        <v>6913.1462732262034</v>
      </c>
      <c r="U63" s="27">
        <v>6811.283480285234</v>
      </c>
      <c r="V63" s="27">
        <v>6857.0229473486525</v>
      </c>
      <c r="W63" s="27">
        <v>6773.1809412331258</v>
      </c>
      <c r="X63" s="27">
        <v>6713.0922135709416</v>
      </c>
      <c r="Y63" s="27">
        <v>6640.8839965147426</v>
      </c>
      <c r="Z63" s="27">
        <v>6564.1180227633577</v>
      </c>
      <c r="AA63" s="27">
        <v>6478.145227027876</v>
      </c>
      <c r="AB63" s="27">
        <v>6392.1831734798916</v>
      </c>
      <c r="AC63" s="27">
        <v>6264.2782488495959</v>
      </c>
      <c r="AD63" s="27">
        <v>6157.9022025616432</v>
      </c>
    </row>
    <row r="64" spans="1:30">
      <c r="A64" s="27" t="s">
        <v>218</v>
      </c>
      <c r="B64" s="27" t="s">
        <v>256</v>
      </c>
      <c r="C64" s="27" t="s">
        <v>198</v>
      </c>
      <c r="D64" s="27" t="s">
        <v>1162</v>
      </c>
      <c r="E64" s="27" t="s">
        <v>83</v>
      </c>
      <c r="F64" s="27" t="s">
        <v>200</v>
      </c>
      <c r="G64" s="27">
        <v>9638.9624000000003</v>
      </c>
      <c r="H64" s="27">
        <v>10535.746800000001</v>
      </c>
      <c r="I64" s="27">
        <v>11373.2088</v>
      </c>
      <c r="J64" s="27">
        <v>12097.3212</v>
      </c>
      <c r="K64" s="27" t="s">
        <v>200</v>
      </c>
      <c r="L64" s="27" t="s">
        <v>200</v>
      </c>
      <c r="M64" s="27" t="s">
        <v>200</v>
      </c>
      <c r="N64" s="27" t="s">
        <v>200</v>
      </c>
      <c r="O64" s="27">
        <v>10670.6</v>
      </c>
      <c r="P64" s="27">
        <v>10333.68</v>
      </c>
      <c r="Q64" s="27">
        <v>9645.3220000000001</v>
      </c>
      <c r="R64" s="27">
        <v>9290.2340000000004</v>
      </c>
      <c r="S64" s="27">
        <v>9414.7659999999996</v>
      </c>
      <c r="T64" s="27">
        <v>9391.9940000000006</v>
      </c>
      <c r="U64" s="27">
        <v>9683.4459999999999</v>
      </c>
      <c r="V64" s="27">
        <v>9850.8940000000002</v>
      </c>
      <c r="W64" s="27" t="s">
        <v>200</v>
      </c>
      <c r="X64" s="27">
        <v>10036.709999999999</v>
      </c>
      <c r="Y64" s="27" t="s">
        <v>200</v>
      </c>
      <c r="Z64" s="27">
        <v>9817.3770000000004</v>
      </c>
      <c r="AA64" s="27" t="s">
        <v>200</v>
      </c>
      <c r="AB64" s="27">
        <v>9591.1620000000003</v>
      </c>
      <c r="AC64" s="27" t="s">
        <v>200</v>
      </c>
      <c r="AD64" s="27">
        <v>9323.3330000000005</v>
      </c>
    </row>
    <row r="65" spans="1:30">
      <c r="A65" s="27" t="s">
        <v>203</v>
      </c>
      <c r="B65" s="27" t="s">
        <v>277</v>
      </c>
      <c r="C65" s="27" t="s">
        <v>198</v>
      </c>
      <c r="D65" s="27" t="s">
        <v>1162</v>
      </c>
      <c r="E65" s="27" t="s">
        <v>83</v>
      </c>
      <c r="F65" s="27" t="s">
        <v>200</v>
      </c>
      <c r="G65" s="27">
        <v>9892.6908000000003</v>
      </c>
      <c r="H65" s="27">
        <v>10581.7094</v>
      </c>
      <c r="I65" s="27">
        <v>11755.3362</v>
      </c>
      <c r="J65" s="27">
        <v>12705.295</v>
      </c>
      <c r="K65" s="27" t="s">
        <v>200</v>
      </c>
      <c r="L65" s="27" t="s">
        <v>200</v>
      </c>
      <c r="M65" s="27" t="s">
        <v>200</v>
      </c>
      <c r="N65" s="27" t="s">
        <v>200</v>
      </c>
      <c r="O65" s="27">
        <v>12161.206399999999</v>
      </c>
      <c r="P65" s="27">
        <v>12193.963599999999</v>
      </c>
      <c r="Q65" s="27">
        <v>11822.796399999999</v>
      </c>
      <c r="R65" s="27">
        <v>11556.600399999999</v>
      </c>
      <c r="S65" s="27">
        <v>11875.3824</v>
      </c>
      <c r="T65" s="27">
        <v>12184.1391</v>
      </c>
      <c r="U65" s="27">
        <v>12628.3146</v>
      </c>
      <c r="V65" s="27">
        <v>12801.849399999999</v>
      </c>
      <c r="W65" s="27" t="s">
        <v>200</v>
      </c>
      <c r="X65" s="27">
        <v>12684.8824</v>
      </c>
      <c r="Y65" s="27" t="s">
        <v>200</v>
      </c>
      <c r="Z65" s="27">
        <v>12271.124100000001</v>
      </c>
      <c r="AA65" s="27" t="s">
        <v>200</v>
      </c>
      <c r="AB65" s="27">
        <v>11623.6361</v>
      </c>
      <c r="AC65" s="27" t="s">
        <v>200</v>
      </c>
      <c r="AD65" s="27">
        <v>11142.4838</v>
      </c>
    </row>
    <row r="66" spans="1:30">
      <c r="A66" s="27" t="s">
        <v>203</v>
      </c>
      <c r="B66" s="27" t="s">
        <v>278</v>
      </c>
      <c r="C66" s="27" t="s">
        <v>198</v>
      </c>
      <c r="D66" s="27" t="s">
        <v>1162</v>
      </c>
      <c r="E66" s="27" t="s">
        <v>83</v>
      </c>
      <c r="F66" s="27" t="s">
        <v>200</v>
      </c>
      <c r="G66" s="27">
        <v>9888.0956999999999</v>
      </c>
      <c r="H66" s="27">
        <v>10584.763999999999</v>
      </c>
      <c r="I66" s="27">
        <v>11772.2552</v>
      </c>
      <c r="J66" s="27">
        <v>12751.3959</v>
      </c>
      <c r="K66" s="27" t="s">
        <v>200</v>
      </c>
      <c r="L66" s="27" t="s">
        <v>200</v>
      </c>
      <c r="M66" s="27" t="s">
        <v>200</v>
      </c>
      <c r="N66" s="27" t="s">
        <v>200</v>
      </c>
      <c r="O66" s="27">
        <v>11020.0607</v>
      </c>
      <c r="P66" s="27">
        <v>11092.6785</v>
      </c>
      <c r="Q66" s="27">
        <v>11265.398300000001</v>
      </c>
      <c r="R66" s="27">
        <v>11851.883</v>
      </c>
      <c r="S66" s="27">
        <v>12236.9238</v>
      </c>
      <c r="T66" s="27">
        <v>12389.6402</v>
      </c>
      <c r="U66" s="27">
        <v>12557.692499999999</v>
      </c>
      <c r="V66" s="27">
        <v>12422.3469</v>
      </c>
      <c r="W66" s="27" t="s">
        <v>200</v>
      </c>
      <c r="X66" s="27">
        <v>11794.5658</v>
      </c>
      <c r="Y66" s="27" t="s">
        <v>200</v>
      </c>
      <c r="Z66" s="27">
        <v>10959.7363</v>
      </c>
      <c r="AA66" s="27" t="s">
        <v>200</v>
      </c>
      <c r="AB66" s="27">
        <v>10124.180899999999</v>
      </c>
      <c r="AC66" s="27" t="s">
        <v>200</v>
      </c>
      <c r="AD66" s="27">
        <v>9511.7297999999992</v>
      </c>
    </row>
    <row r="67" spans="1:30">
      <c r="A67" s="27" t="s">
        <v>196</v>
      </c>
      <c r="B67" s="27" t="s">
        <v>279</v>
      </c>
      <c r="C67" s="27" t="s">
        <v>198</v>
      </c>
      <c r="D67" s="27" t="s">
        <v>1162</v>
      </c>
      <c r="E67" s="27" t="s">
        <v>83</v>
      </c>
      <c r="F67" s="27" t="s">
        <v>200</v>
      </c>
      <c r="G67" s="27">
        <v>9879.3521000000001</v>
      </c>
      <c r="H67" s="27">
        <v>10556.581399999999</v>
      </c>
      <c r="I67" s="27">
        <v>11722.5486</v>
      </c>
      <c r="J67" s="27">
        <v>12647.1031</v>
      </c>
      <c r="K67" s="27" t="s">
        <v>200</v>
      </c>
      <c r="L67" s="27" t="s">
        <v>200</v>
      </c>
      <c r="M67" s="27" t="s">
        <v>200</v>
      </c>
      <c r="N67" s="27" t="s">
        <v>200</v>
      </c>
      <c r="O67" s="27">
        <v>11009.287899999999</v>
      </c>
      <c r="P67" s="27">
        <v>10685.4388</v>
      </c>
      <c r="Q67" s="27">
        <v>10177.447899999999</v>
      </c>
      <c r="R67" s="27">
        <v>9903.4675000000007</v>
      </c>
      <c r="S67" s="27">
        <v>9772.5323000000008</v>
      </c>
      <c r="T67" s="27">
        <v>9382.2075999999997</v>
      </c>
      <c r="U67" s="27">
        <v>9213.3528999999999</v>
      </c>
      <c r="V67" s="27">
        <v>8891.7793000000001</v>
      </c>
      <c r="W67" s="27" t="s">
        <v>200</v>
      </c>
      <c r="X67" s="27">
        <v>7913.0397999999996</v>
      </c>
      <c r="Y67" s="27" t="s">
        <v>200</v>
      </c>
      <c r="Z67" s="27">
        <v>6947.5438000000004</v>
      </c>
      <c r="AA67" s="27" t="s">
        <v>200</v>
      </c>
      <c r="AB67" s="27">
        <v>6056.5887000000002</v>
      </c>
      <c r="AC67" s="27" t="s">
        <v>200</v>
      </c>
      <c r="AD67" s="27">
        <v>5395.1179000000002</v>
      </c>
    </row>
    <row r="68" spans="1:30">
      <c r="A68" s="27" t="s">
        <v>257</v>
      </c>
      <c r="B68" s="27" t="s">
        <v>280</v>
      </c>
      <c r="C68" s="27" t="s">
        <v>198</v>
      </c>
      <c r="D68" s="27" t="s">
        <v>1162</v>
      </c>
      <c r="E68" s="27" t="s">
        <v>83</v>
      </c>
      <c r="F68" s="27" t="s">
        <v>200</v>
      </c>
      <c r="G68" s="27" t="s">
        <v>200</v>
      </c>
      <c r="H68" s="27">
        <v>9966.5213000000003</v>
      </c>
      <c r="I68" s="27">
        <v>10682.8243</v>
      </c>
      <c r="J68" s="27">
        <v>11409.835300000001</v>
      </c>
      <c r="K68" s="27" t="s">
        <v>200</v>
      </c>
      <c r="L68" s="27" t="s">
        <v>200</v>
      </c>
      <c r="M68" s="27" t="s">
        <v>200</v>
      </c>
      <c r="N68" s="27" t="s">
        <v>200</v>
      </c>
      <c r="O68" s="27">
        <v>8852.9454999999998</v>
      </c>
      <c r="P68" s="27">
        <v>8051.4904999999999</v>
      </c>
      <c r="Q68" s="27">
        <v>7564.1225999999997</v>
      </c>
      <c r="R68" s="27">
        <v>7494.0285999999996</v>
      </c>
      <c r="S68" s="27">
        <v>7545.6930000000002</v>
      </c>
      <c r="T68" s="27">
        <v>7345.94</v>
      </c>
      <c r="U68" s="27">
        <v>7579.9655000000002</v>
      </c>
      <c r="V68" s="27">
        <v>7777.5141000000003</v>
      </c>
      <c r="W68" s="27">
        <v>7954.482</v>
      </c>
      <c r="X68" s="27">
        <v>8117.7442000000001</v>
      </c>
      <c r="Y68" s="27">
        <v>8260.7633999999998</v>
      </c>
      <c r="Z68" s="27">
        <v>8384.7253000000001</v>
      </c>
      <c r="AA68" s="27">
        <v>8486.2371000000003</v>
      </c>
      <c r="AB68" s="27">
        <v>8570.4308999999994</v>
      </c>
      <c r="AC68" s="27">
        <v>8638.0061999999998</v>
      </c>
      <c r="AD68" s="27">
        <v>8688.2127999999993</v>
      </c>
    </row>
    <row r="69" spans="1:30">
      <c r="A69" s="27" t="s">
        <v>211</v>
      </c>
      <c r="B69" s="27" t="s">
        <v>240</v>
      </c>
      <c r="C69" s="27" t="s">
        <v>198</v>
      </c>
      <c r="D69" s="27" t="s">
        <v>1162</v>
      </c>
      <c r="E69" s="27" t="s">
        <v>83</v>
      </c>
      <c r="F69" s="27" t="s">
        <v>200</v>
      </c>
      <c r="G69" s="27">
        <v>8286.0622936422951</v>
      </c>
      <c r="H69" s="27">
        <v>8748.5118232845889</v>
      </c>
      <c r="I69" s="27" t="s">
        <v>200</v>
      </c>
      <c r="J69" s="27">
        <v>9564.9965763613309</v>
      </c>
      <c r="K69" s="27" t="s">
        <v>200</v>
      </c>
      <c r="L69" s="27" t="s">
        <v>200</v>
      </c>
      <c r="M69" s="27" t="s">
        <v>200</v>
      </c>
      <c r="N69" s="27" t="s">
        <v>200</v>
      </c>
      <c r="O69" s="27" t="s">
        <v>200</v>
      </c>
      <c r="P69" s="27">
        <v>9770.7451791189233</v>
      </c>
      <c r="Q69" s="27" t="s">
        <v>200</v>
      </c>
      <c r="R69" s="27">
        <v>9218.9029459175235</v>
      </c>
      <c r="S69" s="27" t="s">
        <v>200</v>
      </c>
      <c r="T69" s="27">
        <v>8196.762941724448</v>
      </c>
      <c r="U69" s="27" t="s">
        <v>200</v>
      </c>
      <c r="V69" s="27">
        <v>7417.8588009306768</v>
      </c>
      <c r="W69" s="27" t="s">
        <v>200</v>
      </c>
      <c r="X69" s="27">
        <v>6556.5656957289129</v>
      </c>
      <c r="Y69" s="27" t="s">
        <v>200</v>
      </c>
      <c r="Z69" s="27">
        <v>6111.9975054824436</v>
      </c>
      <c r="AA69" s="27" t="s">
        <v>200</v>
      </c>
      <c r="AB69" s="27">
        <v>5636.2178401086658</v>
      </c>
      <c r="AC69" s="27" t="s">
        <v>200</v>
      </c>
      <c r="AD69" s="27">
        <v>5251.3280203335071</v>
      </c>
    </row>
    <row r="70" spans="1:30">
      <c r="A70" s="27" t="s">
        <v>203</v>
      </c>
      <c r="B70" s="27" t="s">
        <v>281</v>
      </c>
      <c r="C70" s="27" t="s">
        <v>198</v>
      </c>
      <c r="D70" s="27" t="s">
        <v>1162</v>
      </c>
      <c r="E70" s="27" t="s">
        <v>83</v>
      </c>
      <c r="F70" s="27" t="s">
        <v>200</v>
      </c>
      <c r="G70" s="27">
        <v>9888.0956999999999</v>
      </c>
      <c r="H70" s="27">
        <v>10584.763999999999</v>
      </c>
      <c r="I70" s="27">
        <v>11772.2552</v>
      </c>
      <c r="J70" s="27">
        <v>12751.3959</v>
      </c>
      <c r="K70" s="27" t="s">
        <v>200</v>
      </c>
      <c r="L70" s="27" t="s">
        <v>200</v>
      </c>
      <c r="M70" s="27" t="s">
        <v>200</v>
      </c>
      <c r="N70" s="27" t="s">
        <v>200</v>
      </c>
      <c r="O70" s="27">
        <v>11294.389800000001</v>
      </c>
      <c r="P70" s="27">
        <v>11260.1962</v>
      </c>
      <c r="Q70" s="27">
        <v>11113.413200000001</v>
      </c>
      <c r="R70" s="27">
        <v>11377.7737</v>
      </c>
      <c r="S70" s="27">
        <v>11821.1435</v>
      </c>
      <c r="T70" s="27">
        <v>12082.735699999999</v>
      </c>
      <c r="U70" s="27">
        <v>12421.922699999999</v>
      </c>
      <c r="V70" s="27">
        <v>12517.1165</v>
      </c>
      <c r="W70" s="27" t="s">
        <v>200</v>
      </c>
      <c r="X70" s="27">
        <v>12349.2657</v>
      </c>
      <c r="Y70" s="27" t="s">
        <v>200</v>
      </c>
      <c r="Z70" s="27">
        <v>11909.0507</v>
      </c>
      <c r="AA70" s="27" t="s">
        <v>200</v>
      </c>
      <c r="AB70" s="27">
        <v>11398.313</v>
      </c>
      <c r="AC70" s="27" t="s">
        <v>200</v>
      </c>
      <c r="AD70" s="27">
        <v>11103.276599999999</v>
      </c>
    </row>
    <row r="71" spans="1:30">
      <c r="A71" s="27" t="s">
        <v>282</v>
      </c>
      <c r="B71" s="27" t="s">
        <v>283</v>
      </c>
      <c r="C71" s="27" t="s">
        <v>198</v>
      </c>
      <c r="D71" s="27" t="s">
        <v>1162</v>
      </c>
      <c r="E71" s="27" t="s">
        <v>83</v>
      </c>
      <c r="F71" s="27" t="s">
        <v>200</v>
      </c>
      <c r="G71" s="27" t="s">
        <v>200</v>
      </c>
      <c r="H71" s="27">
        <v>8841.9351130547311</v>
      </c>
      <c r="I71" s="27">
        <v>9356.6891178927071</v>
      </c>
      <c r="J71" s="27">
        <v>9758.2883980647439</v>
      </c>
      <c r="K71" s="27" t="s">
        <v>200</v>
      </c>
      <c r="L71" s="27" t="s">
        <v>200</v>
      </c>
      <c r="M71" s="27" t="s">
        <v>200</v>
      </c>
      <c r="N71" s="27" t="s">
        <v>200</v>
      </c>
      <c r="O71" s="27" t="s">
        <v>200</v>
      </c>
      <c r="P71" s="27">
        <v>8772.5626201626565</v>
      </c>
      <c r="Q71" s="27" t="s">
        <v>200</v>
      </c>
      <c r="R71" s="27">
        <v>8242.0895712145866</v>
      </c>
      <c r="S71" s="27" t="s">
        <v>200</v>
      </c>
      <c r="T71" s="27">
        <v>7827.5663386397046</v>
      </c>
      <c r="U71" s="27" t="s">
        <v>200</v>
      </c>
      <c r="V71" s="27">
        <v>7597.9319391198196</v>
      </c>
      <c r="W71" s="27" t="s">
        <v>200</v>
      </c>
      <c r="X71" s="27">
        <v>7134.3361209947061</v>
      </c>
      <c r="Y71" s="27" t="s">
        <v>200</v>
      </c>
      <c r="Z71" s="27">
        <v>6997.0475462549366</v>
      </c>
      <c r="AA71" s="27" t="s">
        <v>200</v>
      </c>
      <c r="AB71" s="27">
        <v>6981.3749503817726</v>
      </c>
      <c r="AC71" s="27" t="s">
        <v>200</v>
      </c>
      <c r="AD71" s="27">
        <v>6913.441942153986</v>
      </c>
    </row>
    <row r="72" spans="1:30">
      <c r="A72" s="27" t="s">
        <v>203</v>
      </c>
      <c r="B72" s="27" t="s">
        <v>284</v>
      </c>
      <c r="C72" s="27" t="s">
        <v>198</v>
      </c>
      <c r="D72" s="27" t="s">
        <v>1162</v>
      </c>
      <c r="E72" s="27" t="s">
        <v>83</v>
      </c>
      <c r="F72" s="27" t="s">
        <v>200</v>
      </c>
      <c r="G72" s="27">
        <v>9888.0956999999999</v>
      </c>
      <c r="H72" s="27">
        <v>10584.763999999999</v>
      </c>
      <c r="I72" s="27">
        <v>11772.2552</v>
      </c>
      <c r="J72" s="27">
        <v>12751.3959</v>
      </c>
      <c r="K72" s="27" t="s">
        <v>200</v>
      </c>
      <c r="L72" s="27" t="s">
        <v>200</v>
      </c>
      <c r="M72" s="27" t="s">
        <v>200</v>
      </c>
      <c r="N72" s="27" t="s">
        <v>200</v>
      </c>
      <c r="O72" s="27">
        <v>10701.7624</v>
      </c>
      <c r="P72" s="27">
        <v>10328.7456</v>
      </c>
      <c r="Q72" s="27">
        <v>9800.2762999999995</v>
      </c>
      <c r="R72" s="27">
        <v>9534.9570000000003</v>
      </c>
      <c r="S72" s="27">
        <v>9439.6548000000003</v>
      </c>
      <c r="T72" s="27">
        <v>9145.9786999999997</v>
      </c>
      <c r="U72" s="27">
        <v>9061.1142999999993</v>
      </c>
      <c r="V72" s="27">
        <v>8774.7775999999994</v>
      </c>
      <c r="W72" s="27" t="s">
        <v>200</v>
      </c>
      <c r="X72" s="27">
        <v>7847.1596</v>
      </c>
      <c r="Y72" s="27" t="s">
        <v>200</v>
      </c>
      <c r="Z72" s="27">
        <v>6885.0302000000001</v>
      </c>
      <c r="AA72" s="27" t="s">
        <v>200</v>
      </c>
      <c r="AB72" s="27">
        <v>6075.4993000000004</v>
      </c>
      <c r="AC72" s="27" t="s">
        <v>200</v>
      </c>
      <c r="AD72" s="27">
        <v>5441.0057999999999</v>
      </c>
    </row>
    <row r="73" spans="1:30">
      <c r="A73" s="27" t="s">
        <v>203</v>
      </c>
      <c r="B73" s="27" t="s">
        <v>285</v>
      </c>
      <c r="C73" s="27" t="s">
        <v>198</v>
      </c>
      <c r="D73" s="27" t="s">
        <v>1162</v>
      </c>
      <c r="E73" s="27" t="s">
        <v>83</v>
      </c>
      <c r="F73" s="27" t="s">
        <v>200</v>
      </c>
      <c r="G73" s="27">
        <v>9892.6908000000003</v>
      </c>
      <c r="H73" s="27">
        <v>10581.577300000001</v>
      </c>
      <c r="I73" s="27">
        <v>11755.231299999999</v>
      </c>
      <c r="J73" s="27">
        <v>12699.206099999999</v>
      </c>
      <c r="K73" s="27" t="s">
        <v>200</v>
      </c>
      <c r="L73" s="27" t="s">
        <v>200</v>
      </c>
      <c r="M73" s="27" t="s">
        <v>200</v>
      </c>
      <c r="N73" s="27" t="s">
        <v>200</v>
      </c>
      <c r="O73" s="27">
        <v>11416.1932</v>
      </c>
      <c r="P73" s="27">
        <v>11197.3668</v>
      </c>
      <c r="Q73" s="27">
        <v>10587.188700000001</v>
      </c>
      <c r="R73" s="27">
        <v>9709.6478999999999</v>
      </c>
      <c r="S73" s="27">
        <v>9275.0514999999996</v>
      </c>
      <c r="T73" s="27">
        <v>8768.7865000000002</v>
      </c>
      <c r="U73" s="27">
        <v>8652.2914999999994</v>
      </c>
      <c r="V73" s="27">
        <v>8443.0380000000005</v>
      </c>
      <c r="W73" s="27" t="s">
        <v>200</v>
      </c>
      <c r="X73" s="27">
        <v>7675.8373000000001</v>
      </c>
      <c r="Y73" s="27" t="s">
        <v>200</v>
      </c>
      <c r="Z73" s="27">
        <v>6816.2245000000003</v>
      </c>
      <c r="AA73" s="27" t="s">
        <v>200</v>
      </c>
      <c r="AB73" s="27">
        <v>6075.5924999999997</v>
      </c>
      <c r="AC73" s="27" t="s">
        <v>200</v>
      </c>
      <c r="AD73" s="27">
        <v>5517.9674000000005</v>
      </c>
    </row>
    <row r="74" spans="1:30">
      <c r="A74" s="27" t="s">
        <v>196</v>
      </c>
      <c r="B74" s="27" t="s">
        <v>286</v>
      </c>
      <c r="C74" s="27" t="s">
        <v>198</v>
      </c>
      <c r="D74" s="27" t="s">
        <v>1162</v>
      </c>
      <c r="E74" s="27" t="s">
        <v>83</v>
      </c>
      <c r="F74" s="27" t="s">
        <v>200</v>
      </c>
      <c r="G74" s="27">
        <v>9879.3521000000001</v>
      </c>
      <c r="H74" s="27">
        <v>10556.0538</v>
      </c>
      <c r="I74" s="27">
        <v>11721.626899999999</v>
      </c>
      <c r="J74" s="27">
        <v>12646.665999999999</v>
      </c>
      <c r="K74" s="27" t="s">
        <v>200</v>
      </c>
      <c r="L74" s="27" t="s">
        <v>200</v>
      </c>
      <c r="M74" s="27" t="s">
        <v>200</v>
      </c>
      <c r="N74" s="27" t="s">
        <v>200</v>
      </c>
      <c r="O74" s="27">
        <v>11310.154200000001</v>
      </c>
      <c r="P74" s="27">
        <v>11409.7484</v>
      </c>
      <c r="Q74" s="27">
        <v>11568.3344</v>
      </c>
      <c r="R74" s="27">
        <v>11849.982900000001</v>
      </c>
      <c r="S74" s="27">
        <v>12068.294900000001</v>
      </c>
      <c r="T74" s="27">
        <v>12078.622799999999</v>
      </c>
      <c r="U74" s="27">
        <v>12149.3248</v>
      </c>
      <c r="V74" s="27">
        <v>12140.634400000001</v>
      </c>
      <c r="W74" s="27" t="s">
        <v>200</v>
      </c>
      <c r="X74" s="27">
        <v>11948.502699999999</v>
      </c>
      <c r="Y74" s="27" t="s">
        <v>200</v>
      </c>
      <c r="Z74" s="27">
        <v>11511.9791</v>
      </c>
      <c r="AA74" s="27" t="s">
        <v>200</v>
      </c>
      <c r="AB74" s="27">
        <v>10931.4522</v>
      </c>
      <c r="AC74" s="27" t="s">
        <v>200</v>
      </c>
      <c r="AD74" s="27">
        <v>10515.533100000001</v>
      </c>
    </row>
    <row r="75" spans="1:30">
      <c r="A75" s="27" t="s">
        <v>282</v>
      </c>
      <c r="B75" s="27" t="s">
        <v>243</v>
      </c>
      <c r="C75" s="27" t="s">
        <v>198</v>
      </c>
      <c r="D75" s="27" t="s">
        <v>1162</v>
      </c>
      <c r="E75" s="27" t="s">
        <v>83</v>
      </c>
      <c r="F75" s="27">
        <v>7833.6757507298498</v>
      </c>
      <c r="G75" s="27">
        <v>8288.0318587982601</v>
      </c>
      <c r="H75" s="27">
        <v>8761.4771947374502</v>
      </c>
      <c r="I75" s="27" t="s">
        <v>200</v>
      </c>
      <c r="J75" s="27">
        <v>9623.6467596758703</v>
      </c>
      <c r="K75" s="27" t="s">
        <v>200</v>
      </c>
      <c r="L75" s="27" t="s">
        <v>200</v>
      </c>
      <c r="M75" s="27" t="s">
        <v>200</v>
      </c>
      <c r="N75" s="27" t="s">
        <v>200</v>
      </c>
      <c r="O75" s="27" t="s">
        <v>200</v>
      </c>
      <c r="P75" s="27">
        <v>9379.6906581035491</v>
      </c>
      <c r="Q75" s="27" t="s">
        <v>200</v>
      </c>
      <c r="R75" s="27">
        <v>8645.0741529656007</v>
      </c>
      <c r="S75" s="27" t="s">
        <v>200</v>
      </c>
      <c r="T75" s="27">
        <v>7971.3857448656008</v>
      </c>
      <c r="U75" s="27" t="s">
        <v>200</v>
      </c>
      <c r="V75" s="27">
        <v>7339.0091877385594</v>
      </c>
      <c r="W75" s="27" t="s">
        <v>200</v>
      </c>
      <c r="X75" s="27">
        <v>6518.7975172968099</v>
      </c>
      <c r="Y75" s="27" t="s">
        <v>200</v>
      </c>
      <c r="Z75" s="27">
        <v>6165.01766593293</v>
      </c>
      <c r="AA75" s="27" t="s">
        <v>200</v>
      </c>
      <c r="AB75" s="27">
        <v>5862.7641888343296</v>
      </c>
      <c r="AC75" s="27" t="s">
        <v>200</v>
      </c>
      <c r="AD75" s="27">
        <v>5624.2168336877603</v>
      </c>
    </row>
    <row r="76" spans="1:30">
      <c r="A76" s="27" t="s">
        <v>207</v>
      </c>
      <c r="B76" s="27" t="s">
        <v>202</v>
      </c>
      <c r="C76" s="27" t="s">
        <v>198</v>
      </c>
      <c r="D76" s="27" t="s">
        <v>1162</v>
      </c>
      <c r="E76" s="27" t="s">
        <v>83</v>
      </c>
      <c r="F76" s="27">
        <v>7823.0509077609549</v>
      </c>
      <c r="G76" s="27">
        <v>8323.2376629405171</v>
      </c>
      <c r="H76" s="27">
        <v>8829.9702803471864</v>
      </c>
      <c r="I76" s="27">
        <v>9347.948046784888</v>
      </c>
      <c r="J76" s="27">
        <v>9623.8702995632193</v>
      </c>
      <c r="K76" s="27" t="s">
        <v>200</v>
      </c>
      <c r="L76" s="27" t="s">
        <v>200</v>
      </c>
      <c r="M76" s="27" t="s">
        <v>200</v>
      </c>
      <c r="N76" s="27" t="s">
        <v>200</v>
      </c>
      <c r="O76" s="27">
        <v>9228.1787462834272</v>
      </c>
      <c r="P76" s="27">
        <v>8772.1403313551145</v>
      </c>
      <c r="Q76" s="27">
        <v>8470.2965206671779</v>
      </c>
      <c r="R76" s="27">
        <v>8089.5270910660074</v>
      </c>
      <c r="S76" s="27">
        <v>7720.7183700302412</v>
      </c>
      <c r="T76" s="27">
        <v>7385.1042976460803</v>
      </c>
      <c r="U76" s="27">
        <v>7153.6825397634448</v>
      </c>
      <c r="V76" s="27">
        <v>6988.2324985233836</v>
      </c>
      <c r="W76" s="27" t="s">
        <v>200</v>
      </c>
      <c r="X76" s="27">
        <v>6923.688021395631</v>
      </c>
      <c r="Y76" s="27" t="s">
        <v>200</v>
      </c>
      <c r="Z76" s="27">
        <v>6698.2660487130124</v>
      </c>
      <c r="AA76" s="27" t="s">
        <v>200</v>
      </c>
      <c r="AB76" s="27">
        <v>6634.236960532894</v>
      </c>
      <c r="AC76" s="27" t="s">
        <v>200</v>
      </c>
      <c r="AD76" s="27">
        <v>6455.0396838374336</v>
      </c>
    </row>
    <row r="77" spans="1:30">
      <c r="A77" s="27" t="s">
        <v>216</v>
      </c>
      <c r="B77" s="27" t="s">
        <v>287</v>
      </c>
      <c r="C77" s="27" t="s">
        <v>198</v>
      </c>
      <c r="D77" s="27" t="s">
        <v>1162</v>
      </c>
      <c r="E77" s="27" t="s">
        <v>83</v>
      </c>
      <c r="F77" s="27">
        <v>7823.0509077609504</v>
      </c>
      <c r="G77" s="27">
        <v>8323.2376629405207</v>
      </c>
      <c r="H77" s="27">
        <v>8829.9702803471901</v>
      </c>
      <c r="I77" s="27">
        <v>9347.9480467848898</v>
      </c>
      <c r="J77" s="27">
        <v>9652.0933792505803</v>
      </c>
      <c r="K77" s="27">
        <v>9633.7381741123299</v>
      </c>
      <c r="L77" s="27">
        <v>9487.2245376894207</v>
      </c>
      <c r="M77" s="27">
        <v>9374.5900531834504</v>
      </c>
      <c r="N77" s="27">
        <v>9260.5225852410495</v>
      </c>
      <c r="O77" s="27">
        <v>9203.3535348726291</v>
      </c>
      <c r="P77" s="27">
        <v>8656.9664623983408</v>
      </c>
      <c r="Q77" s="27">
        <v>8299.1418269726892</v>
      </c>
      <c r="R77" s="27">
        <v>7854.1520580042798</v>
      </c>
      <c r="S77" s="27">
        <v>7470.6788423939497</v>
      </c>
      <c r="T77" s="27">
        <v>7159.26603289383</v>
      </c>
      <c r="U77" s="27">
        <v>6970.6120509971697</v>
      </c>
      <c r="V77" s="27">
        <v>6998.7402324027498</v>
      </c>
      <c r="W77" s="27" t="s">
        <v>200</v>
      </c>
      <c r="X77" s="27">
        <v>6727.6212302658396</v>
      </c>
      <c r="Y77" s="27" t="s">
        <v>200</v>
      </c>
      <c r="Z77" s="27">
        <v>6774.2394433559402</v>
      </c>
      <c r="AA77" s="27" t="s">
        <v>200</v>
      </c>
      <c r="AB77" s="27">
        <v>6710.6823171351998</v>
      </c>
      <c r="AC77" s="27" t="s">
        <v>200</v>
      </c>
      <c r="AD77" s="27">
        <v>6503.1436733876499</v>
      </c>
    </row>
    <row r="78" spans="1:30">
      <c r="A78" s="27" t="s">
        <v>207</v>
      </c>
      <c r="B78" s="27" t="s">
        <v>273</v>
      </c>
      <c r="C78" s="27" t="s">
        <v>198</v>
      </c>
      <c r="D78" s="27" t="s">
        <v>1162</v>
      </c>
      <c r="E78" s="27" t="s">
        <v>83</v>
      </c>
      <c r="F78" s="27" t="s">
        <v>200</v>
      </c>
      <c r="G78" s="27" t="s">
        <v>200</v>
      </c>
      <c r="H78" s="27">
        <v>8829.9702799999995</v>
      </c>
      <c r="I78" s="27">
        <v>9347.9480469999999</v>
      </c>
      <c r="J78" s="27">
        <v>9623.8703000000005</v>
      </c>
      <c r="K78" s="27" t="s">
        <v>200</v>
      </c>
      <c r="L78" s="27" t="s">
        <v>200</v>
      </c>
      <c r="M78" s="27" t="s">
        <v>200</v>
      </c>
      <c r="N78" s="27" t="s">
        <v>200</v>
      </c>
      <c r="O78" s="27">
        <v>9187.7239559999998</v>
      </c>
      <c r="P78" s="27">
        <v>8697.7641160000003</v>
      </c>
      <c r="Q78" s="27">
        <v>8407.1634379999996</v>
      </c>
      <c r="R78" s="27">
        <v>8096.9334319999998</v>
      </c>
      <c r="S78" s="27">
        <v>7762.552901</v>
      </c>
      <c r="T78" s="27">
        <v>7503.2167360000003</v>
      </c>
      <c r="U78" s="27">
        <v>7332.2253540000002</v>
      </c>
      <c r="V78" s="27">
        <v>7242.1693349999996</v>
      </c>
      <c r="W78" s="27" t="s">
        <v>200</v>
      </c>
      <c r="X78" s="27">
        <v>7069.1065250000001</v>
      </c>
      <c r="Y78" s="27" t="s">
        <v>200</v>
      </c>
      <c r="Z78" s="27">
        <v>6733.8816109999998</v>
      </c>
      <c r="AA78" s="27" t="s">
        <v>200</v>
      </c>
      <c r="AB78" s="27">
        <v>6686.2979480000004</v>
      </c>
      <c r="AC78" s="27" t="s">
        <v>200</v>
      </c>
      <c r="AD78" s="27">
        <v>6667.9815719999997</v>
      </c>
    </row>
    <row r="79" spans="1:30">
      <c r="A79" s="27" t="s">
        <v>247</v>
      </c>
      <c r="B79" s="27" t="s">
        <v>288</v>
      </c>
      <c r="C79" s="27" t="s">
        <v>198</v>
      </c>
      <c r="D79" s="27" t="s">
        <v>1162</v>
      </c>
      <c r="E79" s="27" t="s">
        <v>83</v>
      </c>
      <c r="F79" s="27">
        <v>7511.2431640625</v>
      </c>
      <c r="G79" s="27">
        <v>7923.25244140625</v>
      </c>
      <c r="H79" s="27">
        <v>8265.357421875</v>
      </c>
      <c r="I79" s="27" t="s">
        <v>200</v>
      </c>
      <c r="J79" s="27">
        <v>9174.2958984375</v>
      </c>
      <c r="K79" s="27" t="s">
        <v>200</v>
      </c>
      <c r="L79" s="27" t="s">
        <v>200</v>
      </c>
      <c r="M79" s="27" t="s">
        <v>200</v>
      </c>
      <c r="N79" s="27" t="s">
        <v>200</v>
      </c>
      <c r="O79" s="27" t="s">
        <v>200</v>
      </c>
      <c r="P79" s="27">
        <v>6287.537109375</v>
      </c>
      <c r="Q79" s="27" t="s">
        <v>200</v>
      </c>
      <c r="R79" s="27">
        <v>4918.4404296875</v>
      </c>
      <c r="S79" s="27" t="s">
        <v>200</v>
      </c>
      <c r="T79" s="27">
        <v>3797.6533203125</v>
      </c>
      <c r="U79" s="27" t="s">
        <v>200</v>
      </c>
      <c r="V79" s="27">
        <v>3380.30151367188</v>
      </c>
      <c r="W79" s="27" t="s">
        <v>200</v>
      </c>
      <c r="X79" s="27">
        <v>2969.41357421875</v>
      </c>
      <c r="Y79" s="27" t="s">
        <v>200</v>
      </c>
      <c r="Z79" s="27">
        <v>2816.56274414062</v>
      </c>
      <c r="AA79" s="27" t="s">
        <v>200</v>
      </c>
      <c r="AB79" s="27">
        <v>2871.37915039062</v>
      </c>
      <c r="AC79" s="27" t="s">
        <v>200</v>
      </c>
      <c r="AD79" s="27">
        <v>2806.52368164062</v>
      </c>
    </row>
    <row r="80" spans="1:30">
      <c r="A80" s="27" t="s">
        <v>211</v>
      </c>
      <c r="B80" s="27" t="s">
        <v>256</v>
      </c>
      <c r="C80" s="27" t="s">
        <v>198</v>
      </c>
      <c r="D80" s="27" t="s">
        <v>1162</v>
      </c>
      <c r="E80" s="27" t="s">
        <v>83</v>
      </c>
      <c r="F80" s="27" t="s">
        <v>200</v>
      </c>
      <c r="G80" s="27">
        <v>8230.5977999999996</v>
      </c>
      <c r="H80" s="27">
        <v>8683.3572000000004</v>
      </c>
      <c r="I80" s="27" t="s">
        <v>200</v>
      </c>
      <c r="J80" s="27">
        <v>9568.9231999999993</v>
      </c>
      <c r="K80" s="27" t="s">
        <v>200</v>
      </c>
      <c r="L80" s="27" t="s">
        <v>200</v>
      </c>
      <c r="M80" s="27" t="s">
        <v>200</v>
      </c>
      <c r="N80" s="27" t="s">
        <v>200</v>
      </c>
      <c r="O80" s="27" t="s">
        <v>200</v>
      </c>
      <c r="P80" s="27">
        <v>9042.2037999999993</v>
      </c>
      <c r="Q80" s="27" t="s">
        <v>200</v>
      </c>
      <c r="R80" s="27">
        <v>8265.6082000000006</v>
      </c>
      <c r="S80" s="27" t="s">
        <v>200</v>
      </c>
      <c r="T80" s="27">
        <v>7485.0812999999998</v>
      </c>
      <c r="U80" s="27" t="s">
        <v>200</v>
      </c>
      <c r="V80" s="27">
        <v>6965.9480999999996</v>
      </c>
      <c r="W80" s="27" t="s">
        <v>200</v>
      </c>
      <c r="X80" s="27">
        <v>6367.8644999999997</v>
      </c>
      <c r="Y80" s="27" t="s">
        <v>200</v>
      </c>
      <c r="Z80" s="27">
        <v>6261.6808000000001</v>
      </c>
      <c r="AA80" s="27" t="s">
        <v>200</v>
      </c>
      <c r="AB80" s="27">
        <v>6157.4134000000004</v>
      </c>
      <c r="AC80" s="27" t="s">
        <v>200</v>
      </c>
      <c r="AD80" s="27">
        <v>6088.5252</v>
      </c>
    </row>
    <row r="81" spans="1:30">
      <c r="A81" s="27" t="s">
        <v>196</v>
      </c>
      <c r="B81" s="27" t="s">
        <v>267</v>
      </c>
      <c r="C81" s="27" t="s">
        <v>198</v>
      </c>
      <c r="D81" s="27" t="s">
        <v>1162</v>
      </c>
      <c r="E81" s="27" t="s">
        <v>83</v>
      </c>
      <c r="F81" s="27" t="s">
        <v>200</v>
      </c>
      <c r="G81" s="27">
        <v>9879.3521000000001</v>
      </c>
      <c r="H81" s="27">
        <v>10556.0538</v>
      </c>
      <c r="I81" s="27">
        <v>11721.626899999999</v>
      </c>
      <c r="J81" s="27">
        <v>12646.665999999999</v>
      </c>
      <c r="K81" s="27" t="s">
        <v>200</v>
      </c>
      <c r="L81" s="27" t="s">
        <v>200</v>
      </c>
      <c r="M81" s="27" t="s">
        <v>200</v>
      </c>
      <c r="N81" s="27" t="s">
        <v>200</v>
      </c>
      <c r="O81" s="27">
        <v>11313.8331</v>
      </c>
      <c r="P81" s="27">
        <v>11368.768700000001</v>
      </c>
      <c r="Q81" s="27">
        <v>11437.8344</v>
      </c>
      <c r="R81" s="27">
        <v>11696.631100000001</v>
      </c>
      <c r="S81" s="27">
        <v>11974.536700000001</v>
      </c>
      <c r="T81" s="27">
        <v>12033.676600000001</v>
      </c>
      <c r="U81" s="27">
        <v>12124.195400000001</v>
      </c>
      <c r="V81" s="27">
        <v>12116.906300000001</v>
      </c>
      <c r="W81" s="27" t="s">
        <v>200</v>
      </c>
      <c r="X81" s="27">
        <v>11905.614299999999</v>
      </c>
      <c r="Y81" s="27" t="s">
        <v>200</v>
      </c>
      <c r="Z81" s="27">
        <v>11495.715399999999</v>
      </c>
      <c r="AA81" s="27" t="s">
        <v>200</v>
      </c>
      <c r="AB81" s="27">
        <v>10923.849099999999</v>
      </c>
      <c r="AC81" s="27" t="s">
        <v>200</v>
      </c>
      <c r="AD81" s="27">
        <v>10510.2192</v>
      </c>
    </row>
    <row r="82" spans="1:30">
      <c r="A82" s="27" t="s">
        <v>207</v>
      </c>
      <c r="B82" s="27" t="s">
        <v>201</v>
      </c>
      <c r="C82" s="27" t="s">
        <v>198</v>
      </c>
      <c r="D82" s="27" t="s">
        <v>1162</v>
      </c>
      <c r="E82" s="27" t="s">
        <v>83</v>
      </c>
      <c r="F82" s="27" t="s">
        <v>200</v>
      </c>
      <c r="G82" s="27" t="s">
        <v>200</v>
      </c>
      <c r="H82" s="27">
        <v>8829.9702799999995</v>
      </c>
      <c r="I82" s="27">
        <v>9347.9480469999999</v>
      </c>
      <c r="J82" s="27">
        <v>9623.8703000000005</v>
      </c>
      <c r="K82" s="27" t="s">
        <v>200</v>
      </c>
      <c r="L82" s="27" t="s">
        <v>200</v>
      </c>
      <c r="M82" s="27" t="s">
        <v>200</v>
      </c>
      <c r="N82" s="27" t="s">
        <v>200</v>
      </c>
      <c r="O82" s="27">
        <v>9187.1888039999994</v>
      </c>
      <c r="P82" s="27">
        <v>8694.0641259999993</v>
      </c>
      <c r="Q82" s="27">
        <v>8394.8502869999993</v>
      </c>
      <c r="R82" s="27">
        <v>8024.8635510000004</v>
      </c>
      <c r="S82" s="27">
        <v>7675.6818439999997</v>
      </c>
      <c r="T82" s="27">
        <v>7371.7081500000004</v>
      </c>
      <c r="U82" s="27">
        <v>7165.9566459999996</v>
      </c>
      <c r="V82" s="27">
        <v>7064.3406130000003</v>
      </c>
      <c r="W82" s="27" t="s">
        <v>200</v>
      </c>
      <c r="X82" s="27">
        <v>6960.3018789999996</v>
      </c>
      <c r="Y82" s="27" t="s">
        <v>200</v>
      </c>
      <c r="Z82" s="27">
        <v>6764.6132930000003</v>
      </c>
      <c r="AA82" s="27" t="s">
        <v>200</v>
      </c>
      <c r="AB82" s="27">
        <v>6701.9842989999997</v>
      </c>
      <c r="AC82" s="27" t="s">
        <v>200</v>
      </c>
      <c r="AD82" s="27">
        <v>6649.0339560000002</v>
      </c>
    </row>
    <row r="83" spans="1:30">
      <c r="A83" s="27" t="s">
        <v>196</v>
      </c>
      <c r="B83" s="27" t="s">
        <v>289</v>
      </c>
      <c r="C83" s="27" t="s">
        <v>198</v>
      </c>
      <c r="D83" s="27" t="s">
        <v>1162</v>
      </c>
      <c r="E83" s="27" t="s">
        <v>83</v>
      </c>
      <c r="F83" s="27" t="s">
        <v>200</v>
      </c>
      <c r="G83" s="27">
        <v>9896.0910000000003</v>
      </c>
      <c r="H83" s="27">
        <v>10618.770500000001</v>
      </c>
      <c r="I83" s="27">
        <v>11637.1158</v>
      </c>
      <c r="J83" s="27">
        <v>12607.4807</v>
      </c>
      <c r="K83" s="27" t="s">
        <v>200</v>
      </c>
      <c r="L83" s="27" t="s">
        <v>200</v>
      </c>
      <c r="M83" s="27" t="s">
        <v>200</v>
      </c>
      <c r="N83" s="27" t="s">
        <v>200</v>
      </c>
      <c r="O83" s="27">
        <v>10953.3303</v>
      </c>
      <c r="P83" s="27">
        <v>10611.5926</v>
      </c>
      <c r="Q83" s="27">
        <v>10258.848</v>
      </c>
      <c r="R83" s="27">
        <v>10081.3881</v>
      </c>
      <c r="S83" s="27">
        <v>9924.7675999999992</v>
      </c>
      <c r="T83" s="27">
        <v>9487.6173999999992</v>
      </c>
      <c r="U83" s="27">
        <v>9212.0267000000003</v>
      </c>
      <c r="V83" s="27">
        <v>8849.4616999999998</v>
      </c>
      <c r="W83" s="27" t="s">
        <v>200</v>
      </c>
      <c r="X83" s="27">
        <v>7777.3239999999996</v>
      </c>
      <c r="Y83" s="27" t="s">
        <v>200</v>
      </c>
      <c r="Z83" s="27">
        <v>6804.9748</v>
      </c>
      <c r="AA83" s="27" t="s">
        <v>200</v>
      </c>
      <c r="AB83" s="27">
        <v>5971.5056000000004</v>
      </c>
      <c r="AC83" s="27" t="s">
        <v>200</v>
      </c>
      <c r="AD83" s="27">
        <v>5269.6309000000001</v>
      </c>
    </row>
    <row r="84" spans="1:30">
      <c r="A84" s="27" t="s">
        <v>233</v>
      </c>
      <c r="B84" s="27" t="s">
        <v>230</v>
      </c>
      <c r="C84" s="27" t="s">
        <v>198</v>
      </c>
      <c r="D84" s="27" t="s">
        <v>1162</v>
      </c>
      <c r="E84" s="27" t="s">
        <v>83</v>
      </c>
      <c r="F84" s="27" t="s">
        <v>200</v>
      </c>
      <c r="G84" s="27" t="s">
        <v>200</v>
      </c>
      <c r="H84" s="27">
        <v>9705.1700824626441</v>
      </c>
      <c r="I84" s="27">
        <v>10057.81587025752</v>
      </c>
      <c r="J84" s="27">
        <v>10788.47681054536</v>
      </c>
      <c r="K84" s="27" t="s">
        <v>200</v>
      </c>
      <c r="L84" s="27" t="s">
        <v>200</v>
      </c>
      <c r="M84" s="27" t="s">
        <v>200</v>
      </c>
      <c r="N84" s="27" t="s">
        <v>200</v>
      </c>
      <c r="O84" s="27">
        <v>7600.998668207877</v>
      </c>
      <c r="P84" s="27">
        <v>7105.8031003515162</v>
      </c>
      <c r="Q84" s="27">
        <v>6723.9105154333229</v>
      </c>
      <c r="R84" s="27">
        <v>6435.1458891711909</v>
      </c>
      <c r="S84" s="27">
        <v>6171.8398274263272</v>
      </c>
      <c r="T84" s="27">
        <v>5917.8943417652654</v>
      </c>
      <c r="U84" s="27">
        <v>5963.1962846450569</v>
      </c>
      <c r="V84" s="27">
        <v>6026.7577624805836</v>
      </c>
      <c r="W84" s="27">
        <v>6070.6240321508812</v>
      </c>
      <c r="X84" s="27">
        <v>6117.004542384273</v>
      </c>
      <c r="Y84" s="27">
        <v>6150.8516878972177</v>
      </c>
      <c r="Z84" s="27">
        <v>6183.1920140623442</v>
      </c>
      <c r="AA84" s="27">
        <v>6177.6330728894036</v>
      </c>
      <c r="AB84" s="27">
        <v>6168.363028044927</v>
      </c>
      <c r="AC84" s="27">
        <v>6127.1974371643882</v>
      </c>
      <c r="AD84" s="27">
        <v>6082.2984081047689</v>
      </c>
    </row>
    <row r="85" spans="1:30">
      <c r="A85" s="27" t="s">
        <v>211</v>
      </c>
      <c r="B85" s="27" t="s">
        <v>290</v>
      </c>
      <c r="C85" s="27" t="s">
        <v>198</v>
      </c>
      <c r="D85" s="27" t="s">
        <v>1162</v>
      </c>
      <c r="E85" s="27" t="s">
        <v>83</v>
      </c>
      <c r="F85" s="27">
        <v>7797.7239918822816</v>
      </c>
      <c r="G85" s="27">
        <v>8230.7238579283003</v>
      </c>
      <c r="H85" s="27">
        <v>8682.8205159395202</v>
      </c>
      <c r="I85" s="27" t="s">
        <v>200</v>
      </c>
      <c r="J85" s="27">
        <v>9667.7469660154911</v>
      </c>
      <c r="K85" s="27" t="s">
        <v>200</v>
      </c>
      <c r="L85" s="27" t="s">
        <v>200</v>
      </c>
      <c r="M85" s="27" t="s">
        <v>200</v>
      </c>
      <c r="N85" s="27" t="s">
        <v>200</v>
      </c>
      <c r="O85" s="27" t="s">
        <v>200</v>
      </c>
      <c r="P85" s="27">
        <v>8370.5225988466009</v>
      </c>
      <c r="Q85" s="27" t="s">
        <v>200</v>
      </c>
      <c r="R85" s="27">
        <v>7712.95598773234</v>
      </c>
      <c r="S85" s="27" t="s">
        <v>200</v>
      </c>
      <c r="T85" s="27">
        <v>7164.7383437557592</v>
      </c>
      <c r="U85" s="27" t="s">
        <v>200</v>
      </c>
      <c r="V85" s="27">
        <v>6544.4290523391201</v>
      </c>
      <c r="W85" s="27" t="s">
        <v>200</v>
      </c>
      <c r="X85" s="27">
        <v>6357.1841398235201</v>
      </c>
      <c r="Y85" s="27" t="s">
        <v>200</v>
      </c>
      <c r="Z85" s="27">
        <v>6264.1867523440696</v>
      </c>
      <c r="AA85" s="27" t="s">
        <v>200</v>
      </c>
      <c r="AB85" s="27">
        <v>6187.0983398040298</v>
      </c>
      <c r="AC85" s="27" t="s">
        <v>200</v>
      </c>
      <c r="AD85" s="27">
        <v>6154.6936860339893</v>
      </c>
    </row>
    <row r="86" spans="1:30">
      <c r="A86" s="27" t="s">
        <v>226</v>
      </c>
      <c r="B86" s="27" t="s">
        <v>291</v>
      </c>
      <c r="C86" s="27" t="s">
        <v>198</v>
      </c>
      <c r="D86" s="27" t="s">
        <v>1162</v>
      </c>
      <c r="E86" s="27" t="s">
        <v>83</v>
      </c>
      <c r="F86" s="27" t="s">
        <v>200</v>
      </c>
      <c r="G86" s="27">
        <v>9636.2479999999996</v>
      </c>
      <c r="H86" s="27">
        <v>10446.2021</v>
      </c>
      <c r="I86" s="27">
        <v>11481.581399999999</v>
      </c>
      <c r="J86" s="27">
        <v>11843.3902</v>
      </c>
      <c r="K86" s="27" t="s">
        <v>200</v>
      </c>
      <c r="L86" s="27" t="s">
        <v>200</v>
      </c>
      <c r="M86" s="27" t="s">
        <v>200</v>
      </c>
      <c r="N86" s="27" t="s">
        <v>200</v>
      </c>
      <c r="O86" s="27">
        <v>10689.534</v>
      </c>
      <c r="P86" s="27">
        <v>10733.989</v>
      </c>
      <c r="Q86" s="27">
        <v>10146.0468</v>
      </c>
      <c r="R86" s="27">
        <v>11062.976500000001</v>
      </c>
      <c r="S86" s="27">
        <v>11386.087799999999</v>
      </c>
      <c r="T86" s="27">
        <v>11760.8043</v>
      </c>
      <c r="U86" s="27">
        <v>11641.9388</v>
      </c>
      <c r="V86" s="27">
        <v>11553.317300000001</v>
      </c>
      <c r="W86" s="27" t="s">
        <v>200</v>
      </c>
      <c r="X86" s="27">
        <v>11808.483399999999</v>
      </c>
      <c r="Y86" s="27" t="s">
        <v>200</v>
      </c>
      <c r="Z86" s="27">
        <v>11850.697399999999</v>
      </c>
      <c r="AA86" s="27" t="s">
        <v>200</v>
      </c>
      <c r="AB86" s="27">
        <v>11549.3505</v>
      </c>
      <c r="AC86" s="27" t="s">
        <v>200</v>
      </c>
      <c r="AD86" s="27">
        <v>10912.9923</v>
      </c>
    </row>
    <row r="87" spans="1:30">
      <c r="A87" s="27" t="s">
        <v>261</v>
      </c>
      <c r="B87" s="27" t="s">
        <v>292</v>
      </c>
      <c r="C87" s="27" t="s">
        <v>198</v>
      </c>
      <c r="D87" s="27" t="s">
        <v>1162</v>
      </c>
      <c r="E87" s="27" t="s">
        <v>83</v>
      </c>
      <c r="F87" s="27" t="s">
        <v>200</v>
      </c>
      <c r="G87" s="27">
        <v>10017.062218250219</v>
      </c>
      <c r="H87" s="27">
        <v>10518.258158403711</v>
      </c>
      <c r="I87" s="27">
        <v>10950.06033462523</v>
      </c>
      <c r="J87" s="27">
        <v>10928.96651487652</v>
      </c>
      <c r="K87" s="27" t="s">
        <v>200</v>
      </c>
      <c r="L87" s="27" t="s">
        <v>200</v>
      </c>
      <c r="M87" s="27" t="s">
        <v>200</v>
      </c>
      <c r="N87" s="27" t="s">
        <v>200</v>
      </c>
      <c r="O87" s="27">
        <v>9934.6251367994846</v>
      </c>
      <c r="P87" s="27">
        <v>8437.5094843060033</v>
      </c>
      <c r="Q87" s="27">
        <v>7795.027690396405</v>
      </c>
      <c r="R87" s="27">
        <v>7386.0081592579554</v>
      </c>
      <c r="S87" s="27">
        <v>6898.0043926499757</v>
      </c>
      <c r="T87" s="27">
        <v>6444.9802577288856</v>
      </c>
      <c r="U87" s="27">
        <v>6282.2069597822056</v>
      </c>
      <c r="V87" s="27">
        <v>6268.8183576653219</v>
      </c>
      <c r="W87" s="27">
        <v>6139.2368844863768</v>
      </c>
      <c r="X87" s="27">
        <v>6039.0076713440694</v>
      </c>
      <c r="Y87" s="27">
        <v>5919.5917603833341</v>
      </c>
      <c r="Z87" s="27">
        <v>5793.1201504847904</v>
      </c>
      <c r="AA87" s="27">
        <v>5627.0263656528568</v>
      </c>
      <c r="AB87" s="27">
        <v>5475.496685169629</v>
      </c>
      <c r="AC87" s="27">
        <v>5293.5458969938054</v>
      </c>
      <c r="AD87" s="27">
        <v>5129.705285989382</v>
      </c>
    </row>
    <row r="88" spans="1:30">
      <c r="A88" s="27" t="s">
        <v>261</v>
      </c>
      <c r="B88" s="27" t="s">
        <v>293</v>
      </c>
      <c r="C88" s="27" t="s">
        <v>198</v>
      </c>
      <c r="D88" s="27" t="s">
        <v>1162</v>
      </c>
      <c r="E88" s="27" t="s">
        <v>83</v>
      </c>
      <c r="F88" s="27" t="s">
        <v>200</v>
      </c>
      <c r="G88" s="27">
        <v>10017.468886776889</v>
      </c>
      <c r="H88" s="27">
        <v>10519.535711416749</v>
      </c>
      <c r="I88" s="27">
        <v>10950.303568442119</v>
      </c>
      <c r="J88" s="27">
        <v>10927.315287198389</v>
      </c>
      <c r="K88" s="27" t="s">
        <v>200</v>
      </c>
      <c r="L88" s="27" t="s">
        <v>200</v>
      </c>
      <c r="M88" s="27" t="s">
        <v>200</v>
      </c>
      <c r="N88" s="27" t="s">
        <v>200</v>
      </c>
      <c r="O88" s="27">
        <v>10178.81193918825</v>
      </c>
      <c r="P88" s="27">
        <v>8961.9515182031537</v>
      </c>
      <c r="Q88" s="27">
        <v>8498.9862560526308</v>
      </c>
      <c r="R88" s="27">
        <v>8151.3959241161774</v>
      </c>
      <c r="S88" s="27">
        <v>7753.5451987782544</v>
      </c>
      <c r="T88" s="27">
        <v>7361.262763059347</v>
      </c>
      <c r="U88" s="27">
        <v>7158.3297971548709</v>
      </c>
      <c r="V88" s="27">
        <v>7163.8313317515849</v>
      </c>
      <c r="W88" s="27">
        <v>7078.9434969533077</v>
      </c>
      <c r="X88" s="27">
        <v>6960.1962871642654</v>
      </c>
      <c r="Y88" s="27">
        <v>6823.7352101925526</v>
      </c>
      <c r="Z88" s="27">
        <v>6664.4930227359828</v>
      </c>
      <c r="AA88" s="27">
        <v>6445.6324619697789</v>
      </c>
      <c r="AB88" s="27">
        <v>6205.7064715218203</v>
      </c>
      <c r="AC88" s="27">
        <v>5969.0526281153798</v>
      </c>
      <c r="AD88" s="27">
        <v>5754.4643887765824</v>
      </c>
    </row>
    <row r="89" spans="1:30">
      <c r="A89" s="27" t="s">
        <v>196</v>
      </c>
      <c r="B89" s="27" t="s">
        <v>280</v>
      </c>
      <c r="C89" s="27" t="s">
        <v>198</v>
      </c>
      <c r="D89" s="27" t="s">
        <v>1162</v>
      </c>
      <c r="E89" s="27" t="s">
        <v>83</v>
      </c>
      <c r="F89" s="27" t="s">
        <v>200</v>
      </c>
      <c r="G89" s="27">
        <v>9879.3521000000001</v>
      </c>
      <c r="H89" s="27">
        <v>10556.0538</v>
      </c>
      <c r="I89" s="27">
        <v>11721.626899999999</v>
      </c>
      <c r="J89" s="27">
        <v>12646.665999999999</v>
      </c>
      <c r="K89" s="27" t="s">
        <v>200</v>
      </c>
      <c r="L89" s="27" t="s">
        <v>200</v>
      </c>
      <c r="M89" s="27" t="s">
        <v>200</v>
      </c>
      <c r="N89" s="27" t="s">
        <v>200</v>
      </c>
      <c r="O89" s="27">
        <v>11342.961499999999</v>
      </c>
      <c r="P89" s="27">
        <v>11393.161599999999</v>
      </c>
      <c r="Q89" s="27">
        <v>11393.28</v>
      </c>
      <c r="R89" s="27">
        <v>11564.947</v>
      </c>
      <c r="S89" s="27">
        <v>11833.850700000001</v>
      </c>
      <c r="T89" s="27">
        <v>11928.085800000001</v>
      </c>
      <c r="U89" s="27">
        <v>12067.441999999999</v>
      </c>
      <c r="V89" s="27">
        <v>12091.154699999999</v>
      </c>
      <c r="W89" s="27" t="s">
        <v>200</v>
      </c>
      <c r="X89" s="27">
        <v>11880.603300000001</v>
      </c>
      <c r="Y89" s="27" t="s">
        <v>200</v>
      </c>
      <c r="Z89" s="27">
        <v>11474.9202</v>
      </c>
      <c r="AA89" s="27" t="s">
        <v>200</v>
      </c>
      <c r="AB89" s="27">
        <v>10903.502200000001</v>
      </c>
      <c r="AC89" s="27" t="s">
        <v>200</v>
      </c>
      <c r="AD89" s="27">
        <v>10496.0733</v>
      </c>
    </row>
    <row r="90" spans="1:30">
      <c r="A90" s="27" t="s">
        <v>218</v>
      </c>
      <c r="B90" s="27" t="s">
        <v>294</v>
      </c>
      <c r="C90" s="27" t="s">
        <v>198</v>
      </c>
      <c r="D90" s="27" t="s">
        <v>1162</v>
      </c>
      <c r="E90" s="27" t="s">
        <v>83</v>
      </c>
      <c r="F90" s="27" t="s">
        <v>200</v>
      </c>
      <c r="G90" s="27">
        <v>9638.9624000000003</v>
      </c>
      <c r="H90" s="27">
        <v>10566.519899999999</v>
      </c>
      <c r="I90" s="27">
        <v>11437.675499999999</v>
      </c>
      <c r="J90" s="27">
        <v>12096.513499999999</v>
      </c>
      <c r="K90" s="27" t="s">
        <v>200</v>
      </c>
      <c r="L90" s="27" t="s">
        <v>200</v>
      </c>
      <c r="M90" s="27" t="s">
        <v>200</v>
      </c>
      <c r="N90" s="27" t="s">
        <v>200</v>
      </c>
      <c r="O90" s="27">
        <v>11923.93</v>
      </c>
      <c r="P90" s="27">
        <v>11872.31</v>
      </c>
      <c r="Q90" s="27">
        <v>11625.11</v>
      </c>
      <c r="R90" s="27">
        <v>11562.85</v>
      </c>
      <c r="S90" s="27">
        <v>11634.24</v>
      </c>
      <c r="T90" s="27">
        <v>11614.63</v>
      </c>
      <c r="U90" s="27">
        <v>11762.33</v>
      </c>
      <c r="V90" s="27">
        <v>11772.1</v>
      </c>
      <c r="W90" s="27" t="s">
        <v>200</v>
      </c>
      <c r="X90" s="27">
        <v>11725.17</v>
      </c>
      <c r="Y90" s="27" t="s">
        <v>200</v>
      </c>
      <c r="Z90" s="27">
        <v>11309.31</v>
      </c>
      <c r="AA90" s="27" t="s">
        <v>200</v>
      </c>
      <c r="AB90" s="27">
        <v>11043.7</v>
      </c>
      <c r="AC90" s="27" t="s">
        <v>200</v>
      </c>
      <c r="AD90" s="27">
        <v>10337.370000000001</v>
      </c>
    </row>
    <row r="91" spans="1:30">
      <c r="A91" s="27" t="s">
        <v>261</v>
      </c>
      <c r="B91" s="27" t="s">
        <v>295</v>
      </c>
      <c r="C91" s="27" t="s">
        <v>198</v>
      </c>
      <c r="D91" s="27" t="s">
        <v>1162</v>
      </c>
      <c r="E91" s="27" t="s">
        <v>83</v>
      </c>
      <c r="F91" s="27" t="s">
        <v>200</v>
      </c>
      <c r="G91" s="27">
        <v>10017.50034604027</v>
      </c>
      <c r="H91" s="27">
        <v>10519.691473135459</v>
      </c>
      <c r="I91" s="27">
        <v>10950.440147683161</v>
      </c>
      <c r="J91" s="27">
        <v>11044.349118081651</v>
      </c>
      <c r="K91" s="27" t="s">
        <v>200</v>
      </c>
      <c r="L91" s="27" t="s">
        <v>200</v>
      </c>
      <c r="M91" s="27" t="s">
        <v>200</v>
      </c>
      <c r="N91" s="27" t="s">
        <v>200</v>
      </c>
      <c r="O91" s="27">
        <v>10467.831261096029</v>
      </c>
      <c r="P91" s="27">
        <v>9711.8406084004237</v>
      </c>
      <c r="Q91" s="27">
        <v>9397.5495231066743</v>
      </c>
      <c r="R91" s="27">
        <v>9133.5955611250902</v>
      </c>
      <c r="S91" s="27">
        <v>8875.5275505927948</v>
      </c>
      <c r="T91" s="27">
        <v>8601.3194033461496</v>
      </c>
      <c r="U91" s="27">
        <v>8607.1593168490217</v>
      </c>
      <c r="V91" s="27">
        <v>8625.0289457503986</v>
      </c>
      <c r="W91" s="27">
        <v>8585.654224778993</v>
      </c>
      <c r="X91" s="27">
        <v>8534.7692499044788</v>
      </c>
      <c r="Y91" s="27">
        <v>8483.0993280435705</v>
      </c>
      <c r="Z91" s="27">
        <v>8414.8964123255646</v>
      </c>
      <c r="AA91" s="27">
        <v>8306.1263928239787</v>
      </c>
      <c r="AB91" s="27">
        <v>8124.0984910879079</v>
      </c>
      <c r="AC91" s="27">
        <v>7972.4671434730126</v>
      </c>
      <c r="AD91" s="27">
        <v>7802.0001373811101</v>
      </c>
    </row>
    <row r="92" spans="1:30">
      <c r="A92" s="27" t="s">
        <v>1152</v>
      </c>
      <c r="B92" s="27" t="s">
        <v>286</v>
      </c>
      <c r="C92" s="27" t="s">
        <v>198</v>
      </c>
      <c r="D92" s="27" t="s">
        <v>1162</v>
      </c>
      <c r="E92" s="27" t="s">
        <v>83</v>
      </c>
      <c r="F92" s="27" t="s">
        <v>200</v>
      </c>
      <c r="G92" s="27" t="s">
        <v>200</v>
      </c>
      <c r="H92" s="27">
        <v>9191.4251300153301</v>
      </c>
      <c r="I92" s="27">
        <v>8976.1308855578391</v>
      </c>
      <c r="J92" s="27">
        <v>8671.1105045664845</v>
      </c>
      <c r="K92" s="27" t="s">
        <v>200</v>
      </c>
      <c r="L92" s="27" t="s">
        <v>200</v>
      </c>
      <c r="M92" s="27" t="s">
        <v>200</v>
      </c>
      <c r="N92" s="27" t="s">
        <v>200</v>
      </c>
      <c r="O92" s="27">
        <v>8334.9201275111554</v>
      </c>
      <c r="P92" s="27">
        <v>8271.8163054946799</v>
      </c>
      <c r="Q92" s="27">
        <v>8153.5451187494473</v>
      </c>
      <c r="R92" s="27">
        <v>7769.4981436143462</v>
      </c>
      <c r="S92" s="27">
        <v>7721.5368993565107</v>
      </c>
      <c r="T92" s="27">
        <v>5678.1939767324166</v>
      </c>
      <c r="U92" s="27" t="s">
        <v>200</v>
      </c>
      <c r="V92" s="27">
        <v>5362.2102774242667</v>
      </c>
      <c r="W92" s="27" t="s">
        <v>200</v>
      </c>
      <c r="X92" s="27">
        <v>5099.5160954452531</v>
      </c>
      <c r="Y92" s="27" t="s">
        <v>200</v>
      </c>
      <c r="Z92" s="27">
        <v>4683.7246279964729</v>
      </c>
      <c r="AA92" s="27" t="s">
        <v>200</v>
      </c>
      <c r="AB92" s="27">
        <v>4416.750899861252</v>
      </c>
      <c r="AC92" s="27" t="s">
        <v>200</v>
      </c>
      <c r="AD92" s="27">
        <v>4248.9974333328246</v>
      </c>
    </row>
    <row r="93" spans="1:30">
      <c r="A93" s="27" t="s">
        <v>196</v>
      </c>
      <c r="B93" s="27" t="s">
        <v>296</v>
      </c>
      <c r="C93" s="27" t="s">
        <v>198</v>
      </c>
      <c r="D93" s="27" t="s">
        <v>1162</v>
      </c>
      <c r="E93" s="27" t="s">
        <v>83</v>
      </c>
      <c r="F93" s="27" t="s">
        <v>200</v>
      </c>
      <c r="G93" s="27">
        <v>9879.9531000000006</v>
      </c>
      <c r="H93" s="27">
        <v>10557.555200000001</v>
      </c>
      <c r="I93" s="27">
        <v>11728.8856</v>
      </c>
      <c r="J93" s="27">
        <v>12645.4427</v>
      </c>
      <c r="K93" s="27" t="s">
        <v>200</v>
      </c>
      <c r="L93" s="27" t="s">
        <v>200</v>
      </c>
      <c r="M93" s="27" t="s">
        <v>200</v>
      </c>
      <c r="N93" s="27" t="s">
        <v>200</v>
      </c>
      <c r="O93" s="27">
        <v>11537.7739</v>
      </c>
      <c r="P93" s="27">
        <v>11636.0393</v>
      </c>
      <c r="Q93" s="27">
        <v>11717.4328</v>
      </c>
      <c r="R93" s="27">
        <v>11905.508599999999</v>
      </c>
      <c r="S93" s="27">
        <v>12095.778</v>
      </c>
      <c r="T93" s="27">
        <v>12151.200800000001</v>
      </c>
      <c r="U93" s="27">
        <v>12246.6656</v>
      </c>
      <c r="V93" s="27">
        <v>12296.879199999999</v>
      </c>
      <c r="W93" s="27" t="s">
        <v>200</v>
      </c>
      <c r="X93" s="27">
        <v>12119.456399999999</v>
      </c>
      <c r="Y93" s="27" t="s">
        <v>200</v>
      </c>
      <c r="Z93" s="27">
        <v>11710.5466</v>
      </c>
      <c r="AA93" s="27" t="s">
        <v>200</v>
      </c>
      <c r="AB93" s="27">
        <v>11200.0633</v>
      </c>
      <c r="AC93" s="27" t="s">
        <v>200</v>
      </c>
      <c r="AD93" s="27">
        <v>10848.4548</v>
      </c>
    </row>
    <row r="94" spans="1:30">
      <c r="A94" s="27" t="s">
        <v>196</v>
      </c>
      <c r="B94" s="27" t="s">
        <v>297</v>
      </c>
      <c r="C94" s="27" t="s">
        <v>198</v>
      </c>
      <c r="D94" s="27" t="s">
        <v>1162</v>
      </c>
      <c r="E94" s="27" t="s">
        <v>83</v>
      </c>
      <c r="F94" s="27" t="s">
        <v>200</v>
      </c>
      <c r="G94" s="27" t="s">
        <v>200</v>
      </c>
      <c r="H94" s="27">
        <v>10593.850700000001</v>
      </c>
      <c r="I94" s="27">
        <v>11796.606299999999</v>
      </c>
      <c r="J94" s="27">
        <v>12035.5479</v>
      </c>
      <c r="K94" s="27" t="s">
        <v>200</v>
      </c>
      <c r="L94" s="27" t="s">
        <v>200</v>
      </c>
      <c r="M94" s="27" t="s">
        <v>200</v>
      </c>
      <c r="N94" s="27" t="s">
        <v>200</v>
      </c>
      <c r="O94" s="27">
        <v>10947.3069</v>
      </c>
      <c r="P94" s="27">
        <v>10855.842000000001</v>
      </c>
      <c r="Q94" s="27">
        <v>10899.9167</v>
      </c>
      <c r="R94" s="27">
        <v>11297.662899999999</v>
      </c>
      <c r="S94" s="27">
        <v>11670.66</v>
      </c>
      <c r="T94" s="27">
        <v>11834.2845</v>
      </c>
      <c r="U94" s="27">
        <v>12069.748600000001</v>
      </c>
      <c r="V94" s="27">
        <v>12074.0728</v>
      </c>
      <c r="W94" s="27" t="s">
        <v>200</v>
      </c>
      <c r="X94" s="27">
        <v>11784.0409</v>
      </c>
      <c r="Y94" s="27" t="s">
        <v>200</v>
      </c>
      <c r="Z94" s="27">
        <v>11276.4894</v>
      </c>
      <c r="AA94" s="27" t="s">
        <v>200</v>
      </c>
      <c r="AB94" s="27">
        <v>10681.0664</v>
      </c>
      <c r="AC94" s="27" t="s">
        <v>200</v>
      </c>
      <c r="AD94" s="27">
        <v>10258.4521</v>
      </c>
    </row>
    <row r="95" spans="1:30">
      <c r="A95" s="27" t="s">
        <v>244</v>
      </c>
      <c r="B95" s="27" t="s">
        <v>267</v>
      </c>
      <c r="C95" s="27" t="s">
        <v>198</v>
      </c>
      <c r="D95" s="27" t="s">
        <v>1162</v>
      </c>
      <c r="E95" s="27" t="s">
        <v>83</v>
      </c>
      <c r="F95" s="27" t="s">
        <v>200</v>
      </c>
      <c r="G95" s="27" t="s">
        <v>200</v>
      </c>
      <c r="H95" s="27" t="s">
        <v>200</v>
      </c>
      <c r="I95" s="27">
        <v>9036.3942460076978</v>
      </c>
      <c r="J95" s="27">
        <v>10233.608843667331</v>
      </c>
      <c r="K95" s="27" t="s">
        <v>200</v>
      </c>
      <c r="L95" s="27" t="s">
        <v>200</v>
      </c>
      <c r="M95" s="27" t="s">
        <v>200</v>
      </c>
      <c r="N95" s="27" t="s">
        <v>200</v>
      </c>
      <c r="O95" s="27">
        <v>8988.0174869356142</v>
      </c>
      <c r="P95" s="27">
        <v>7902.6805489249164</v>
      </c>
      <c r="Q95" s="27">
        <v>6304.2230302181079</v>
      </c>
      <c r="R95" s="27">
        <v>5872.0166241871402</v>
      </c>
      <c r="S95" s="27">
        <v>5727.8673773757773</v>
      </c>
      <c r="T95" s="27">
        <v>6116.3228135972131</v>
      </c>
      <c r="U95" s="27">
        <v>6299.570015758567</v>
      </c>
      <c r="V95" s="27">
        <v>6461.2182456560668</v>
      </c>
      <c r="W95" s="27">
        <v>6580.3714494355499</v>
      </c>
      <c r="X95" s="27">
        <v>6714.1855178683672</v>
      </c>
      <c r="Y95" s="27">
        <v>6869.9333700244106</v>
      </c>
      <c r="Z95" s="27">
        <v>7002.2483604374556</v>
      </c>
      <c r="AA95" s="27">
        <v>7098.0793763810661</v>
      </c>
      <c r="AB95" s="27">
        <v>7191.7345609032591</v>
      </c>
      <c r="AC95" s="27">
        <v>7300.3730044530548</v>
      </c>
      <c r="AD95" s="27">
        <v>7421.1995532875781</v>
      </c>
    </row>
    <row r="96" spans="1:30">
      <c r="A96" s="27" t="s">
        <v>261</v>
      </c>
      <c r="B96" s="27" t="s">
        <v>298</v>
      </c>
      <c r="C96" s="27" t="s">
        <v>198</v>
      </c>
      <c r="D96" s="27" t="s">
        <v>1162</v>
      </c>
      <c r="E96" s="27" t="s">
        <v>83</v>
      </c>
      <c r="F96" s="27" t="s">
        <v>200</v>
      </c>
      <c r="G96" s="27">
        <v>10017.353024611741</v>
      </c>
      <c r="H96" s="27">
        <v>10519.33621364895</v>
      </c>
      <c r="I96" s="27">
        <v>10950.12478775021</v>
      </c>
      <c r="J96" s="27">
        <v>10928.333493113299</v>
      </c>
      <c r="K96" s="27" t="s">
        <v>200</v>
      </c>
      <c r="L96" s="27" t="s">
        <v>200</v>
      </c>
      <c r="M96" s="27" t="s">
        <v>200</v>
      </c>
      <c r="N96" s="27" t="s">
        <v>200</v>
      </c>
      <c r="O96" s="27">
        <v>10167.254112740509</v>
      </c>
      <c r="P96" s="27">
        <v>8934.3870650856697</v>
      </c>
      <c r="Q96" s="27">
        <v>8450.0663341909712</v>
      </c>
      <c r="R96" s="27">
        <v>8084.5649392013684</v>
      </c>
      <c r="S96" s="27">
        <v>7676.5006954510518</v>
      </c>
      <c r="T96" s="27">
        <v>7281.2695292641993</v>
      </c>
      <c r="U96" s="27">
        <v>7046.8657904888414</v>
      </c>
      <c r="V96" s="27">
        <v>7041.2008211823513</v>
      </c>
      <c r="W96" s="27">
        <v>6933.2149813680517</v>
      </c>
      <c r="X96" s="27">
        <v>6803.1524116490591</v>
      </c>
      <c r="Y96" s="27">
        <v>6671.7908045420281</v>
      </c>
      <c r="Z96" s="27">
        <v>6504.5387817081773</v>
      </c>
      <c r="AA96" s="27">
        <v>6307.7376866167606</v>
      </c>
      <c r="AB96" s="27">
        <v>6078.6344500721016</v>
      </c>
      <c r="AC96" s="27">
        <v>5846.0112288743831</v>
      </c>
      <c r="AD96" s="27">
        <v>5636.0793441660126</v>
      </c>
    </row>
    <row r="97" spans="1:30">
      <c r="A97" s="27" t="s">
        <v>261</v>
      </c>
      <c r="B97" s="27" t="s">
        <v>299</v>
      </c>
      <c r="C97" s="27" t="s">
        <v>198</v>
      </c>
      <c r="D97" s="27" t="s">
        <v>1162</v>
      </c>
      <c r="E97" s="27" t="s">
        <v>83</v>
      </c>
      <c r="F97" s="27" t="s">
        <v>200</v>
      </c>
      <c r="G97" s="27">
        <v>10017.063752848429</v>
      </c>
      <c r="H97" s="27">
        <v>10518.240510524251</v>
      </c>
      <c r="I97" s="27">
        <v>10949.98437201364</v>
      </c>
      <c r="J97" s="27">
        <v>11068.78606003928</v>
      </c>
      <c r="K97" s="27" t="s">
        <v>200</v>
      </c>
      <c r="L97" s="27" t="s">
        <v>200</v>
      </c>
      <c r="M97" s="27" t="s">
        <v>200</v>
      </c>
      <c r="N97" s="27" t="s">
        <v>200</v>
      </c>
      <c r="O97" s="27">
        <v>10312.28438613845</v>
      </c>
      <c r="P97" s="27">
        <v>10123.166640654321</v>
      </c>
      <c r="Q97" s="27">
        <v>9892.4206167217108</v>
      </c>
      <c r="R97" s="27">
        <v>8429.9792108705569</v>
      </c>
      <c r="S97" s="27">
        <v>7894.3622327800276</v>
      </c>
      <c r="T97" s="27">
        <v>7565.2246770662214</v>
      </c>
      <c r="U97" s="27">
        <v>7339.2075175296477</v>
      </c>
      <c r="V97" s="27">
        <v>7297.0083685456211</v>
      </c>
      <c r="W97" s="27">
        <v>7264.753415987454</v>
      </c>
      <c r="X97" s="27">
        <v>7195.5821687964972</v>
      </c>
      <c r="Y97" s="27">
        <v>7140.0841916910967</v>
      </c>
      <c r="Z97" s="27">
        <v>7058.3445851285687</v>
      </c>
      <c r="AA97" s="27">
        <v>6982.9413345910971</v>
      </c>
      <c r="AB97" s="27">
        <v>6871.4420321661491</v>
      </c>
      <c r="AC97" s="27">
        <v>6762.9052715930711</v>
      </c>
      <c r="AD97" s="27">
        <v>6685.0297833330596</v>
      </c>
    </row>
    <row r="98" spans="1:30">
      <c r="A98" s="27" t="s">
        <v>207</v>
      </c>
      <c r="B98" s="27" t="s">
        <v>267</v>
      </c>
      <c r="C98" s="27" t="s">
        <v>198</v>
      </c>
      <c r="D98" s="27" t="s">
        <v>1162</v>
      </c>
      <c r="E98" s="27" t="s">
        <v>83</v>
      </c>
      <c r="F98" s="27">
        <v>7823.0509077609549</v>
      </c>
      <c r="G98" s="27">
        <v>8323.2376629405171</v>
      </c>
      <c r="H98" s="27">
        <v>8829.9702803471864</v>
      </c>
      <c r="I98" s="27">
        <v>9347.948046784888</v>
      </c>
      <c r="J98" s="27">
        <v>9764.8684805021803</v>
      </c>
      <c r="K98" s="27" t="s">
        <v>200</v>
      </c>
      <c r="L98" s="27" t="s">
        <v>200</v>
      </c>
      <c r="M98" s="27" t="s">
        <v>200</v>
      </c>
      <c r="N98" s="27" t="s">
        <v>200</v>
      </c>
      <c r="O98" s="27">
        <v>9059.8752166266368</v>
      </c>
      <c r="P98" s="27">
        <v>8395.58394713911</v>
      </c>
      <c r="Q98" s="27">
        <v>8058.4392247514297</v>
      </c>
      <c r="R98" s="27">
        <v>7663.7284755971759</v>
      </c>
      <c r="S98" s="27">
        <v>7281.1160087181688</v>
      </c>
      <c r="T98" s="27">
        <v>6921.8972905638338</v>
      </c>
      <c r="U98" s="27">
        <v>6802.8036640740456</v>
      </c>
      <c r="V98" s="27">
        <v>6861.4357096768326</v>
      </c>
      <c r="W98" s="27" t="s">
        <v>200</v>
      </c>
      <c r="X98" s="27">
        <v>6781.5312887363407</v>
      </c>
      <c r="Y98" s="27" t="s">
        <v>200</v>
      </c>
      <c r="Z98" s="27">
        <v>6659.7189927681738</v>
      </c>
      <c r="AA98" s="27" t="s">
        <v>200</v>
      </c>
      <c r="AB98" s="27">
        <v>6663.3956899352843</v>
      </c>
      <c r="AC98" s="27" t="s">
        <v>200</v>
      </c>
      <c r="AD98" s="27">
        <v>6527.7460764729294</v>
      </c>
    </row>
    <row r="100" spans="1:30">
      <c r="C100" s="3" t="s">
        <v>69</v>
      </c>
      <c r="F100" s="27">
        <f>MEDIAN(F2:F98)</f>
        <v>7823.0509077609504</v>
      </c>
      <c r="G100" s="27">
        <f t="shared" ref="G100:AD100" si="0">MEDIAN(G2:G98)</f>
        <v>9638.9624000000003</v>
      </c>
      <c r="H100" s="27">
        <f t="shared" si="0"/>
        <v>10446.2021</v>
      </c>
      <c r="I100" s="27">
        <f t="shared" si="0"/>
        <v>10950.12478775021</v>
      </c>
      <c r="J100" s="27">
        <f t="shared" si="0"/>
        <v>11068.78606003928</v>
      </c>
      <c r="K100" s="27">
        <f t="shared" si="0"/>
        <v>9551.2380880050296</v>
      </c>
      <c r="L100" s="27">
        <f t="shared" si="0"/>
        <v>9432.4987081279305</v>
      </c>
      <c r="M100" s="27">
        <f t="shared" si="0"/>
        <v>9343.9097872853308</v>
      </c>
      <c r="N100" s="27">
        <f t="shared" si="0"/>
        <v>9214.5083552054402</v>
      </c>
      <c r="O100" s="27">
        <f t="shared" si="0"/>
        <v>10402.154194383565</v>
      </c>
      <c r="P100" s="27">
        <f t="shared" si="0"/>
        <v>9379.6906581035491</v>
      </c>
      <c r="Q100" s="27">
        <f t="shared" si="0"/>
        <v>9279.6862945381999</v>
      </c>
      <c r="R100" s="27">
        <f t="shared" si="0"/>
        <v>8429.9792108705569</v>
      </c>
      <c r="S100" s="27">
        <f t="shared" si="0"/>
        <v>8829.6443752963969</v>
      </c>
      <c r="T100" s="27">
        <f t="shared" si="0"/>
        <v>7827.5663386397046</v>
      </c>
      <c r="U100" s="27">
        <f t="shared" si="0"/>
        <v>8771.0154000000002</v>
      </c>
      <c r="V100" s="27">
        <f t="shared" si="0"/>
        <v>7485.42</v>
      </c>
      <c r="W100" s="27">
        <f t="shared" si="0"/>
        <v>7078.9434969533077</v>
      </c>
      <c r="X100" s="27">
        <f t="shared" si="0"/>
        <v>7449.83</v>
      </c>
      <c r="Y100" s="27">
        <f t="shared" si="0"/>
        <v>7140.0841916910967</v>
      </c>
      <c r="Z100" s="27">
        <f t="shared" si="0"/>
        <v>7002.2483604374556</v>
      </c>
      <c r="AA100" s="27">
        <f t="shared" si="0"/>
        <v>7098.0793763810661</v>
      </c>
      <c r="AB100" s="27">
        <f t="shared" si="0"/>
        <v>6981.3749503817726</v>
      </c>
      <c r="AC100" s="27">
        <f t="shared" si="0"/>
        <v>7300.3730044530548</v>
      </c>
      <c r="AD100" s="27">
        <f t="shared" si="0"/>
        <v>6990.8481854422944</v>
      </c>
    </row>
    <row r="101" spans="1:30">
      <c r="C101" s="3" t="s">
        <v>72</v>
      </c>
      <c r="F101" s="27">
        <f>_xlfn.PERCENTILE.INC(F2:F98,0.25)</f>
        <v>7804.0557208519485</v>
      </c>
      <c r="G101" s="27">
        <f t="shared" ref="G101:AD101" si="1">_xlfn.PERCENTILE.INC(G2:G98,0.25)</f>
        <v>8323.2376629405207</v>
      </c>
      <c r="H101" s="27">
        <f t="shared" si="1"/>
        <v>9016.6801215350315</v>
      </c>
      <c r="I101" s="27">
        <f t="shared" si="1"/>
        <v>10057.81587025752</v>
      </c>
      <c r="J101" s="27">
        <f t="shared" si="1"/>
        <v>9766.0441815084778</v>
      </c>
      <c r="K101" s="27">
        <f t="shared" si="1"/>
        <v>9522.1026961165007</v>
      </c>
      <c r="L101" s="27">
        <f t="shared" si="1"/>
        <v>9396.38330833693</v>
      </c>
      <c r="M101" s="27">
        <f t="shared" si="1"/>
        <v>9289.5611581490994</v>
      </c>
      <c r="N101" s="27">
        <f t="shared" si="1"/>
        <v>9195.7771884919694</v>
      </c>
      <c r="O101" s="27">
        <f t="shared" si="1"/>
        <v>9144.0397520349688</v>
      </c>
      <c r="P101" s="27">
        <f t="shared" si="1"/>
        <v>8446.2357909999992</v>
      </c>
      <c r="Q101" s="27">
        <f t="shared" si="1"/>
        <v>8164.3</v>
      </c>
      <c r="R101" s="27">
        <f t="shared" si="1"/>
        <v>7714.3743606485104</v>
      </c>
      <c r="S101" s="27">
        <f t="shared" si="1"/>
        <v>7482.8901437489276</v>
      </c>
      <c r="T101" s="27">
        <f t="shared" si="1"/>
        <v>7136.2018588819001</v>
      </c>
      <c r="U101" s="27">
        <f t="shared" si="1"/>
        <v>7046.8657904888414</v>
      </c>
      <c r="V101" s="27">
        <f t="shared" si="1"/>
        <v>6893.5339256616317</v>
      </c>
      <c r="W101" s="27">
        <f t="shared" si="1"/>
        <v>6156.2840520730661</v>
      </c>
      <c r="X101" s="27">
        <f t="shared" si="1"/>
        <v>6556.5656957289129</v>
      </c>
      <c r="Y101" s="27">
        <f t="shared" si="1"/>
        <v>6290.3907605234763</v>
      </c>
      <c r="Z101" s="27">
        <f t="shared" si="1"/>
        <v>6504.5387817081773</v>
      </c>
      <c r="AA101" s="27">
        <f t="shared" si="1"/>
        <v>6246.2776629198779</v>
      </c>
      <c r="AB101" s="27">
        <f t="shared" si="1"/>
        <v>6157.4134000000004</v>
      </c>
      <c r="AC101" s="27">
        <f t="shared" si="1"/>
        <v>6105.3044768977252</v>
      </c>
      <c r="AD101" s="27">
        <f t="shared" si="1"/>
        <v>6045.4655583475114</v>
      </c>
    </row>
    <row r="102" spans="1:30">
      <c r="C102" s="3" t="s">
        <v>73</v>
      </c>
      <c r="F102" s="27">
        <f>_xlfn.PERCENTILE.INC(F2:F98,0.75)</f>
        <v>7823.0509077609549</v>
      </c>
      <c r="G102" s="27">
        <f t="shared" ref="G102:AD102" si="2">_xlfn.PERCENTILE.INC(G2:G98,0.75)</f>
        <v>9888.0956999999999</v>
      </c>
      <c r="H102" s="27">
        <f t="shared" si="2"/>
        <v>10557.682349999999</v>
      </c>
      <c r="I102" s="27">
        <f t="shared" si="2"/>
        <v>11721.626899999999</v>
      </c>
      <c r="J102" s="27">
        <f t="shared" si="2"/>
        <v>12607.4807</v>
      </c>
      <c r="K102" s="27">
        <f t="shared" si="2"/>
        <v>9626.0015050709499</v>
      </c>
      <c r="L102" s="27">
        <f t="shared" si="2"/>
        <v>9486.0306111216305</v>
      </c>
      <c r="M102" s="27">
        <f t="shared" si="2"/>
        <v>9365.0485957799101</v>
      </c>
      <c r="N102" s="27">
        <f t="shared" si="2"/>
        <v>9245.9044041758207</v>
      </c>
      <c r="O102" s="27">
        <f t="shared" si="2"/>
        <v>11311.073925000001</v>
      </c>
      <c r="P102" s="27">
        <f t="shared" si="2"/>
        <v>11092.6785</v>
      </c>
      <c r="Q102" s="27">
        <f t="shared" si="2"/>
        <v>11090.2808</v>
      </c>
      <c r="R102" s="27">
        <f t="shared" si="2"/>
        <v>11186.6278</v>
      </c>
      <c r="S102" s="27">
        <f t="shared" si="2"/>
        <v>11656.857475000001</v>
      </c>
      <c r="T102" s="27">
        <f t="shared" si="2"/>
        <v>11614.63</v>
      </c>
      <c r="U102" s="27">
        <f t="shared" si="2"/>
        <v>11941.906999999999</v>
      </c>
      <c r="V102" s="27">
        <f t="shared" si="2"/>
        <v>11602.66</v>
      </c>
      <c r="W102" s="27">
        <f t="shared" si="2"/>
        <v>8123.0908175077066</v>
      </c>
      <c r="X102" s="27">
        <f t="shared" si="2"/>
        <v>11725.17</v>
      </c>
      <c r="Y102" s="27">
        <f t="shared" si="2"/>
        <v>8198.8701196493403</v>
      </c>
      <c r="Z102" s="27">
        <f t="shared" si="2"/>
        <v>11276.4894</v>
      </c>
      <c r="AA102" s="27">
        <f t="shared" si="2"/>
        <v>8087.3371908747195</v>
      </c>
      <c r="AB102" s="27">
        <f t="shared" si="2"/>
        <v>10893.309600000001</v>
      </c>
      <c r="AC102" s="27">
        <f t="shared" si="2"/>
        <v>7979.6863717365068</v>
      </c>
      <c r="AD102" s="27">
        <f t="shared" si="2"/>
        <v>10473.4908</v>
      </c>
    </row>
    <row r="104" spans="1:30">
      <c r="F104" s="27">
        <f>MAX(F$2:F$98)</f>
        <v>7833.6757507298498</v>
      </c>
      <c r="G104" s="27">
        <f t="shared" ref="G104:AD104" si="3">MAX(G$2:G$98)</f>
        <v>10643.4700101336</v>
      </c>
      <c r="H104" s="27">
        <f t="shared" si="3"/>
        <v>10771.843199999999</v>
      </c>
      <c r="I104" s="27">
        <f t="shared" si="3"/>
        <v>11967.356100000001</v>
      </c>
      <c r="J104" s="27">
        <f t="shared" si="3"/>
        <v>12798.9095</v>
      </c>
      <c r="K104" s="27">
        <f t="shared" si="3"/>
        <v>9633.7381741123299</v>
      </c>
      <c r="L104" s="27">
        <f t="shared" si="3"/>
        <v>9487.2245376894207</v>
      </c>
      <c r="M104" s="27">
        <f t="shared" si="3"/>
        <v>9374.5900531834504</v>
      </c>
      <c r="N104" s="27">
        <f t="shared" si="3"/>
        <v>9260.5225852410495</v>
      </c>
      <c r="O104" s="27">
        <f t="shared" si="3"/>
        <v>12161.206399999999</v>
      </c>
      <c r="P104" s="27">
        <f t="shared" si="3"/>
        <v>12193.963599999999</v>
      </c>
      <c r="Q104" s="27">
        <f t="shared" si="3"/>
        <v>11837.3253</v>
      </c>
      <c r="R104" s="27">
        <f t="shared" si="3"/>
        <v>12284.308499999999</v>
      </c>
      <c r="S104" s="27">
        <f t="shared" si="3"/>
        <v>12745.625099999999</v>
      </c>
      <c r="T104" s="27">
        <f t="shared" si="3"/>
        <v>13068.911599999999</v>
      </c>
      <c r="U104" s="27">
        <f t="shared" si="3"/>
        <v>13410.751200000001</v>
      </c>
      <c r="V104" s="27">
        <f t="shared" si="3"/>
        <v>13502.293</v>
      </c>
      <c r="W104" s="27">
        <f t="shared" si="3"/>
        <v>11558.0205931536</v>
      </c>
      <c r="X104" s="27">
        <f t="shared" si="3"/>
        <v>13441.5229</v>
      </c>
      <c r="Y104" s="27">
        <f t="shared" si="3"/>
        <v>11615.287122923</v>
      </c>
      <c r="Z104" s="27">
        <f t="shared" si="3"/>
        <v>13031.1065</v>
      </c>
      <c r="AA104" s="27">
        <f t="shared" si="3"/>
        <v>11604.9375312962</v>
      </c>
      <c r="AB104" s="27">
        <f t="shared" si="3"/>
        <v>12496.098099999999</v>
      </c>
      <c r="AC104" s="27">
        <f t="shared" si="3"/>
        <v>11507.393052526701</v>
      </c>
      <c r="AD104" s="27">
        <f t="shared" si="3"/>
        <v>12122.2889</v>
      </c>
    </row>
    <row r="105" spans="1:30">
      <c r="F105" s="27">
        <f>MEDIAN(F$2:F$98)</f>
        <v>7823.0509077609504</v>
      </c>
      <c r="G105" s="27">
        <f t="shared" ref="G105:AD105" si="4">MEDIAN(G$2:G$98)</f>
        <v>9638.9624000000003</v>
      </c>
      <c r="H105" s="27">
        <f t="shared" si="4"/>
        <v>10446.2021</v>
      </c>
      <c r="I105" s="27">
        <f t="shared" si="4"/>
        <v>10950.12478775021</v>
      </c>
      <c r="J105" s="27">
        <f t="shared" si="4"/>
        <v>11068.78606003928</v>
      </c>
      <c r="K105" s="27">
        <f t="shared" si="4"/>
        <v>9551.2380880050296</v>
      </c>
      <c r="L105" s="27">
        <f t="shared" si="4"/>
        <v>9432.4987081279305</v>
      </c>
      <c r="M105" s="27">
        <f t="shared" si="4"/>
        <v>9343.9097872853308</v>
      </c>
      <c r="N105" s="27">
        <f t="shared" si="4"/>
        <v>9214.5083552054402</v>
      </c>
      <c r="O105" s="27">
        <f t="shared" si="4"/>
        <v>10402.154194383565</v>
      </c>
      <c r="P105" s="27">
        <f t="shared" si="4"/>
        <v>9379.6906581035491</v>
      </c>
      <c r="Q105" s="27">
        <f t="shared" si="4"/>
        <v>9279.6862945381999</v>
      </c>
      <c r="R105" s="27">
        <f t="shared" si="4"/>
        <v>8429.9792108705569</v>
      </c>
      <c r="S105" s="27">
        <f t="shared" si="4"/>
        <v>8829.6443752963969</v>
      </c>
      <c r="T105" s="27">
        <f t="shared" si="4"/>
        <v>7827.5663386397046</v>
      </c>
      <c r="U105" s="27">
        <f t="shared" si="4"/>
        <v>8771.0154000000002</v>
      </c>
      <c r="V105" s="27">
        <f t="shared" si="4"/>
        <v>7485.42</v>
      </c>
      <c r="W105" s="27">
        <f t="shared" si="4"/>
        <v>7078.9434969533077</v>
      </c>
      <c r="X105" s="27">
        <f t="shared" si="4"/>
        <v>7449.83</v>
      </c>
      <c r="Y105" s="27">
        <f t="shared" si="4"/>
        <v>7140.0841916910967</v>
      </c>
      <c r="Z105" s="27">
        <f t="shared" si="4"/>
        <v>7002.2483604374556</v>
      </c>
      <c r="AA105" s="27">
        <f t="shared" si="4"/>
        <v>7098.0793763810661</v>
      </c>
      <c r="AB105" s="27">
        <f t="shared" si="4"/>
        <v>6981.3749503817726</v>
      </c>
      <c r="AC105" s="27">
        <f t="shared" si="4"/>
        <v>7300.3730044530548</v>
      </c>
      <c r="AD105" s="27">
        <f t="shared" si="4"/>
        <v>6990.8481854422944</v>
      </c>
    </row>
    <row r="106" spans="1:30">
      <c r="F106" s="27">
        <f>MIN(F$2:F$98)</f>
        <v>7511.2431640625</v>
      </c>
      <c r="G106" s="27">
        <f t="shared" ref="G106:AD106" si="5">MIN(G$2:G$98)</f>
        <v>7923.25244140625</v>
      </c>
      <c r="H106" s="27">
        <f t="shared" si="5"/>
        <v>8265.357421875</v>
      </c>
      <c r="I106" s="27">
        <f t="shared" si="5"/>
        <v>8766.9056451612905</v>
      </c>
      <c r="J106" s="27">
        <f t="shared" si="5"/>
        <v>8671.1105045664845</v>
      </c>
      <c r="K106" s="27">
        <f t="shared" si="5"/>
        <v>9494.5587097814096</v>
      </c>
      <c r="L106" s="27">
        <f t="shared" si="5"/>
        <v>9367.9566054131592</v>
      </c>
      <c r="M106" s="27">
        <f t="shared" si="5"/>
        <v>9267.6120170949307</v>
      </c>
      <c r="N106" s="27">
        <f t="shared" si="5"/>
        <v>9164.1853914651201</v>
      </c>
      <c r="O106" s="27">
        <f t="shared" si="5"/>
        <v>7015.302999999999</v>
      </c>
      <c r="P106" s="27">
        <f t="shared" si="5"/>
        <v>6244.1786000000002</v>
      </c>
      <c r="Q106" s="27">
        <f t="shared" si="5"/>
        <v>5793.2800423065892</v>
      </c>
      <c r="R106" s="27">
        <f t="shared" si="5"/>
        <v>4851.84423828125</v>
      </c>
      <c r="S106" s="27">
        <f t="shared" si="5"/>
        <v>4950.2742333289707</v>
      </c>
      <c r="T106" s="27">
        <f t="shared" si="5"/>
        <v>3733.15893554688</v>
      </c>
      <c r="U106" s="27">
        <f t="shared" si="5"/>
        <v>4742.4629000000004</v>
      </c>
      <c r="V106" s="27">
        <f t="shared" si="5"/>
        <v>3318.11767578125</v>
      </c>
      <c r="W106" s="27">
        <f t="shared" si="5"/>
        <v>5862.4826612903198</v>
      </c>
      <c r="X106" s="27">
        <f t="shared" si="5"/>
        <v>2969.41357421875</v>
      </c>
      <c r="Y106" s="27">
        <f t="shared" si="5"/>
        <v>5889.4141129032296</v>
      </c>
      <c r="Z106" s="27">
        <f t="shared" si="5"/>
        <v>2765.88159179688</v>
      </c>
      <c r="AA106" s="27">
        <f t="shared" si="5"/>
        <v>5627.0263656528568</v>
      </c>
      <c r="AB106" s="27">
        <f t="shared" si="5"/>
        <v>2500.22802734375</v>
      </c>
      <c r="AC106" s="27">
        <f t="shared" si="5"/>
        <v>5293.5458969938054</v>
      </c>
      <c r="AD106" s="27">
        <f t="shared" si="5"/>
        <v>2471.28295898438</v>
      </c>
    </row>
    <row r="108" spans="1:30">
      <c r="F108" s="27">
        <f>AVERAGE(F$2:F$98)</f>
        <v>7768.8591177674061</v>
      </c>
      <c r="G108" s="27">
        <f t="shared" ref="G108:AD108" si="6">AVERAGE(G$2:G$98)</f>
        <v>9372.484677792927</v>
      </c>
      <c r="H108" s="27">
        <f t="shared" si="6"/>
        <v>9937.7534261237961</v>
      </c>
      <c r="I108" s="27">
        <f t="shared" si="6"/>
        <v>10783.298702503791</v>
      </c>
      <c r="J108" s="27">
        <f t="shared" si="6"/>
        <v>11137.376714344489</v>
      </c>
      <c r="K108" s="27">
        <f t="shared" si="6"/>
        <v>9565.5278346172436</v>
      </c>
      <c r="L108" s="27">
        <f t="shared" si="6"/>
        <v>9434.0187541378145</v>
      </c>
      <c r="M108" s="27">
        <f t="shared" si="6"/>
        <v>9328.1443222985436</v>
      </c>
      <c r="N108" s="27">
        <f t="shared" si="6"/>
        <v>9216.1795849158807</v>
      </c>
      <c r="O108" s="27">
        <f t="shared" si="6"/>
        <v>10152.175755804879</v>
      </c>
      <c r="P108" s="27">
        <f t="shared" si="6"/>
        <v>9543.8442057418961</v>
      </c>
      <c r="Q108" s="27">
        <f t="shared" si="6"/>
        <v>9387.1176991650991</v>
      </c>
      <c r="R108" s="27">
        <f t="shared" si="6"/>
        <v>9001.372310958177</v>
      </c>
      <c r="S108" s="27">
        <f t="shared" si="6"/>
        <v>9164.1149279437141</v>
      </c>
      <c r="T108" s="27">
        <f t="shared" si="6"/>
        <v>8754.6000852144243</v>
      </c>
      <c r="U108" s="27">
        <f t="shared" si="6"/>
        <v>9216.3743595492706</v>
      </c>
      <c r="V108" s="27">
        <f t="shared" si="6"/>
        <v>8687.3503017069506</v>
      </c>
      <c r="W108" s="27">
        <f t="shared" si="6"/>
        <v>7670.6467830017091</v>
      </c>
      <c r="X108" s="27">
        <f t="shared" si="6"/>
        <v>8516.5214607095131</v>
      </c>
      <c r="Y108" s="27">
        <f t="shared" si="6"/>
        <v>7695.0274645746995</v>
      </c>
      <c r="Z108" s="27">
        <f t="shared" si="6"/>
        <v>8273.5849454911295</v>
      </c>
      <c r="AA108" s="27">
        <f t="shared" si="6"/>
        <v>7680.525278057843</v>
      </c>
      <c r="AB108" s="27">
        <f t="shared" si="6"/>
        <v>8019.1173899003161</v>
      </c>
      <c r="AC108" s="27">
        <f t="shared" si="6"/>
        <v>7606.0938100875119</v>
      </c>
      <c r="AD108" s="27">
        <f t="shared" si="6"/>
        <v>7739.4474300991797</v>
      </c>
    </row>
  </sheetData>
  <pageMargins left="0.7" right="0.7" top="0.75" bottom="0.75" header="0.3" footer="0.3"/>
  <pageSetup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31CAA-BC0E-4726-8FD1-BCD3F8C24B08}">
  <sheetPr codeName="Sheet42">
    <tabColor theme="7" tint="0.79998168889431442"/>
  </sheetPr>
  <dimension ref="A1:AD106"/>
  <sheetViews>
    <sheetView topLeftCell="C1" workbookViewId="0">
      <pane ySplit="1" topLeftCell="A95" activePane="bottomLeft" state="frozen"/>
      <selection pane="bottomLeft" activeCell="F104" sqref="F104:AD106"/>
      <selection activeCell="P95" sqref="P95"/>
    </sheetView>
  </sheetViews>
  <sheetFormatPr defaultColWidth="9.140625" defaultRowHeight="15.75"/>
  <cols>
    <col min="1" max="16384" width="9.140625" style="27"/>
  </cols>
  <sheetData>
    <row r="1" spans="1:30">
      <c r="A1" s="27" t="s">
        <v>193</v>
      </c>
      <c r="B1" s="27" t="s">
        <v>194</v>
      </c>
      <c r="C1" s="27" t="s">
        <v>195</v>
      </c>
      <c r="D1" s="27" t="s">
        <v>64</v>
      </c>
      <c r="E1" s="27" t="s">
        <v>65</v>
      </c>
      <c r="F1" s="27">
        <v>2000</v>
      </c>
      <c r="G1" s="27">
        <v>2005</v>
      </c>
      <c r="H1" s="27">
        <v>2010</v>
      </c>
      <c r="I1" s="27">
        <v>2015</v>
      </c>
      <c r="J1" s="27">
        <v>2020</v>
      </c>
      <c r="K1" s="27">
        <v>2021</v>
      </c>
      <c r="L1" s="27">
        <v>2022</v>
      </c>
      <c r="M1" s="27">
        <v>2023</v>
      </c>
      <c r="N1" s="27">
        <v>2024</v>
      </c>
      <c r="O1" s="27">
        <v>2025</v>
      </c>
      <c r="P1" s="27">
        <v>2030</v>
      </c>
      <c r="Q1" s="27">
        <v>2035</v>
      </c>
      <c r="R1" s="27">
        <v>2040</v>
      </c>
      <c r="S1" s="27">
        <v>2045</v>
      </c>
      <c r="T1" s="27">
        <v>2050</v>
      </c>
      <c r="U1" s="27">
        <v>2055</v>
      </c>
      <c r="V1" s="27">
        <v>2060</v>
      </c>
      <c r="W1" s="27">
        <v>2065</v>
      </c>
      <c r="X1" s="27">
        <v>2070</v>
      </c>
      <c r="Y1" s="27">
        <v>2075</v>
      </c>
      <c r="Z1" s="27">
        <v>2080</v>
      </c>
      <c r="AA1" s="27">
        <v>2085</v>
      </c>
      <c r="AB1" s="27">
        <v>2090</v>
      </c>
      <c r="AC1" s="27">
        <v>2095</v>
      </c>
      <c r="AD1" s="27">
        <v>2100</v>
      </c>
    </row>
    <row r="2" spans="1:30">
      <c r="A2" s="27" t="s">
        <v>196</v>
      </c>
      <c r="B2" s="27" t="s">
        <v>197</v>
      </c>
      <c r="C2" s="27" t="s">
        <v>198</v>
      </c>
      <c r="D2" s="27" t="s">
        <v>1163</v>
      </c>
      <c r="E2" s="27" t="s">
        <v>76</v>
      </c>
      <c r="F2" s="27" t="s">
        <v>200</v>
      </c>
      <c r="G2" s="27">
        <v>309.20569999999998</v>
      </c>
      <c r="H2" s="27">
        <v>422.50700000000001</v>
      </c>
      <c r="I2" s="27">
        <v>626.44449999999995</v>
      </c>
      <c r="J2" s="27">
        <v>830.38199999999995</v>
      </c>
      <c r="K2" s="27" t="s">
        <v>200</v>
      </c>
      <c r="L2" s="27" t="s">
        <v>200</v>
      </c>
      <c r="M2" s="27" t="s">
        <v>200</v>
      </c>
      <c r="N2" s="27" t="s">
        <v>200</v>
      </c>
      <c r="O2" s="27">
        <v>407.31689999999998</v>
      </c>
      <c r="P2" s="27">
        <v>166.60599999999999</v>
      </c>
      <c r="Q2" s="27">
        <v>115.9425</v>
      </c>
      <c r="R2" s="27">
        <v>65.278999999999996</v>
      </c>
      <c r="S2" s="27">
        <v>71.249200000000002</v>
      </c>
      <c r="T2" s="27">
        <v>77.219300000000004</v>
      </c>
      <c r="U2" s="27">
        <v>82.808499999999995</v>
      </c>
      <c r="V2" s="27">
        <v>88.397800000000004</v>
      </c>
      <c r="W2" s="27" t="s">
        <v>200</v>
      </c>
      <c r="X2" s="27">
        <v>100.36020000000001</v>
      </c>
      <c r="Y2" s="27" t="s">
        <v>200</v>
      </c>
      <c r="Z2" s="27">
        <v>108.7243</v>
      </c>
      <c r="AA2" s="27" t="s">
        <v>200</v>
      </c>
      <c r="AB2" s="27">
        <v>119.3064</v>
      </c>
      <c r="AC2" s="27" t="s">
        <v>200</v>
      </c>
      <c r="AD2" s="27">
        <v>131.5187</v>
      </c>
    </row>
    <row r="3" spans="1:30">
      <c r="A3" s="27" t="s">
        <v>196</v>
      </c>
      <c r="B3" s="27" t="s">
        <v>201</v>
      </c>
      <c r="C3" s="27" t="s">
        <v>198</v>
      </c>
      <c r="D3" s="27" t="s">
        <v>1163</v>
      </c>
      <c r="E3" s="27" t="s">
        <v>76</v>
      </c>
      <c r="F3" s="27" t="s">
        <v>200</v>
      </c>
      <c r="G3" s="27" t="s">
        <v>200</v>
      </c>
      <c r="H3" s="27">
        <v>422.50700000000001</v>
      </c>
      <c r="I3" s="27">
        <v>626.44449999999995</v>
      </c>
      <c r="J3" s="27">
        <v>830.38199999999995</v>
      </c>
      <c r="K3" s="27" t="s">
        <v>200</v>
      </c>
      <c r="L3" s="27" t="s">
        <v>200</v>
      </c>
      <c r="M3" s="27" t="s">
        <v>200</v>
      </c>
      <c r="N3" s="27" t="s">
        <v>200</v>
      </c>
      <c r="O3" s="27">
        <v>407.31689999999998</v>
      </c>
      <c r="P3" s="27">
        <v>166.60599999999999</v>
      </c>
      <c r="Q3" s="27">
        <v>115.9425</v>
      </c>
      <c r="R3" s="27">
        <v>65.278999999999996</v>
      </c>
      <c r="S3" s="27">
        <v>71.249200000000002</v>
      </c>
      <c r="T3" s="27">
        <v>77.219300000000004</v>
      </c>
      <c r="U3" s="27">
        <v>82.808499999999995</v>
      </c>
      <c r="V3" s="27">
        <v>88.397800000000004</v>
      </c>
      <c r="W3" s="27" t="s">
        <v>200</v>
      </c>
      <c r="X3" s="27">
        <v>100.36020000000001</v>
      </c>
      <c r="Y3" s="27" t="s">
        <v>200</v>
      </c>
      <c r="Z3" s="27">
        <v>108.7243</v>
      </c>
      <c r="AA3" s="27" t="s">
        <v>200</v>
      </c>
      <c r="AB3" s="27">
        <v>119.3064</v>
      </c>
      <c r="AC3" s="27" t="s">
        <v>200</v>
      </c>
      <c r="AD3" s="27">
        <v>131.5187</v>
      </c>
    </row>
    <row r="4" spans="1:30">
      <c r="A4" s="27" t="s">
        <v>196</v>
      </c>
      <c r="B4" s="27" t="s">
        <v>202</v>
      </c>
      <c r="C4" s="27" t="s">
        <v>198</v>
      </c>
      <c r="D4" s="27" t="s">
        <v>1163</v>
      </c>
      <c r="E4" s="27" t="s">
        <v>76</v>
      </c>
      <c r="F4" s="27" t="s">
        <v>200</v>
      </c>
      <c r="G4" s="27">
        <v>309.20569999999998</v>
      </c>
      <c r="H4" s="27">
        <v>422.50700000000001</v>
      </c>
      <c r="I4" s="27">
        <v>626.44449999999995</v>
      </c>
      <c r="J4" s="27">
        <v>830.38199999999995</v>
      </c>
      <c r="K4" s="27" t="s">
        <v>200</v>
      </c>
      <c r="L4" s="27" t="s">
        <v>200</v>
      </c>
      <c r="M4" s="27" t="s">
        <v>200</v>
      </c>
      <c r="N4" s="27" t="s">
        <v>200</v>
      </c>
      <c r="O4" s="27">
        <v>407.31689999999998</v>
      </c>
      <c r="P4" s="27">
        <v>166.60599999999999</v>
      </c>
      <c r="Q4" s="27">
        <v>115.9425</v>
      </c>
      <c r="R4" s="27">
        <v>65.278999999999996</v>
      </c>
      <c r="S4" s="27">
        <v>71.249200000000002</v>
      </c>
      <c r="T4" s="27">
        <v>77.219300000000004</v>
      </c>
      <c r="U4" s="27">
        <v>82.808499999999995</v>
      </c>
      <c r="V4" s="27">
        <v>88.397800000000004</v>
      </c>
      <c r="W4" s="27" t="s">
        <v>200</v>
      </c>
      <c r="X4" s="27">
        <v>100.36020000000001</v>
      </c>
      <c r="Y4" s="27" t="s">
        <v>200</v>
      </c>
      <c r="Z4" s="27">
        <v>108.7243</v>
      </c>
      <c r="AA4" s="27" t="s">
        <v>200</v>
      </c>
      <c r="AB4" s="27">
        <v>119.3064</v>
      </c>
      <c r="AC4" s="27" t="s">
        <v>200</v>
      </c>
      <c r="AD4" s="27">
        <v>131.5187</v>
      </c>
    </row>
    <row r="5" spans="1:30">
      <c r="A5" s="27" t="s">
        <v>203</v>
      </c>
      <c r="B5" s="27" t="s">
        <v>204</v>
      </c>
      <c r="C5" s="27" t="s">
        <v>198</v>
      </c>
      <c r="D5" s="27" t="s">
        <v>1163</v>
      </c>
      <c r="E5" s="27" t="s">
        <v>76</v>
      </c>
      <c r="F5" s="27" t="s">
        <v>200</v>
      </c>
      <c r="G5" s="27">
        <v>309.20569999999998</v>
      </c>
      <c r="H5" s="27">
        <v>422.50700000000001</v>
      </c>
      <c r="I5" s="27">
        <v>626.44449999999995</v>
      </c>
      <c r="J5" s="27">
        <v>830.38199999999995</v>
      </c>
      <c r="K5" s="27" t="s">
        <v>200</v>
      </c>
      <c r="L5" s="27" t="s">
        <v>200</v>
      </c>
      <c r="M5" s="27" t="s">
        <v>200</v>
      </c>
      <c r="N5" s="27" t="s">
        <v>200</v>
      </c>
      <c r="O5" s="27">
        <v>407.31689999999998</v>
      </c>
      <c r="P5" s="27">
        <v>166.60599999999999</v>
      </c>
      <c r="Q5" s="27">
        <v>115.9425</v>
      </c>
      <c r="R5" s="27">
        <v>65.278999999999996</v>
      </c>
      <c r="S5" s="27">
        <v>71.249200000000002</v>
      </c>
      <c r="T5" s="27">
        <v>77.219300000000004</v>
      </c>
      <c r="U5" s="27">
        <v>82.808499999999995</v>
      </c>
      <c r="V5" s="27">
        <v>88.397800000000004</v>
      </c>
      <c r="W5" s="27" t="s">
        <v>200</v>
      </c>
      <c r="X5" s="27">
        <v>100.36020000000001</v>
      </c>
      <c r="Y5" s="27" t="s">
        <v>200</v>
      </c>
      <c r="Z5" s="27">
        <v>108.7243</v>
      </c>
      <c r="AA5" s="27" t="s">
        <v>200</v>
      </c>
      <c r="AB5" s="27">
        <v>119.3064</v>
      </c>
      <c r="AC5" s="27" t="s">
        <v>200</v>
      </c>
      <c r="AD5" s="27">
        <v>131.5187</v>
      </c>
    </row>
    <row r="6" spans="1:30">
      <c r="A6" s="27" t="s">
        <v>205</v>
      </c>
      <c r="B6" s="27" t="s">
        <v>206</v>
      </c>
      <c r="C6" s="27" t="s">
        <v>198</v>
      </c>
      <c r="D6" s="27" t="s">
        <v>1163</v>
      </c>
      <c r="E6" s="27" t="s">
        <v>76</v>
      </c>
      <c r="F6" s="27" t="s">
        <v>200</v>
      </c>
      <c r="G6" s="27">
        <v>380.68299999999999</v>
      </c>
      <c r="H6" s="27">
        <v>474.17599999999999</v>
      </c>
      <c r="I6" s="27">
        <v>613.70600000000002</v>
      </c>
      <c r="J6" s="27">
        <v>575.88400000000001</v>
      </c>
      <c r="K6" s="27" t="s">
        <v>200</v>
      </c>
      <c r="L6" s="27" t="s">
        <v>200</v>
      </c>
      <c r="M6" s="27" t="s">
        <v>200</v>
      </c>
      <c r="N6" s="27" t="s">
        <v>200</v>
      </c>
      <c r="O6" s="27">
        <v>381.40699999999998</v>
      </c>
      <c r="P6" s="27">
        <v>165.315</v>
      </c>
      <c r="Q6" s="27">
        <v>70.673000000000002</v>
      </c>
      <c r="R6" s="27">
        <v>29.9558</v>
      </c>
      <c r="S6" s="27">
        <v>12.654</v>
      </c>
      <c r="T6" s="27">
        <v>5.3581199999999987</v>
      </c>
      <c r="U6" s="27">
        <v>2.2907199999999999</v>
      </c>
      <c r="V6" s="27">
        <v>0.99805900000000003</v>
      </c>
      <c r="W6" s="27">
        <v>0.44830999999999999</v>
      </c>
      <c r="X6" s="27">
        <v>0.21027199999999999</v>
      </c>
      <c r="Y6" s="27">
        <v>0.104156</v>
      </c>
      <c r="Z6" s="27">
        <v>5.4830099999999E-2</v>
      </c>
      <c r="AA6" s="27">
        <v>3.0639199999999998E-2</v>
      </c>
      <c r="AB6" s="27">
        <v>1.8030999999999998E-2</v>
      </c>
      <c r="AC6" s="27">
        <v>1.1048000000000001E-2</v>
      </c>
      <c r="AD6" s="27">
        <v>6.9674300000000002E-3</v>
      </c>
    </row>
    <row r="7" spans="1:30">
      <c r="A7" s="27" t="s">
        <v>207</v>
      </c>
      <c r="B7" s="27" t="s">
        <v>208</v>
      </c>
      <c r="C7" s="27" t="s">
        <v>198</v>
      </c>
      <c r="D7" s="27" t="s">
        <v>1163</v>
      </c>
      <c r="E7" s="27" t="s">
        <v>76</v>
      </c>
      <c r="F7" s="27">
        <v>123.19383120274659</v>
      </c>
      <c r="G7" s="27">
        <v>199.84398209129711</v>
      </c>
      <c r="H7" s="27">
        <v>305.90798520174548</v>
      </c>
      <c r="I7" s="27">
        <v>501.74855070693178</v>
      </c>
      <c r="J7" s="27">
        <v>805.27260561456876</v>
      </c>
      <c r="K7" s="27" t="s">
        <v>200</v>
      </c>
      <c r="L7" s="27" t="s">
        <v>200</v>
      </c>
      <c r="M7" s="27" t="s">
        <v>200</v>
      </c>
      <c r="N7" s="27" t="s">
        <v>200</v>
      </c>
      <c r="O7" s="27">
        <v>477.62762889809602</v>
      </c>
      <c r="P7" s="27">
        <v>483.88269047570151</v>
      </c>
      <c r="Q7" s="27">
        <v>501.03413430906238</v>
      </c>
      <c r="R7" s="27">
        <v>534.57756795870694</v>
      </c>
      <c r="S7" s="27">
        <v>567.20915569154397</v>
      </c>
      <c r="T7" s="27">
        <v>599.97883230363448</v>
      </c>
      <c r="U7" s="27">
        <v>625.44378490422764</v>
      </c>
      <c r="V7" s="27">
        <v>653.27597471584102</v>
      </c>
      <c r="W7" s="27" t="s">
        <v>200</v>
      </c>
      <c r="X7" s="27">
        <v>710.25757162071659</v>
      </c>
      <c r="Y7" s="27" t="s">
        <v>200</v>
      </c>
      <c r="Z7" s="27">
        <v>761.40714727606269</v>
      </c>
      <c r="AA7" s="27" t="s">
        <v>200</v>
      </c>
      <c r="AB7" s="27">
        <v>799.56991930908146</v>
      </c>
      <c r="AC7" s="27" t="s">
        <v>200</v>
      </c>
      <c r="AD7" s="27">
        <v>832.48276105658385</v>
      </c>
    </row>
    <row r="8" spans="1:30">
      <c r="A8" s="27" t="s">
        <v>209</v>
      </c>
      <c r="B8" s="27" t="s">
        <v>210</v>
      </c>
      <c r="C8" s="27" t="s">
        <v>198</v>
      </c>
      <c r="D8" s="27" t="s">
        <v>1163</v>
      </c>
      <c r="E8" s="27" t="s">
        <v>76</v>
      </c>
      <c r="F8" s="27" t="s">
        <v>200</v>
      </c>
      <c r="G8" s="27" t="s">
        <v>200</v>
      </c>
      <c r="H8" s="27">
        <v>406.45339999999999</v>
      </c>
      <c r="I8" s="27">
        <v>484.9151</v>
      </c>
      <c r="J8" s="27">
        <v>563.33729999999991</v>
      </c>
      <c r="K8" s="27" t="s">
        <v>200</v>
      </c>
      <c r="L8" s="27" t="s">
        <v>200</v>
      </c>
      <c r="M8" s="27" t="s">
        <v>200</v>
      </c>
      <c r="N8" s="27" t="s">
        <v>200</v>
      </c>
      <c r="O8" s="27">
        <v>326.48329999999999</v>
      </c>
      <c r="P8" s="27">
        <v>92.812899999999999</v>
      </c>
      <c r="Q8" s="27">
        <v>63.241700000000009</v>
      </c>
      <c r="R8" s="27">
        <v>34.358800000000002</v>
      </c>
      <c r="S8" s="27">
        <v>36.859299999999998</v>
      </c>
      <c r="T8" s="27">
        <v>39.395800000000008</v>
      </c>
      <c r="U8" s="27">
        <v>41.777999999999999</v>
      </c>
      <c r="V8" s="27">
        <v>44.053100000000001</v>
      </c>
      <c r="W8" s="27">
        <v>47.106100000000012</v>
      </c>
      <c r="X8" s="27">
        <v>50.300700000000013</v>
      </c>
      <c r="Y8" s="27">
        <v>53.441600000000001</v>
      </c>
      <c r="Z8" s="27">
        <v>56.569899999999997</v>
      </c>
      <c r="AA8" s="27">
        <v>60.252899999999997</v>
      </c>
      <c r="AB8" s="27">
        <v>63.978400000000008</v>
      </c>
      <c r="AC8" s="27">
        <v>67.521799999999999</v>
      </c>
      <c r="AD8" s="27">
        <v>71.022800000000004</v>
      </c>
    </row>
    <row r="9" spans="1:30">
      <c r="A9" s="27" t="s">
        <v>196</v>
      </c>
      <c r="B9" s="27" t="s">
        <v>213</v>
      </c>
      <c r="C9" s="27" t="s">
        <v>198</v>
      </c>
      <c r="D9" s="27" t="s">
        <v>1163</v>
      </c>
      <c r="E9" s="27" t="s">
        <v>76</v>
      </c>
      <c r="F9" s="27" t="s">
        <v>200</v>
      </c>
      <c r="G9" s="27">
        <v>309.20569999999998</v>
      </c>
      <c r="H9" s="27">
        <v>422.50700000000001</v>
      </c>
      <c r="I9" s="27">
        <v>626.44449999999995</v>
      </c>
      <c r="J9" s="27">
        <v>830.38199999999995</v>
      </c>
      <c r="K9" s="27" t="s">
        <v>200</v>
      </c>
      <c r="L9" s="27" t="s">
        <v>200</v>
      </c>
      <c r="M9" s="27" t="s">
        <v>200</v>
      </c>
      <c r="N9" s="27" t="s">
        <v>200</v>
      </c>
      <c r="O9" s="27">
        <v>745.31280000000004</v>
      </c>
      <c r="P9" s="27">
        <v>659.34069999999997</v>
      </c>
      <c r="Q9" s="27">
        <v>549.74789999999996</v>
      </c>
      <c r="R9" s="27">
        <v>440.15519999999998</v>
      </c>
      <c r="S9" s="27">
        <v>382.85399999999998</v>
      </c>
      <c r="T9" s="27">
        <v>325.55290000000002</v>
      </c>
      <c r="U9" s="27">
        <v>209.77189999999999</v>
      </c>
      <c r="V9" s="27">
        <v>93.991</v>
      </c>
      <c r="W9" s="27" t="s">
        <v>200</v>
      </c>
      <c r="X9" s="27">
        <v>103.1664</v>
      </c>
      <c r="Y9" s="27" t="s">
        <v>200</v>
      </c>
      <c r="Z9" s="27">
        <v>112.1283</v>
      </c>
      <c r="AA9" s="27" t="s">
        <v>200</v>
      </c>
      <c r="AB9" s="27">
        <v>328.62169999999998</v>
      </c>
      <c r="AC9" s="27" t="s">
        <v>200</v>
      </c>
      <c r="AD9" s="27">
        <v>483.99220000000003</v>
      </c>
    </row>
    <row r="10" spans="1:30">
      <c r="A10" s="27" t="s">
        <v>214</v>
      </c>
      <c r="B10" s="27" t="s">
        <v>215</v>
      </c>
      <c r="C10" s="27" t="s">
        <v>198</v>
      </c>
      <c r="D10" s="27" t="s">
        <v>1163</v>
      </c>
      <c r="E10" s="27" t="s">
        <v>76</v>
      </c>
      <c r="F10" s="27" t="s">
        <v>200</v>
      </c>
      <c r="G10" s="27" t="s">
        <v>200</v>
      </c>
      <c r="H10" s="27">
        <v>489.72626129524502</v>
      </c>
      <c r="I10" s="27" t="s">
        <v>200</v>
      </c>
      <c r="J10" s="27">
        <v>614.89029083299999</v>
      </c>
      <c r="K10" s="27" t="s">
        <v>200</v>
      </c>
      <c r="L10" s="27" t="s">
        <v>200</v>
      </c>
      <c r="M10" s="27" t="s">
        <v>200</v>
      </c>
      <c r="N10" s="27" t="s">
        <v>200</v>
      </c>
      <c r="O10" s="27" t="s">
        <v>200</v>
      </c>
      <c r="P10" s="27">
        <v>99.563419907783199</v>
      </c>
      <c r="Q10" s="27" t="s">
        <v>200</v>
      </c>
      <c r="R10" s="27">
        <v>46.368206067122401</v>
      </c>
      <c r="S10" s="27" t="s">
        <v>200</v>
      </c>
      <c r="T10" s="27">
        <v>53.296184258727301</v>
      </c>
      <c r="U10" s="27" t="s">
        <v>200</v>
      </c>
      <c r="V10" s="27">
        <v>60.105015512741303</v>
      </c>
      <c r="W10" s="27" t="s">
        <v>200</v>
      </c>
      <c r="X10" s="27">
        <v>66.113737995055899</v>
      </c>
      <c r="Y10" s="27" t="s">
        <v>200</v>
      </c>
      <c r="Z10" s="27">
        <v>69.949521610958001</v>
      </c>
      <c r="AA10" s="27" t="s">
        <v>200</v>
      </c>
      <c r="AB10" s="27">
        <v>71.371726125304207</v>
      </c>
      <c r="AC10" s="27" t="s">
        <v>200</v>
      </c>
      <c r="AD10" s="27">
        <v>70.298326885632903</v>
      </c>
    </row>
    <row r="11" spans="1:30">
      <c r="A11" s="27" t="s">
        <v>216</v>
      </c>
      <c r="B11" s="27" t="s">
        <v>217</v>
      </c>
      <c r="C11" s="27" t="s">
        <v>198</v>
      </c>
      <c r="D11" s="27" t="s">
        <v>1163</v>
      </c>
      <c r="E11" s="27" t="s">
        <v>76</v>
      </c>
      <c r="F11" s="27">
        <v>123.19383120274701</v>
      </c>
      <c r="G11" s="27">
        <v>199.84398209129699</v>
      </c>
      <c r="H11" s="27">
        <v>305.90798520174502</v>
      </c>
      <c r="I11" s="27">
        <v>501.74855070693201</v>
      </c>
      <c r="J11" s="27">
        <v>779.07251157292399</v>
      </c>
      <c r="K11" s="27">
        <v>835.85742627134505</v>
      </c>
      <c r="L11" s="27">
        <v>858.55018581167701</v>
      </c>
      <c r="M11" s="27">
        <v>879.80473833701399</v>
      </c>
      <c r="N11" s="27">
        <v>901.708734350589</v>
      </c>
      <c r="O11" s="27">
        <v>506.92367294687398</v>
      </c>
      <c r="P11" s="27">
        <v>522.98045360839103</v>
      </c>
      <c r="Q11" s="27">
        <v>530.49166622427401</v>
      </c>
      <c r="R11" s="27">
        <v>550.59279232651897</v>
      </c>
      <c r="S11" s="27">
        <v>579.24297242676596</v>
      </c>
      <c r="T11" s="27">
        <v>610.78744115322797</v>
      </c>
      <c r="U11" s="27">
        <v>640.35228536173304</v>
      </c>
      <c r="V11" s="27">
        <v>677.75211107540497</v>
      </c>
      <c r="W11" s="27" t="s">
        <v>200</v>
      </c>
      <c r="X11" s="27">
        <v>740.62039014210404</v>
      </c>
      <c r="Y11" s="27" t="s">
        <v>200</v>
      </c>
      <c r="Z11" s="27">
        <v>790.28632278452699</v>
      </c>
      <c r="AA11" s="27" t="s">
        <v>200</v>
      </c>
      <c r="AB11" s="27">
        <v>830.85356955458099</v>
      </c>
      <c r="AC11" s="27" t="s">
        <v>200</v>
      </c>
      <c r="AD11" s="27">
        <v>865.40264091611004</v>
      </c>
    </row>
    <row r="12" spans="1:30">
      <c r="A12" s="27" t="s">
        <v>218</v>
      </c>
      <c r="B12" s="27" t="s">
        <v>219</v>
      </c>
      <c r="C12" s="27" t="s">
        <v>198</v>
      </c>
      <c r="D12" s="27" t="s">
        <v>1163</v>
      </c>
      <c r="E12" s="27" t="s">
        <v>76</v>
      </c>
      <c r="F12" s="27" t="s">
        <v>200</v>
      </c>
      <c r="G12" s="27">
        <v>309.67059999999998</v>
      </c>
      <c r="H12" s="27">
        <v>423.649</v>
      </c>
      <c r="I12" s="27">
        <v>706.73710000000005</v>
      </c>
      <c r="J12" s="27">
        <v>989.8252</v>
      </c>
      <c r="K12" s="27" t="s">
        <v>200</v>
      </c>
      <c r="L12" s="27" t="s">
        <v>200</v>
      </c>
      <c r="M12" s="27" t="s">
        <v>200</v>
      </c>
      <c r="N12" s="27" t="s">
        <v>200</v>
      </c>
      <c r="O12" s="27">
        <v>410.40960000000001</v>
      </c>
      <c r="P12" s="27">
        <v>168.04949999999999</v>
      </c>
      <c r="Q12" s="27">
        <v>117.02209999999999</v>
      </c>
      <c r="R12" s="27">
        <v>65.994699999999995</v>
      </c>
      <c r="S12" s="27">
        <v>72.194000000000003</v>
      </c>
      <c r="T12" s="27">
        <v>78.393199999999993</v>
      </c>
      <c r="U12" s="27">
        <v>84.328599999999994</v>
      </c>
      <c r="V12" s="27">
        <v>90.263900000000007</v>
      </c>
      <c r="W12" s="27" t="s">
        <v>200</v>
      </c>
      <c r="X12" s="27">
        <v>103.2317</v>
      </c>
      <c r="Y12" s="27" t="s">
        <v>200</v>
      </c>
      <c r="Z12" s="27">
        <v>112.9686</v>
      </c>
      <c r="AA12" s="27" t="s">
        <v>200</v>
      </c>
      <c r="AB12" s="27">
        <v>125.3053</v>
      </c>
      <c r="AC12" s="27" t="s">
        <v>200</v>
      </c>
      <c r="AD12" s="27">
        <v>139.6943</v>
      </c>
    </row>
    <row r="13" spans="1:30">
      <c r="A13" s="27" t="s">
        <v>222</v>
      </c>
      <c r="B13" s="27" t="s">
        <v>223</v>
      </c>
      <c r="C13" s="27" t="s">
        <v>198</v>
      </c>
      <c r="D13" s="27" t="s">
        <v>1163</v>
      </c>
      <c r="E13" s="27" t="s">
        <v>76</v>
      </c>
      <c r="F13" s="27" t="s">
        <v>200</v>
      </c>
      <c r="G13" s="27">
        <v>309.20569999999998</v>
      </c>
      <c r="H13" s="27">
        <v>422.50700000000001</v>
      </c>
      <c r="I13" s="27">
        <v>626.44449999999995</v>
      </c>
      <c r="J13" s="27">
        <v>830.38199999999995</v>
      </c>
      <c r="K13" s="27" t="s">
        <v>200</v>
      </c>
      <c r="L13" s="27" t="s">
        <v>200</v>
      </c>
      <c r="M13" s="27" t="s">
        <v>200</v>
      </c>
      <c r="N13" s="27" t="s">
        <v>200</v>
      </c>
      <c r="O13" s="27">
        <v>407.31689999999998</v>
      </c>
      <c r="P13" s="27">
        <v>166.60599999999999</v>
      </c>
      <c r="Q13" s="27">
        <v>115.9425</v>
      </c>
      <c r="R13" s="27">
        <v>65.278999999999996</v>
      </c>
      <c r="S13" s="27">
        <v>71.249200000000002</v>
      </c>
      <c r="T13" s="27">
        <v>77.219300000000004</v>
      </c>
      <c r="U13" s="27">
        <v>82.808499999999995</v>
      </c>
      <c r="V13" s="27">
        <v>88.397800000000004</v>
      </c>
      <c r="W13" s="27" t="s">
        <v>200</v>
      </c>
      <c r="X13" s="27">
        <v>100.36020000000001</v>
      </c>
      <c r="Y13" s="27" t="s">
        <v>200</v>
      </c>
      <c r="Z13" s="27">
        <v>108.7243</v>
      </c>
      <c r="AA13" s="27" t="s">
        <v>200</v>
      </c>
      <c r="AB13" s="27">
        <v>119.3064</v>
      </c>
      <c r="AC13" s="27" t="s">
        <v>200</v>
      </c>
      <c r="AD13" s="27">
        <v>131.5187</v>
      </c>
    </row>
    <row r="14" spans="1:30">
      <c r="A14" s="27" t="s">
        <v>196</v>
      </c>
      <c r="B14" s="27" t="s">
        <v>224</v>
      </c>
      <c r="C14" s="27" t="s">
        <v>198</v>
      </c>
      <c r="D14" s="27" t="s">
        <v>1163</v>
      </c>
      <c r="E14" s="27" t="s">
        <v>76</v>
      </c>
      <c r="F14" s="27" t="s">
        <v>200</v>
      </c>
      <c r="G14" s="27">
        <v>309.20569999999998</v>
      </c>
      <c r="H14" s="27">
        <v>422.50700000000001</v>
      </c>
      <c r="I14" s="27">
        <v>626.44449999999995</v>
      </c>
      <c r="J14" s="27">
        <v>830.38199999999995</v>
      </c>
      <c r="K14" s="27" t="s">
        <v>200</v>
      </c>
      <c r="L14" s="27" t="s">
        <v>200</v>
      </c>
      <c r="M14" s="27" t="s">
        <v>200</v>
      </c>
      <c r="N14" s="27" t="s">
        <v>200</v>
      </c>
      <c r="O14" s="27">
        <v>407.31689999999998</v>
      </c>
      <c r="P14" s="27">
        <v>166.60599999999999</v>
      </c>
      <c r="Q14" s="27">
        <v>115.9425</v>
      </c>
      <c r="R14" s="27">
        <v>65.278999999999996</v>
      </c>
      <c r="S14" s="27">
        <v>71.249200000000002</v>
      </c>
      <c r="T14" s="27">
        <v>77.219300000000004</v>
      </c>
      <c r="U14" s="27">
        <v>82.808499999999995</v>
      </c>
      <c r="V14" s="27">
        <v>88.397800000000004</v>
      </c>
      <c r="W14" s="27" t="s">
        <v>200</v>
      </c>
      <c r="X14" s="27">
        <v>100.36020000000001</v>
      </c>
      <c r="Y14" s="27" t="s">
        <v>200</v>
      </c>
      <c r="Z14" s="27">
        <v>108.7243</v>
      </c>
      <c r="AA14" s="27" t="s">
        <v>200</v>
      </c>
      <c r="AB14" s="27">
        <v>119.3064</v>
      </c>
      <c r="AC14" s="27" t="s">
        <v>200</v>
      </c>
      <c r="AD14" s="27">
        <v>131.5187</v>
      </c>
    </row>
    <row r="15" spans="1:30">
      <c r="A15" s="27" t="s">
        <v>207</v>
      </c>
      <c r="B15" s="27" t="s">
        <v>225</v>
      </c>
      <c r="C15" s="27" t="s">
        <v>198</v>
      </c>
      <c r="D15" s="27" t="s">
        <v>1163</v>
      </c>
      <c r="E15" s="27" t="s">
        <v>76</v>
      </c>
      <c r="F15" s="27">
        <v>123.19383120274659</v>
      </c>
      <c r="G15" s="27">
        <v>199.84398209129711</v>
      </c>
      <c r="H15" s="27">
        <v>305.90798520174548</v>
      </c>
      <c r="I15" s="27">
        <v>501.74855070693178</v>
      </c>
      <c r="J15" s="27">
        <v>804.58527191227381</v>
      </c>
      <c r="K15" s="27" t="s">
        <v>200</v>
      </c>
      <c r="L15" s="27" t="s">
        <v>200</v>
      </c>
      <c r="M15" s="27" t="s">
        <v>200</v>
      </c>
      <c r="N15" s="27" t="s">
        <v>200</v>
      </c>
      <c r="O15" s="27">
        <v>475.76664974780857</v>
      </c>
      <c r="P15" s="27">
        <v>484.19833318664422</v>
      </c>
      <c r="Q15" s="27">
        <v>498.21533336899779</v>
      </c>
      <c r="R15" s="27">
        <v>531.81271220128156</v>
      </c>
      <c r="S15" s="27">
        <v>560.15238282259088</v>
      </c>
      <c r="T15" s="27">
        <v>592.33946199223055</v>
      </c>
      <c r="U15" s="27">
        <v>616.96728214438133</v>
      </c>
      <c r="V15" s="27">
        <v>644.89673776584198</v>
      </c>
      <c r="W15" s="27" t="s">
        <v>200</v>
      </c>
      <c r="X15" s="27">
        <v>707.13336914464514</v>
      </c>
      <c r="Y15" s="27" t="s">
        <v>200</v>
      </c>
      <c r="Z15" s="27">
        <v>759.46961273993975</v>
      </c>
      <c r="AA15" s="27" t="s">
        <v>200</v>
      </c>
      <c r="AB15" s="27">
        <v>797.92357474581627</v>
      </c>
      <c r="AC15" s="27" t="s">
        <v>200</v>
      </c>
      <c r="AD15" s="27">
        <v>830.99778696066664</v>
      </c>
    </row>
    <row r="16" spans="1:30">
      <c r="A16" s="27" t="s">
        <v>226</v>
      </c>
      <c r="B16" s="27" t="s">
        <v>227</v>
      </c>
      <c r="C16" s="27" t="s">
        <v>198</v>
      </c>
      <c r="D16" s="27" t="s">
        <v>1163</v>
      </c>
      <c r="E16" s="27" t="s">
        <v>76</v>
      </c>
      <c r="F16" s="27" t="s">
        <v>200</v>
      </c>
      <c r="G16" s="27">
        <v>309.67059999999998</v>
      </c>
      <c r="H16" s="27">
        <v>423.649</v>
      </c>
      <c r="I16" s="27">
        <v>630.0539</v>
      </c>
      <c r="J16" s="27">
        <v>836.4588</v>
      </c>
      <c r="K16" s="27" t="s">
        <v>200</v>
      </c>
      <c r="L16" s="27" t="s">
        <v>200</v>
      </c>
      <c r="M16" s="27" t="s">
        <v>200</v>
      </c>
      <c r="N16" s="27" t="s">
        <v>200</v>
      </c>
      <c r="O16" s="27">
        <v>410.40960000000001</v>
      </c>
      <c r="P16" s="27">
        <v>168.04949999999999</v>
      </c>
      <c r="Q16" s="27">
        <v>117.02209999999999</v>
      </c>
      <c r="R16" s="27">
        <v>65.994699999999995</v>
      </c>
      <c r="S16" s="27">
        <v>72.194000000000003</v>
      </c>
      <c r="T16" s="27">
        <v>78.393199999999993</v>
      </c>
      <c r="U16" s="27">
        <v>84.328599999999994</v>
      </c>
      <c r="V16" s="27">
        <v>90.263900000000007</v>
      </c>
      <c r="W16" s="27" t="s">
        <v>200</v>
      </c>
      <c r="X16" s="27">
        <v>103.2317</v>
      </c>
      <c r="Y16" s="27" t="s">
        <v>200</v>
      </c>
      <c r="Z16" s="27">
        <v>112.9686</v>
      </c>
      <c r="AA16" s="27" t="s">
        <v>200</v>
      </c>
      <c r="AB16" s="27">
        <v>125.3053</v>
      </c>
      <c r="AC16" s="27" t="s">
        <v>200</v>
      </c>
      <c r="AD16" s="27">
        <v>139.6943</v>
      </c>
    </row>
    <row r="17" spans="1:30">
      <c r="A17" s="27" t="s">
        <v>226</v>
      </c>
      <c r="B17" s="27" t="s">
        <v>228</v>
      </c>
      <c r="C17" s="27" t="s">
        <v>198</v>
      </c>
      <c r="D17" s="27" t="s">
        <v>1163</v>
      </c>
      <c r="E17" s="27" t="s">
        <v>76</v>
      </c>
      <c r="F17" s="27" t="s">
        <v>200</v>
      </c>
      <c r="G17" s="27">
        <v>309.67059999999998</v>
      </c>
      <c r="H17" s="27">
        <v>423.649</v>
      </c>
      <c r="I17" s="27">
        <v>630.0539</v>
      </c>
      <c r="J17" s="27">
        <v>836.4588</v>
      </c>
      <c r="K17" s="27" t="s">
        <v>200</v>
      </c>
      <c r="L17" s="27" t="s">
        <v>200</v>
      </c>
      <c r="M17" s="27" t="s">
        <v>200</v>
      </c>
      <c r="N17" s="27" t="s">
        <v>200</v>
      </c>
      <c r="O17" s="27">
        <v>410.40960000000001</v>
      </c>
      <c r="P17" s="27">
        <v>168.04949999999999</v>
      </c>
      <c r="Q17" s="27">
        <v>117.02209999999999</v>
      </c>
      <c r="R17" s="27">
        <v>65.994699999999995</v>
      </c>
      <c r="S17" s="27">
        <v>72.194000000000003</v>
      </c>
      <c r="T17" s="27">
        <v>78.393199999999993</v>
      </c>
      <c r="U17" s="27">
        <v>84.328599999999994</v>
      </c>
      <c r="V17" s="27">
        <v>90.263900000000007</v>
      </c>
      <c r="W17" s="27" t="s">
        <v>200</v>
      </c>
      <c r="X17" s="27">
        <v>103.2317</v>
      </c>
      <c r="Y17" s="27" t="s">
        <v>200</v>
      </c>
      <c r="Z17" s="27">
        <v>112.9686</v>
      </c>
      <c r="AA17" s="27" t="s">
        <v>200</v>
      </c>
      <c r="AB17" s="27">
        <v>125.3053</v>
      </c>
      <c r="AC17" s="27" t="s">
        <v>200</v>
      </c>
      <c r="AD17" s="27">
        <v>139.6943</v>
      </c>
    </row>
    <row r="18" spans="1:30">
      <c r="A18" s="27" t="s">
        <v>207</v>
      </c>
      <c r="B18" s="27" t="s">
        <v>229</v>
      </c>
      <c r="C18" s="27" t="s">
        <v>198</v>
      </c>
      <c r="D18" s="27" t="s">
        <v>1163</v>
      </c>
      <c r="E18" s="27" t="s">
        <v>76</v>
      </c>
      <c r="F18" s="27">
        <v>123.19383120274659</v>
      </c>
      <c r="G18" s="27">
        <v>199.84398209129711</v>
      </c>
      <c r="H18" s="27">
        <v>305.90798520174548</v>
      </c>
      <c r="I18" s="27">
        <v>501.74855070693178</v>
      </c>
      <c r="J18" s="27">
        <v>805.5175275604912</v>
      </c>
      <c r="K18" s="27" t="s">
        <v>200</v>
      </c>
      <c r="L18" s="27" t="s">
        <v>200</v>
      </c>
      <c r="M18" s="27" t="s">
        <v>200</v>
      </c>
      <c r="N18" s="27" t="s">
        <v>200</v>
      </c>
      <c r="O18" s="27">
        <v>475.72708147474538</v>
      </c>
      <c r="P18" s="27">
        <v>483.33185354898433</v>
      </c>
      <c r="Q18" s="27">
        <v>496.76852381586332</v>
      </c>
      <c r="R18" s="27">
        <v>529.43145984924445</v>
      </c>
      <c r="S18" s="27">
        <v>556.32822520834463</v>
      </c>
      <c r="T18" s="27">
        <v>587.14382320720335</v>
      </c>
      <c r="U18" s="27">
        <v>610.62550847806199</v>
      </c>
      <c r="V18" s="27">
        <v>637.6720641179636</v>
      </c>
      <c r="W18" s="27" t="s">
        <v>200</v>
      </c>
      <c r="X18" s="27">
        <v>704.01613059064789</v>
      </c>
      <c r="Y18" s="27" t="s">
        <v>200</v>
      </c>
      <c r="Z18" s="27">
        <v>757.83791541770734</v>
      </c>
      <c r="AA18" s="27" t="s">
        <v>200</v>
      </c>
      <c r="AB18" s="27">
        <v>797.00762385657652</v>
      </c>
      <c r="AC18" s="27" t="s">
        <v>200</v>
      </c>
      <c r="AD18" s="27">
        <v>830.26312680322303</v>
      </c>
    </row>
    <row r="19" spans="1:30">
      <c r="A19" s="27" t="s">
        <v>207</v>
      </c>
      <c r="B19" s="27" t="s">
        <v>230</v>
      </c>
      <c r="C19" s="27" t="s">
        <v>198</v>
      </c>
      <c r="D19" s="27" t="s">
        <v>1163</v>
      </c>
      <c r="E19" s="27" t="s">
        <v>76</v>
      </c>
      <c r="F19" s="27">
        <v>123.19383120274659</v>
      </c>
      <c r="G19" s="27">
        <v>199.84398209129711</v>
      </c>
      <c r="H19" s="27">
        <v>305.90798520174548</v>
      </c>
      <c r="I19" s="27">
        <v>501.74855070693178</v>
      </c>
      <c r="J19" s="27">
        <v>806.37446744153567</v>
      </c>
      <c r="K19" s="27" t="s">
        <v>200</v>
      </c>
      <c r="L19" s="27" t="s">
        <v>200</v>
      </c>
      <c r="M19" s="27" t="s">
        <v>200</v>
      </c>
      <c r="N19" s="27" t="s">
        <v>200</v>
      </c>
      <c r="O19" s="27">
        <v>440.22753095160601</v>
      </c>
      <c r="P19" s="27">
        <v>428.00422479933059</v>
      </c>
      <c r="Q19" s="27">
        <v>427.48274940343163</v>
      </c>
      <c r="R19" s="27">
        <v>445.63409352646289</v>
      </c>
      <c r="S19" s="27">
        <v>469.64779030301122</v>
      </c>
      <c r="T19" s="27">
        <v>504.98770017556018</v>
      </c>
      <c r="U19" s="27">
        <v>555.76235486747942</v>
      </c>
      <c r="V19" s="27">
        <v>601.72053074130054</v>
      </c>
      <c r="W19" s="27" t="s">
        <v>200</v>
      </c>
      <c r="X19" s="27">
        <v>682.23562308848125</v>
      </c>
      <c r="Y19" s="27" t="s">
        <v>200</v>
      </c>
      <c r="Z19" s="27">
        <v>742.92881331196418</v>
      </c>
      <c r="AA19" s="27" t="s">
        <v>200</v>
      </c>
      <c r="AB19" s="27">
        <v>788.51681323463265</v>
      </c>
      <c r="AC19" s="27" t="s">
        <v>200</v>
      </c>
      <c r="AD19" s="27">
        <v>825.43727410415465</v>
      </c>
    </row>
    <row r="20" spans="1:30">
      <c r="A20" s="27" t="s">
        <v>231</v>
      </c>
      <c r="B20" s="27" t="s">
        <v>232</v>
      </c>
      <c r="C20" s="27" t="s">
        <v>198</v>
      </c>
      <c r="D20" s="27" t="s">
        <v>1163</v>
      </c>
      <c r="E20" s="27" t="s">
        <v>76</v>
      </c>
      <c r="F20" s="27" t="s">
        <v>200</v>
      </c>
      <c r="G20" s="27">
        <v>170.50070021459999</v>
      </c>
      <c r="H20" s="27">
        <v>250.06317848</v>
      </c>
      <c r="I20" s="27">
        <v>338.77585532476002</v>
      </c>
      <c r="J20" s="27">
        <v>421.90070878402003</v>
      </c>
      <c r="K20" s="27" t="s">
        <v>200</v>
      </c>
      <c r="L20" s="27" t="s">
        <v>200</v>
      </c>
      <c r="M20" s="27" t="s">
        <v>200</v>
      </c>
      <c r="N20" s="27" t="s">
        <v>200</v>
      </c>
      <c r="O20" s="27">
        <v>380.67749728195002</v>
      </c>
      <c r="P20" s="27">
        <v>407.96519404499998</v>
      </c>
      <c r="Q20" s="27">
        <v>386.44821493479998</v>
      </c>
      <c r="R20" s="27">
        <v>370.28715003720998</v>
      </c>
      <c r="S20" s="27">
        <v>298.83042124195998</v>
      </c>
      <c r="T20" s="27">
        <v>252.54528631420001</v>
      </c>
      <c r="U20" s="27">
        <v>174.00522865321</v>
      </c>
      <c r="V20" s="27">
        <v>154.71227979202999</v>
      </c>
      <c r="W20" s="27">
        <v>149.56460823549</v>
      </c>
      <c r="X20" s="27">
        <v>143.74394060182999</v>
      </c>
      <c r="Y20" s="27">
        <v>137.20906684197999</v>
      </c>
      <c r="Z20" s="27">
        <v>129.80420744401999</v>
      </c>
      <c r="AA20" s="27">
        <v>123.37814929618</v>
      </c>
      <c r="AB20" s="27">
        <v>117.71164541893999</v>
      </c>
      <c r="AC20" s="27">
        <v>111.86942262295</v>
      </c>
      <c r="AD20" s="27">
        <v>107.01392446404</v>
      </c>
    </row>
    <row r="21" spans="1:30">
      <c r="A21" s="27" t="s">
        <v>233</v>
      </c>
      <c r="B21" s="27" t="s">
        <v>224</v>
      </c>
      <c r="C21" s="27" t="s">
        <v>198</v>
      </c>
      <c r="D21" s="27" t="s">
        <v>1163</v>
      </c>
      <c r="E21" s="27" t="s">
        <v>76</v>
      </c>
      <c r="F21" s="27" t="s">
        <v>200</v>
      </c>
      <c r="G21" s="27" t="s">
        <v>200</v>
      </c>
      <c r="H21" s="27">
        <v>254.98730000000009</v>
      </c>
      <c r="I21" s="27">
        <v>396.21726699999982</v>
      </c>
      <c r="J21" s="27">
        <v>521.62684771643796</v>
      </c>
      <c r="K21" s="27" t="s">
        <v>200</v>
      </c>
      <c r="L21" s="27" t="s">
        <v>200</v>
      </c>
      <c r="M21" s="27" t="s">
        <v>200</v>
      </c>
      <c r="N21" s="27" t="s">
        <v>200</v>
      </c>
      <c r="O21" s="27">
        <v>31.00865000000001</v>
      </c>
      <c r="P21" s="27">
        <v>34.373854999999992</v>
      </c>
      <c r="Q21" s="27">
        <v>37.922045000000011</v>
      </c>
      <c r="R21" s="27">
        <v>41.889224999999989</v>
      </c>
      <c r="S21" s="27">
        <v>46.13993499999998</v>
      </c>
      <c r="T21" s="27">
        <v>50.279449999999983</v>
      </c>
      <c r="U21" s="27">
        <v>54.023420000000058</v>
      </c>
      <c r="V21" s="27">
        <v>57.788240000000052</v>
      </c>
      <c r="W21" s="27">
        <v>61.969895000000051</v>
      </c>
      <c r="X21" s="27">
        <v>66.181849999999969</v>
      </c>
      <c r="Y21" s="27">
        <v>70.007979999999989</v>
      </c>
      <c r="Z21" s="27">
        <v>73.696149999999989</v>
      </c>
      <c r="AA21" s="27">
        <v>77.569050000000033</v>
      </c>
      <c r="AB21" s="27">
        <v>81.584860000000077</v>
      </c>
      <c r="AC21" s="27">
        <v>85.632385000000056</v>
      </c>
      <c r="AD21" s="27">
        <v>89.659149999999954</v>
      </c>
    </row>
    <row r="22" spans="1:30">
      <c r="A22" s="27" t="s">
        <v>226</v>
      </c>
      <c r="B22" s="27" t="s">
        <v>234</v>
      </c>
      <c r="C22" s="27" t="s">
        <v>198</v>
      </c>
      <c r="D22" s="27" t="s">
        <v>1163</v>
      </c>
      <c r="E22" s="27" t="s">
        <v>76</v>
      </c>
      <c r="F22" s="27" t="s">
        <v>200</v>
      </c>
      <c r="G22" s="27">
        <v>309.67059999999998</v>
      </c>
      <c r="H22" s="27">
        <v>423.649</v>
      </c>
      <c r="I22" s="27">
        <v>630.0539</v>
      </c>
      <c r="J22" s="27">
        <v>836.4588</v>
      </c>
      <c r="K22" s="27" t="s">
        <v>200</v>
      </c>
      <c r="L22" s="27" t="s">
        <v>200</v>
      </c>
      <c r="M22" s="27" t="s">
        <v>200</v>
      </c>
      <c r="N22" s="27" t="s">
        <v>200</v>
      </c>
      <c r="O22" s="27">
        <v>410.40960000000001</v>
      </c>
      <c r="P22" s="27">
        <v>168.04949999999999</v>
      </c>
      <c r="Q22" s="27">
        <v>117.02209999999999</v>
      </c>
      <c r="R22" s="27">
        <v>65.994699999999995</v>
      </c>
      <c r="S22" s="27">
        <v>72.194000000000003</v>
      </c>
      <c r="T22" s="27">
        <v>78.393199999999993</v>
      </c>
      <c r="U22" s="27">
        <v>84.328599999999994</v>
      </c>
      <c r="V22" s="27">
        <v>90.263900000000007</v>
      </c>
      <c r="W22" s="27" t="s">
        <v>200</v>
      </c>
      <c r="X22" s="27">
        <v>103.2317</v>
      </c>
      <c r="Y22" s="27" t="s">
        <v>200</v>
      </c>
      <c r="Z22" s="27">
        <v>112.9686</v>
      </c>
      <c r="AA22" s="27" t="s">
        <v>200</v>
      </c>
      <c r="AB22" s="27">
        <v>125.3053</v>
      </c>
      <c r="AC22" s="27" t="s">
        <v>200</v>
      </c>
      <c r="AD22" s="27">
        <v>139.6943</v>
      </c>
    </row>
    <row r="23" spans="1:30">
      <c r="A23" s="27" t="s">
        <v>216</v>
      </c>
      <c r="B23" s="27" t="s">
        <v>235</v>
      </c>
      <c r="C23" s="27" t="s">
        <v>198</v>
      </c>
      <c r="D23" s="27" t="s">
        <v>1163</v>
      </c>
      <c r="E23" s="27" t="s">
        <v>76</v>
      </c>
      <c r="F23" s="27">
        <v>123.19383120274701</v>
      </c>
      <c r="G23" s="27">
        <v>199.84398209129699</v>
      </c>
      <c r="H23" s="27">
        <v>305.90798520174502</v>
      </c>
      <c r="I23" s="27">
        <v>501.74855070693201</v>
      </c>
      <c r="J23" s="27">
        <v>779.07626533438599</v>
      </c>
      <c r="K23" s="27">
        <v>807.99409043999196</v>
      </c>
      <c r="L23" s="27">
        <v>823.54250213319597</v>
      </c>
      <c r="M23" s="27">
        <v>840.58907534222203</v>
      </c>
      <c r="N23" s="27">
        <v>859.47883828093495</v>
      </c>
      <c r="O23" s="27">
        <v>473.23693907565001</v>
      </c>
      <c r="P23" s="27">
        <v>488.03700238313098</v>
      </c>
      <c r="Q23" s="27">
        <v>493.91710127498499</v>
      </c>
      <c r="R23" s="27">
        <v>513.94964556045602</v>
      </c>
      <c r="S23" s="27">
        <v>539.53727506635596</v>
      </c>
      <c r="T23" s="27">
        <v>567.30926238863594</v>
      </c>
      <c r="U23" s="27">
        <v>591.973164519649</v>
      </c>
      <c r="V23" s="27">
        <v>625.79649698483104</v>
      </c>
      <c r="W23" s="27" t="s">
        <v>200</v>
      </c>
      <c r="X23" s="27">
        <v>682.82043494166999</v>
      </c>
      <c r="Y23" s="27" t="s">
        <v>200</v>
      </c>
      <c r="Z23" s="27">
        <v>727.508299162772</v>
      </c>
      <c r="AA23" s="27" t="s">
        <v>200</v>
      </c>
      <c r="AB23" s="27">
        <v>763.29831841451596</v>
      </c>
      <c r="AC23" s="27" t="s">
        <v>200</v>
      </c>
      <c r="AD23" s="27">
        <v>794.17707204017995</v>
      </c>
    </row>
    <row r="24" spans="1:30">
      <c r="A24" s="27" t="s">
        <v>196</v>
      </c>
      <c r="B24" s="27" t="s">
        <v>236</v>
      </c>
      <c r="C24" s="27" t="s">
        <v>198</v>
      </c>
      <c r="D24" s="27" t="s">
        <v>1163</v>
      </c>
      <c r="E24" s="27" t="s">
        <v>76</v>
      </c>
      <c r="F24" s="27" t="s">
        <v>200</v>
      </c>
      <c r="G24" s="27" t="s">
        <v>200</v>
      </c>
      <c r="H24" s="27">
        <v>422.50700000000001</v>
      </c>
      <c r="I24" s="27">
        <v>626.44449999999995</v>
      </c>
      <c r="J24" s="27">
        <v>830.38199999999995</v>
      </c>
      <c r="K24" s="27" t="s">
        <v>200</v>
      </c>
      <c r="L24" s="27" t="s">
        <v>200</v>
      </c>
      <c r="M24" s="27" t="s">
        <v>200</v>
      </c>
      <c r="N24" s="27" t="s">
        <v>200</v>
      </c>
      <c r="O24" s="27">
        <v>407.31689999999998</v>
      </c>
      <c r="P24" s="27">
        <v>166.60599999999999</v>
      </c>
      <c r="Q24" s="27">
        <v>115.9425</v>
      </c>
      <c r="R24" s="27">
        <v>65.278999999999996</v>
      </c>
      <c r="S24" s="27">
        <v>71.249200000000002</v>
      </c>
      <c r="T24" s="27">
        <v>77.219300000000004</v>
      </c>
      <c r="U24" s="27">
        <v>82.808499999999995</v>
      </c>
      <c r="V24" s="27">
        <v>88.397800000000004</v>
      </c>
      <c r="W24" s="27" t="s">
        <v>200</v>
      </c>
      <c r="X24" s="27">
        <v>100.36020000000001</v>
      </c>
      <c r="Y24" s="27" t="s">
        <v>200</v>
      </c>
      <c r="Z24" s="27">
        <v>108.7243</v>
      </c>
      <c r="AA24" s="27" t="s">
        <v>200</v>
      </c>
      <c r="AB24" s="27">
        <v>119.3064</v>
      </c>
      <c r="AC24" s="27" t="s">
        <v>200</v>
      </c>
      <c r="AD24" s="27">
        <v>131.5187</v>
      </c>
    </row>
    <row r="25" spans="1:30">
      <c r="A25" s="27" t="s">
        <v>231</v>
      </c>
      <c r="B25" s="27" t="s">
        <v>237</v>
      </c>
      <c r="C25" s="27" t="s">
        <v>198</v>
      </c>
      <c r="D25" s="27" t="s">
        <v>1163</v>
      </c>
      <c r="E25" s="27" t="s">
        <v>76</v>
      </c>
      <c r="F25" s="27" t="s">
        <v>200</v>
      </c>
      <c r="G25" s="27">
        <v>170.50070021459999</v>
      </c>
      <c r="H25" s="27">
        <v>250.06317848</v>
      </c>
      <c r="I25" s="27">
        <v>338.77585532476002</v>
      </c>
      <c r="J25" s="27">
        <v>421.90070878402003</v>
      </c>
      <c r="K25" s="27" t="s">
        <v>200</v>
      </c>
      <c r="L25" s="27" t="s">
        <v>200</v>
      </c>
      <c r="M25" s="27" t="s">
        <v>200</v>
      </c>
      <c r="N25" s="27" t="s">
        <v>200</v>
      </c>
      <c r="O25" s="27">
        <v>394.20863208167998</v>
      </c>
      <c r="P25" s="27">
        <v>426.96844287563999</v>
      </c>
      <c r="Q25" s="27">
        <v>397.03251595899002</v>
      </c>
      <c r="R25" s="27">
        <v>375.05444066626001</v>
      </c>
      <c r="S25" s="27">
        <v>299.64138290344999</v>
      </c>
      <c r="T25" s="27">
        <v>253.05640610482999</v>
      </c>
      <c r="U25" s="27">
        <v>174.21506816171001</v>
      </c>
      <c r="V25" s="27">
        <v>154.87900183875999</v>
      </c>
      <c r="W25" s="27">
        <v>149.57359505205</v>
      </c>
      <c r="X25" s="27">
        <v>143.70469228038999</v>
      </c>
      <c r="Y25" s="27">
        <v>137.22474352446</v>
      </c>
      <c r="Z25" s="27">
        <v>129.74079739959001</v>
      </c>
      <c r="AA25" s="27">
        <v>123.18032203347001</v>
      </c>
      <c r="AB25" s="27">
        <v>117.40583148632</v>
      </c>
      <c r="AC25" s="27">
        <v>111.5616760401</v>
      </c>
      <c r="AD25" s="27">
        <v>106.54749664964</v>
      </c>
    </row>
    <row r="26" spans="1:30">
      <c r="A26" s="27" t="s">
        <v>233</v>
      </c>
      <c r="B26" s="27" t="s">
        <v>238</v>
      </c>
      <c r="C26" s="27" t="s">
        <v>198</v>
      </c>
      <c r="D26" s="27" t="s">
        <v>1163</v>
      </c>
      <c r="E26" s="27" t="s">
        <v>76</v>
      </c>
      <c r="F26" s="27" t="s">
        <v>200</v>
      </c>
      <c r="G26" s="27" t="s">
        <v>200</v>
      </c>
      <c r="H26" s="27">
        <v>254.98730000000009</v>
      </c>
      <c r="I26" s="27">
        <v>396.21726699999982</v>
      </c>
      <c r="J26" s="27">
        <v>521.62684771643796</v>
      </c>
      <c r="K26" s="27" t="s">
        <v>200</v>
      </c>
      <c r="L26" s="27" t="s">
        <v>200</v>
      </c>
      <c r="M26" s="27" t="s">
        <v>200</v>
      </c>
      <c r="N26" s="27" t="s">
        <v>200</v>
      </c>
      <c r="O26" s="27">
        <v>31.00865000000001</v>
      </c>
      <c r="P26" s="27">
        <v>34.373854999999992</v>
      </c>
      <c r="Q26" s="27">
        <v>37.922045000000011</v>
      </c>
      <c r="R26" s="27">
        <v>41.889224999999989</v>
      </c>
      <c r="S26" s="27">
        <v>46.13993499999998</v>
      </c>
      <c r="T26" s="27">
        <v>50.279449999999983</v>
      </c>
      <c r="U26" s="27">
        <v>54.023420000000058</v>
      </c>
      <c r="V26" s="27">
        <v>57.788240000000052</v>
      </c>
      <c r="W26" s="27">
        <v>61.969895000000051</v>
      </c>
      <c r="X26" s="27">
        <v>66.181849999999969</v>
      </c>
      <c r="Y26" s="27">
        <v>70.007979999999989</v>
      </c>
      <c r="Z26" s="27">
        <v>73.696149999999989</v>
      </c>
      <c r="AA26" s="27">
        <v>77.569050000000033</v>
      </c>
      <c r="AB26" s="27">
        <v>81.584860000000077</v>
      </c>
      <c r="AC26" s="27">
        <v>85.632385000000056</v>
      </c>
      <c r="AD26" s="27">
        <v>89.659149999999954</v>
      </c>
    </row>
    <row r="27" spans="1:30">
      <c r="A27" s="27" t="s">
        <v>239</v>
      </c>
      <c r="B27" s="27" t="s">
        <v>240</v>
      </c>
      <c r="C27" s="27" t="s">
        <v>198</v>
      </c>
      <c r="D27" s="27" t="s">
        <v>1163</v>
      </c>
      <c r="E27" s="27" t="s">
        <v>76</v>
      </c>
      <c r="F27" s="27" t="s">
        <v>200</v>
      </c>
      <c r="G27" s="27">
        <v>309.7</v>
      </c>
      <c r="H27" s="27">
        <v>423.6</v>
      </c>
      <c r="I27" s="27" t="s">
        <v>200</v>
      </c>
      <c r="J27" s="27">
        <v>860.4</v>
      </c>
      <c r="K27" s="27" t="s">
        <v>200</v>
      </c>
      <c r="L27" s="27" t="s">
        <v>200</v>
      </c>
      <c r="M27" s="27" t="s">
        <v>200</v>
      </c>
      <c r="N27" s="27" t="s">
        <v>200</v>
      </c>
      <c r="O27" s="27" t="s">
        <v>200</v>
      </c>
      <c r="P27" s="27">
        <v>259.89999999999998</v>
      </c>
      <c r="Q27" s="27" t="s">
        <v>200</v>
      </c>
      <c r="R27" s="27">
        <v>66.28</v>
      </c>
      <c r="S27" s="27" t="s">
        <v>200</v>
      </c>
      <c r="T27" s="27">
        <v>78.39</v>
      </c>
      <c r="U27" s="27" t="s">
        <v>200</v>
      </c>
      <c r="V27" s="27">
        <v>90.26</v>
      </c>
      <c r="W27" s="27" t="s">
        <v>200</v>
      </c>
      <c r="X27" s="27">
        <v>103.2</v>
      </c>
      <c r="Y27" s="27" t="s">
        <v>200</v>
      </c>
      <c r="Z27" s="27">
        <v>113</v>
      </c>
      <c r="AA27" s="27" t="s">
        <v>200</v>
      </c>
      <c r="AB27" s="27">
        <v>125.3</v>
      </c>
      <c r="AC27" s="27" t="s">
        <v>200</v>
      </c>
      <c r="AD27" s="27">
        <v>139.69999999999999</v>
      </c>
    </row>
    <row r="28" spans="1:30">
      <c r="A28" s="27" t="s">
        <v>207</v>
      </c>
      <c r="B28" s="27" t="s">
        <v>241</v>
      </c>
      <c r="C28" s="27" t="s">
        <v>198</v>
      </c>
      <c r="D28" s="27" t="s">
        <v>1163</v>
      </c>
      <c r="E28" s="27" t="s">
        <v>76</v>
      </c>
      <c r="F28" s="27">
        <v>123.19383120274659</v>
      </c>
      <c r="G28" s="27">
        <v>199.84398209129711</v>
      </c>
      <c r="H28" s="27">
        <v>305.90798520174548</v>
      </c>
      <c r="I28" s="27">
        <v>501.74855070693178</v>
      </c>
      <c r="J28" s="27">
        <v>805.34055869805388</v>
      </c>
      <c r="K28" s="27" t="s">
        <v>200</v>
      </c>
      <c r="L28" s="27" t="s">
        <v>200</v>
      </c>
      <c r="M28" s="27" t="s">
        <v>200</v>
      </c>
      <c r="N28" s="27" t="s">
        <v>200</v>
      </c>
      <c r="O28" s="27">
        <v>477.98208107618939</v>
      </c>
      <c r="P28" s="27">
        <v>484.50502273103291</v>
      </c>
      <c r="Q28" s="27">
        <v>495.64702503573682</v>
      </c>
      <c r="R28" s="27">
        <v>526.45622303993559</v>
      </c>
      <c r="S28" s="27">
        <v>552.21084289404291</v>
      </c>
      <c r="T28" s="27">
        <v>581.97719518925464</v>
      </c>
      <c r="U28" s="27">
        <v>603.44280414166201</v>
      </c>
      <c r="V28" s="27">
        <v>630.26801822466223</v>
      </c>
      <c r="W28" s="27" t="s">
        <v>200</v>
      </c>
      <c r="X28" s="27">
        <v>700.7838934799621</v>
      </c>
      <c r="Y28" s="27" t="s">
        <v>200</v>
      </c>
      <c r="Z28" s="27">
        <v>755.70764649377463</v>
      </c>
      <c r="AA28" s="27" t="s">
        <v>200</v>
      </c>
      <c r="AB28" s="27">
        <v>796.43436744254564</v>
      </c>
      <c r="AC28" s="27" t="s">
        <v>200</v>
      </c>
      <c r="AD28" s="27">
        <v>830.26409396358576</v>
      </c>
    </row>
    <row r="29" spans="1:30">
      <c r="A29" s="27" t="s">
        <v>244</v>
      </c>
      <c r="B29" s="27" t="s">
        <v>202</v>
      </c>
      <c r="C29" s="27" t="s">
        <v>198</v>
      </c>
      <c r="D29" s="27" t="s">
        <v>1163</v>
      </c>
      <c r="E29" s="27" t="s">
        <v>76</v>
      </c>
      <c r="F29" s="27" t="s">
        <v>200</v>
      </c>
      <c r="G29" s="27" t="s">
        <v>200</v>
      </c>
      <c r="H29" s="27" t="s">
        <v>200</v>
      </c>
      <c r="I29" s="27">
        <v>521.77519839683862</v>
      </c>
      <c r="J29" s="27">
        <v>604.94479858849286</v>
      </c>
      <c r="K29" s="27" t="s">
        <v>200</v>
      </c>
      <c r="L29" s="27" t="s">
        <v>200</v>
      </c>
      <c r="M29" s="27" t="s">
        <v>200</v>
      </c>
      <c r="N29" s="27" t="s">
        <v>200</v>
      </c>
      <c r="O29" s="27">
        <v>657.21518562210133</v>
      </c>
      <c r="P29" s="27">
        <v>702.52462255428145</v>
      </c>
      <c r="Q29" s="27">
        <v>713.5689170951274</v>
      </c>
      <c r="R29" s="27">
        <v>687.52566976052378</v>
      </c>
      <c r="S29" s="27">
        <v>596.0905296050172</v>
      </c>
      <c r="T29" s="27">
        <v>408.4332138368178</v>
      </c>
      <c r="U29" s="27">
        <v>418.63663129368172</v>
      </c>
      <c r="V29" s="27">
        <v>454.92000220761179</v>
      </c>
      <c r="W29" s="27">
        <v>488.65551369676461</v>
      </c>
      <c r="X29" s="27">
        <v>528.83496774584353</v>
      </c>
      <c r="Y29" s="27">
        <v>568.91720602596024</v>
      </c>
      <c r="Z29" s="27">
        <v>594.52900919639148</v>
      </c>
      <c r="AA29" s="27">
        <v>610.48120176533052</v>
      </c>
      <c r="AB29" s="27">
        <v>619.60435231796566</v>
      </c>
      <c r="AC29" s="27">
        <v>640.83313947405804</v>
      </c>
      <c r="AD29" s="27">
        <v>657.76924049561137</v>
      </c>
    </row>
    <row r="30" spans="1:30">
      <c r="A30" s="27" t="s">
        <v>203</v>
      </c>
      <c r="B30" s="27" t="s">
        <v>249</v>
      </c>
      <c r="C30" s="27" t="s">
        <v>198</v>
      </c>
      <c r="D30" s="27" t="s">
        <v>1163</v>
      </c>
      <c r="E30" s="27" t="s">
        <v>76</v>
      </c>
      <c r="F30" s="27" t="s">
        <v>200</v>
      </c>
      <c r="G30" s="27">
        <v>309.20569999999998</v>
      </c>
      <c r="H30" s="27">
        <v>422.50700000000001</v>
      </c>
      <c r="I30" s="27">
        <v>626.44449999999995</v>
      </c>
      <c r="J30" s="27">
        <v>830.38199999999995</v>
      </c>
      <c r="K30" s="27" t="s">
        <v>200</v>
      </c>
      <c r="L30" s="27" t="s">
        <v>200</v>
      </c>
      <c r="M30" s="27" t="s">
        <v>200</v>
      </c>
      <c r="N30" s="27" t="s">
        <v>200</v>
      </c>
      <c r="O30" s="27">
        <v>407.31689999999998</v>
      </c>
      <c r="P30" s="27">
        <v>166.60599999999999</v>
      </c>
      <c r="Q30" s="27">
        <v>115.9425</v>
      </c>
      <c r="R30" s="27">
        <v>65.278999999999996</v>
      </c>
      <c r="S30" s="27">
        <v>71.249200000000002</v>
      </c>
      <c r="T30" s="27">
        <v>77.219300000000004</v>
      </c>
      <c r="U30" s="27">
        <v>82.808499999999995</v>
      </c>
      <c r="V30" s="27">
        <v>88.397800000000004</v>
      </c>
      <c r="W30" s="27" t="s">
        <v>200</v>
      </c>
      <c r="X30" s="27">
        <v>100.36020000000001</v>
      </c>
      <c r="Y30" s="27" t="s">
        <v>200</v>
      </c>
      <c r="Z30" s="27">
        <v>108.7243</v>
      </c>
      <c r="AA30" s="27" t="s">
        <v>200</v>
      </c>
      <c r="AB30" s="27">
        <v>119.3064</v>
      </c>
      <c r="AC30" s="27" t="s">
        <v>200</v>
      </c>
      <c r="AD30" s="27">
        <v>131.5187</v>
      </c>
    </row>
    <row r="31" spans="1:30">
      <c r="A31" s="27" t="s">
        <v>196</v>
      </c>
      <c r="B31" s="27" t="s">
        <v>250</v>
      </c>
      <c r="C31" s="27" t="s">
        <v>198</v>
      </c>
      <c r="D31" s="27" t="s">
        <v>1163</v>
      </c>
      <c r="E31" s="27" t="s">
        <v>76</v>
      </c>
      <c r="F31" s="27" t="s">
        <v>200</v>
      </c>
      <c r="G31" s="27">
        <v>309.20569999999998</v>
      </c>
      <c r="H31" s="27">
        <v>422.50700000000001</v>
      </c>
      <c r="I31" s="27">
        <v>626.44449999999995</v>
      </c>
      <c r="J31" s="27">
        <v>830.38199999999995</v>
      </c>
      <c r="K31" s="27" t="s">
        <v>200</v>
      </c>
      <c r="L31" s="27" t="s">
        <v>200</v>
      </c>
      <c r="M31" s="27" t="s">
        <v>200</v>
      </c>
      <c r="N31" s="27" t="s">
        <v>200</v>
      </c>
      <c r="O31" s="27">
        <v>407.31689999999998</v>
      </c>
      <c r="P31" s="27">
        <v>166.60599999999999</v>
      </c>
      <c r="Q31" s="27">
        <v>115.9425</v>
      </c>
      <c r="R31" s="27">
        <v>65.278999999999996</v>
      </c>
      <c r="S31" s="27">
        <v>71.249200000000002</v>
      </c>
      <c r="T31" s="27">
        <v>77.219300000000004</v>
      </c>
      <c r="U31" s="27">
        <v>82.808499999999995</v>
      </c>
      <c r="V31" s="27">
        <v>88.397800000000004</v>
      </c>
      <c r="W31" s="27" t="s">
        <v>200</v>
      </c>
      <c r="X31" s="27">
        <v>100.36020000000001</v>
      </c>
      <c r="Y31" s="27" t="s">
        <v>200</v>
      </c>
      <c r="Z31" s="27">
        <v>108.7243</v>
      </c>
      <c r="AA31" s="27" t="s">
        <v>200</v>
      </c>
      <c r="AB31" s="27">
        <v>119.3064</v>
      </c>
      <c r="AC31" s="27" t="s">
        <v>200</v>
      </c>
      <c r="AD31" s="27">
        <v>131.5187</v>
      </c>
    </row>
    <row r="32" spans="1:30">
      <c r="A32" s="27" t="s">
        <v>203</v>
      </c>
      <c r="B32" s="27" t="s">
        <v>251</v>
      </c>
      <c r="C32" s="27" t="s">
        <v>198</v>
      </c>
      <c r="D32" s="27" t="s">
        <v>1163</v>
      </c>
      <c r="E32" s="27" t="s">
        <v>76</v>
      </c>
      <c r="F32" s="27" t="s">
        <v>200</v>
      </c>
      <c r="G32" s="27">
        <v>309.20569999999998</v>
      </c>
      <c r="H32" s="27">
        <v>422.50700000000001</v>
      </c>
      <c r="I32" s="27">
        <v>626.44449999999995</v>
      </c>
      <c r="J32" s="27">
        <v>830.38199999999995</v>
      </c>
      <c r="K32" s="27" t="s">
        <v>200</v>
      </c>
      <c r="L32" s="27" t="s">
        <v>200</v>
      </c>
      <c r="M32" s="27" t="s">
        <v>200</v>
      </c>
      <c r="N32" s="27" t="s">
        <v>200</v>
      </c>
      <c r="O32" s="27">
        <v>407.31689999999998</v>
      </c>
      <c r="P32" s="27">
        <v>166.60599999999999</v>
      </c>
      <c r="Q32" s="27">
        <v>115.9425</v>
      </c>
      <c r="R32" s="27">
        <v>65.278999999999996</v>
      </c>
      <c r="S32" s="27">
        <v>71.249200000000002</v>
      </c>
      <c r="T32" s="27">
        <v>77.219300000000004</v>
      </c>
      <c r="U32" s="27">
        <v>82.808499999999995</v>
      </c>
      <c r="V32" s="27">
        <v>88.397800000000004</v>
      </c>
      <c r="W32" s="27" t="s">
        <v>200</v>
      </c>
      <c r="X32" s="27">
        <v>100.36020000000001</v>
      </c>
      <c r="Y32" s="27" t="s">
        <v>200</v>
      </c>
      <c r="Z32" s="27">
        <v>108.7243</v>
      </c>
      <c r="AA32" s="27" t="s">
        <v>200</v>
      </c>
      <c r="AB32" s="27">
        <v>119.3064</v>
      </c>
      <c r="AC32" s="27" t="s">
        <v>200</v>
      </c>
      <c r="AD32" s="27">
        <v>131.5187</v>
      </c>
    </row>
    <row r="33" spans="1:30">
      <c r="A33" s="27" t="s">
        <v>205</v>
      </c>
      <c r="B33" s="27" t="s">
        <v>252</v>
      </c>
      <c r="C33" s="27" t="s">
        <v>198</v>
      </c>
      <c r="D33" s="27" t="s">
        <v>1163</v>
      </c>
      <c r="E33" s="27" t="s">
        <v>76</v>
      </c>
      <c r="F33" s="27" t="s">
        <v>200</v>
      </c>
      <c r="G33" s="27">
        <v>380.68299999999999</v>
      </c>
      <c r="H33" s="27">
        <v>474.17599999999999</v>
      </c>
      <c r="I33" s="27">
        <v>613.70600000000002</v>
      </c>
      <c r="J33" s="27">
        <v>575.15599999999995</v>
      </c>
      <c r="K33" s="27" t="s">
        <v>200</v>
      </c>
      <c r="L33" s="27" t="s">
        <v>200</v>
      </c>
      <c r="M33" s="27" t="s">
        <v>200</v>
      </c>
      <c r="N33" s="27" t="s">
        <v>200</v>
      </c>
      <c r="O33" s="27">
        <v>323.51900000000001</v>
      </c>
      <c r="P33" s="27">
        <v>140.07300000000001</v>
      </c>
      <c r="Q33" s="27">
        <v>59.826300000000003</v>
      </c>
      <c r="R33" s="27">
        <v>25.3386</v>
      </c>
      <c r="S33" s="27">
        <v>10.696899999999999</v>
      </c>
      <c r="T33" s="27">
        <v>4.5274000000000001</v>
      </c>
      <c r="U33" s="27">
        <v>1.93509</v>
      </c>
      <c r="V33" s="27">
        <v>0.84309899999999893</v>
      </c>
      <c r="W33" s="27">
        <v>0.37879600000000002</v>
      </c>
      <c r="X33" s="27">
        <v>0.177755</v>
      </c>
      <c r="Y33" s="27">
        <v>8.8107999999999895E-2</v>
      </c>
      <c r="Z33" s="27">
        <v>4.6415100000000001E-2</v>
      </c>
      <c r="AA33" s="27">
        <v>2.59531E-2</v>
      </c>
      <c r="AB33" s="27">
        <v>1.5279900000000001E-2</v>
      </c>
      <c r="AC33" s="27">
        <v>9.36443E-3</v>
      </c>
      <c r="AD33" s="27">
        <v>5.9059500000000001E-3</v>
      </c>
    </row>
    <row r="34" spans="1:30">
      <c r="A34" s="27" t="s">
        <v>205</v>
      </c>
      <c r="B34" s="27" t="s">
        <v>253</v>
      </c>
      <c r="C34" s="27" t="s">
        <v>198</v>
      </c>
      <c r="D34" s="27" t="s">
        <v>1163</v>
      </c>
      <c r="E34" s="27" t="s">
        <v>76</v>
      </c>
      <c r="F34" s="27" t="s">
        <v>200</v>
      </c>
      <c r="G34" s="27">
        <v>380.68299999999999</v>
      </c>
      <c r="H34" s="27">
        <v>474.17599999999999</v>
      </c>
      <c r="I34" s="27">
        <v>613.70600000000002</v>
      </c>
      <c r="J34" s="27">
        <v>575.15599999999995</v>
      </c>
      <c r="K34" s="27" t="s">
        <v>200</v>
      </c>
      <c r="L34" s="27" t="s">
        <v>200</v>
      </c>
      <c r="M34" s="27" t="s">
        <v>200</v>
      </c>
      <c r="N34" s="27" t="s">
        <v>200</v>
      </c>
      <c r="O34" s="27">
        <v>306.68799999999999</v>
      </c>
      <c r="P34" s="27">
        <v>116.254</v>
      </c>
      <c r="Q34" s="27">
        <v>43.504800000000003</v>
      </c>
      <c r="R34" s="27">
        <v>16.154399999999999</v>
      </c>
      <c r="S34" s="27">
        <v>5.9819699999999996</v>
      </c>
      <c r="T34" s="27">
        <v>2.2215699999999998</v>
      </c>
      <c r="U34" s="27">
        <v>0.83333099999999893</v>
      </c>
      <c r="V34" s="27">
        <v>0.318637</v>
      </c>
      <c r="W34" s="27">
        <v>0.125615</v>
      </c>
      <c r="X34" s="27">
        <v>5.1705999999999003E-2</v>
      </c>
      <c r="Y34" s="27">
        <v>2.2474399999999999E-2</v>
      </c>
      <c r="Z34" s="27">
        <v>1.03812E-2</v>
      </c>
      <c r="AA34" s="27">
        <v>5.0908699999999999E-3</v>
      </c>
      <c r="AB34" s="27">
        <v>2.63006E-3</v>
      </c>
      <c r="AC34" s="27">
        <v>1.41533E-3</v>
      </c>
      <c r="AD34" s="27">
        <v>7.8431899999990005E-4</v>
      </c>
    </row>
    <row r="35" spans="1:30">
      <c r="A35" s="27" t="s">
        <v>216</v>
      </c>
      <c r="B35" s="27" t="s">
        <v>254</v>
      </c>
      <c r="C35" s="27" t="s">
        <v>198</v>
      </c>
      <c r="D35" s="27" t="s">
        <v>1163</v>
      </c>
      <c r="E35" s="27" t="s">
        <v>76</v>
      </c>
      <c r="F35" s="27">
        <v>123.19383120274701</v>
      </c>
      <c r="G35" s="27">
        <v>199.84398209129699</v>
      </c>
      <c r="H35" s="27">
        <v>305.90798520174502</v>
      </c>
      <c r="I35" s="27">
        <v>501.74855070693201</v>
      </c>
      <c r="J35" s="27">
        <v>821.92404038262998</v>
      </c>
      <c r="K35" s="27">
        <v>825.05274905776605</v>
      </c>
      <c r="L35" s="27">
        <v>831.20850144769702</v>
      </c>
      <c r="M35" s="27">
        <v>840.21453580856098</v>
      </c>
      <c r="N35" s="27">
        <v>851.71479820043601</v>
      </c>
      <c r="O35" s="27">
        <v>479.10377560875799</v>
      </c>
      <c r="P35" s="27">
        <v>485.90246790188002</v>
      </c>
      <c r="Q35" s="27">
        <v>489.36843816201701</v>
      </c>
      <c r="R35" s="27">
        <v>518.79594123612503</v>
      </c>
      <c r="S35" s="27">
        <v>547.23738795950896</v>
      </c>
      <c r="T35" s="27">
        <v>579.51619181204399</v>
      </c>
      <c r="U35" s="27">
        <v>615.79261180164997</v>
      </c>
      <c r="V35" s="27">
        <v>653.35331051903597</v>
      </c>
      <c r="W35" s="27" t="s">
        <v>200</v>
      </c>
      <c r="X35" s="27">
        <v>719.52171778903096</v>
      </c>
      <c r="Y35" s="27" t="s">
        <v>200</v>
      </c>
      <c r="Z35" s="27">
        <v>770.03535370254701</v>
      </c>
      <c r="AA35" s="27" t="s">
        <v>200</v>
      </c>
      <c r="AB35" s="27">
        <v>812.11029329115001</v>
      </c>
      <c r="AC35" s="27" t="s">
        <v>200</v>
      </c>
      <c r="AD35" s="27">
        <v>847.57095868814702</v>
      </c>
    </row>
    <row r="36" spans="1:30">
      <c r="A36" s="27" t="s">
        <v>255</v>
      </c>
      <c r="B36" s="27" t="s">
        <v>256</v>
      </c>
      <c r="C36" s="27" t="s">
        <v>198</v>
      </c>
      <c r="D36" s="27" t="s">
        <v>1163</v>
      </c>
      <c r="E36" s="27" t="s">
        <v>76</v>
      </c>
      <c r="F36" s="27" t="s">
        <v>200</v>
      </c>
      <c r="G36" s="27">
        <v>238.53549939831501</v>
      </c>
      <c r="H36" s="27">
        <v>283.734130565584</v>
      </c>
      <c r="I36" s="27">
        <v>359.79779632972298</v>
      </c>
      <c r="J36" s="27">
        <v>427.338146811071</v>
      </c>
      <c r="K36" s="27" t="s">
        <v>200</v>
      </c>
      <c r="L36" s="27" t="s">
        <v>200</v>
      </c>
      <c r="M36" s="27" t="s">
        <v>200</v>
      </c>
      <c r="N36" s="27" t="s">
        <v>200</v>
      </c>
      <c r="O36" s="27">
        <v>133.208511958484</v>
      </c>
      <c r="P36" s="27">
        <v>48.183006167268402</v>
      </c>
      <c r="Q36" s="27">
        <v>51.950422119434393</v>
      </c>
      <c r="R36" s="27">
        <v>56.001095254211798</v>
      </c>
      <c r="S36" s="27">
        <v>58.962136168772602</v>
      </c>
      <c r="T36" s="27">
        <v>61.402085213598099</v>
      </c>
      <c r="U36" s="27">
        <v>63.4856770833333</v>
      </c>
      <c r="V36" s="27">
        <v>65.095056783995204</v>
      </c>
      <c r="W36" s="27">
        <v>66.152183927496992</v>
      </c>
      <c r="X36" s="27">
        <v>66.763622518050497</v>
      </c>
      <c r="Y36" s="27">
        <v>66.873961153730406</v>
      </c>
      <c r="Z36" s="27">
        <v>66.458709386281612</v>
      </c>
      <c r="AA36" s="27">
        <v>65.504545540012003</v>
      </c>
      <c r="AB36" s="27">
        <v>64.042987552647404</v>
      </c>
      <c r="AC36" s="27">
        <v>62.078016884777398</v>
      </c>
      <c r="AD36" s="27">
        <v>61.049629587846013</v>
      </c>
    </row>
    <row r="37" spans="1:30">
      <c r="A37" s="27" t="s">
        <v>257</v>
      </c>
      <c r="B37" s="27" t="s">
        <v>197</v>
      </c>
      <c r="C37" s="27" t="s">
        <v>198</v>
      </c>
      <c r="D37" s="27" t="s">
        <v>1163</v>
      </c>
      <c r="E37" s="27" t="s">
        <v>76</v>
      </c>
      <c r="F37" s="27" t="s">
        <v>200</v>
      </c>
      <c r="G37" s="27" t="s">
        <v>200</v>
      </c>
      <c r="H37" s="27">
        <v>406.45350000000002</v>
      </c>
      <c r="I37" s="27">
        <v>484.9153</v>
      </c>
      <c r="J37" s="27">
        <v>563.37699999999995</v>
      </c>
      <c r="K37" s="27" t="s">
        <v>200</v>
      </c>
      <c r="L37" s="27" t="s">
        <v>200</v>
      </c>
      <c r="M37" s="27" t="s">
        <v>200</v>
      </c>
      <c r="N37" s="27" t="s">
        <v>200</v>
      </c>
      <c r="O37" s="27">
        <v>325.07049999999998</v>
      </c>
      <c r="P37" s="27">
        <v>91.928299999999993</v>
      </c>
      <c r="Q37" s="27">
        <v>63.029299999999999</v>
      </c>
      <c r="R37" s="27">
        <v>34.630000000000003</v>
      </c>
      <c r="S37" s="27">
        <v>37.169800000000002</v>
      </c>
      <c r="T37" s="27">
        <v>39.540999999999997</v>
      </c>
      <c r="U37" s="27">
        <v>41.9039</v>
      </c>
      <c r="V37" s="27">
        <v>44.26</v>
      </c>
      <c r="W37" s="27">
        <v>47.331200000000003</v>
      </c>
      <c r="X37" s="27">
        <v>50.427700000000002</v>
      </c>
      <c r="Y37" s="27">
        <v>53.539700000000003</v>
      </c>
      <c r="Z37" s="27">
        <v>56.695300000000003</v>
      </c>
      <c r="AA37" s="27">
        <v>60.379399999999997</v>
      </c>
      <c r="AB37" s="27">
        <v>64.081999999999994</v>
      </c>
      <c r="AC37" s="27">
        <v>67.597399999999993</v>
      </c>
      <c r="AD37" s="27">
        <v>71.119299999999996</v>
      </c>
    </row>
    <row r="38" spans="1:30">
      <c r="A38" s="27" t="s">
        <v>196</v>
      </c>
      <c r="B38" s="27" t="s">
        <v>258</v>
      </c>
      <c r="C38" s="27" t="s">
        <v>198</v>
      </c>
      <c r="D38" s="27" t="s">
        <v>1163</v>
      </c>
      <c r="E38" s="27" t="s">
        <v>76</v>
      </c>
      <c r="F38" s="27" t="s">
        <v>200</v>
      </c>
      <c r="G38" s="27">
        <v>309.20569999999998</v>
      </c>
      <c r="H38" s="27">
        <v>422.50700000000001</v>
      </c>
      <c r="I38" s="27">
        <v>626.44449999999995</v>
      </c>
      <c r="J38" s="27">
        <v>830.38199999999995</v>
      </c>
      <c r="K38" s="27" t="s">
        <v>200</v>
      </c>
      <c r="L38" s="27" t="s">
        <v>200</v>
      </c>
      <c r="M38" s="27" t="s">
        <v>200</v>
      </c>
      <c r="N38" s="27" t="s">
        <v>200</v>
      </c>
      <c r="O38" s="27">
        <v>407.31689999999998</v>
      </c>
      <c r="P38" s="27">
        <v>166.60599999999999</v>
      </c>
      <c r="Q38" s="27">
        <v>115.9425</v>
      </c>
      <c r="R38" s="27">
        <v>65.278999999999996</v>
      </c>
      <c r="S38" s="27">
        <v>71.249200000000002</v>
      </c>
      <c r="T38" s="27">
        <v>77.219300000000004</v>
      </c>
      <c r="U38" s="27">
        <v>82.808499999999995</v>
      </c>
      <c r="V38" s="27">
        <v>88.397800000000004</v>
      </c>
      <c r="W38" s="27" t="s">
        <v>200</v>
      </c>
      <c r="X38" s="27">
        <v>100.36020000000001</v>
      </c>
      <c r="Y38" s="27" t="s">
        <v>200</v>
      </c>
      <c r="Z38" s="27">
        <v>108.7243</v>
      </c>
      <c r="AA38" s="27" t="s">
        <v>200</v>
      </c>
      <c r="AB38" s="27">
        <v>119.3064</v>
      </c>
      <c r="AC38" s="27" t="s">
        <v>200</v>
      </c>
      <c r="AD38" s="27">
        <v>131.5187</v>
      </c>
    </row>
    <row r="39" spans="1:30">
      <c r="A39" s="27" t="s">
        <v>233</v>
      </c>
      <c r="B39" s="27" t="s">
        <v>260</v>
      </c>
      <c r="C39" s="27" t="s">
        <v>198</v>
      </c>
      <c r="D39" s="27" t="s">
        <v>1163</v>
      </c>
      <c r="E39" s="27" t="s">
        <v>76</v>
      </c>
      <c r="F39" s="27" t="s">
        <v>200</v>
      </c>
      <c r="G39" s="27" t="s">
        <v>200</v>
      </c>
      <c r="H39" s="27">
        <v>254.98730000000009</v>
      </c>
      <c r="I39" s="27">
        <v>396.21726699999982</v>
      </c>
      <c r="J39" s="27">
        <v>521.62684771643796</v>
      </c>
      <c r="K39" s="27" t="s">
        <v>200</v>
      </c>
      <c r="L39" s="27" t="s">
        <v>200</v>
      </c>
      <c r="M39" s="27" t="s">
        <v>200</v>
      </c>
      <c r="N39" s="27" t="s">
        <v>200</v>
      </c>
      <c r="O39" s="27">
        <v>31.00865000000001</v>
      </c>
      <c r="P39" s="27">
        <v>34.373854999999992</v>
      </c>
      <c r="Q39" s="27">
        <v>37.922045000000011</v>
      </c>
      <c r="R39" s="27">
        <v>41.889224999999989</v>
      </c>
      <c r="S39" s="27">
        <v>46.13993499999998</v>
      </c>
      <c r="T39" s="27">
        <v>50.279449999999983</v>
      </c>
      <c r="U39" s="27">
        <v>54.023420000000058</v>
      </c>
      <c r="V39" s="27">
        <v>57.788240000000052</v>
      </c>
      <c r="W39" s="27">
        <v>61.969895000000051</v>
      </c>
      <c r="X39" s="27">
        <v>66.181849999999969</v>
      </c>
      <c r="Y39" s="27">
        <v>70.007979999999989</v>
      </c>
      <c r="Z39" s="27">
        <v>73.696149999999989</v>
      </c>
      <c r="AA39" s="27">
        <v>77.569050000000033</v>
      </c>
      <c r="AB39" s="27">
        <v>81.584860000000077</v>
      </c>
      <c r="AC39" s="27">
        <v>85.632385000000056</v>
      </c>
      <c r="AD39" s="27">
        <v>89.659149999999954</v>
      </c>
    </row>
    <row r="40" spans="1:30">
      <c r="A40" s="27" t="s">
        <v>261</v>
      </c>
      <c r="B40" s="27" t="s">
        <v>262</v>
      </c>
      <c r="C40" s="27" t="s">
        <v>198</v>
      </c>
      <c r="D40" s="27" t="s">
        <v>1163</v>
      </c>
      <c r="E40" s="27" t="s">
        <v>76</v>
      </c>
      <c r="F40" s="27" t="s">
        <v>200</v>
      </c>
      <c r="G40" s="27">
        <v>290.04389364624018</v>
      </c>
      <c r="H40" s="27">
        <v>396.79837426757808</v>
      </c>
      <c r="I40" s="27">
        <v>616.70618902587887</v>
      </c>
      <c r="J40" s="27">
        <v>927.09073095703116</v>
      </c>
      <c r="K40" s="27" t="s">
        <v>200</v>
      </c>
      <c r="L40" s="27" t="s">
        <v>200</v>
      </c>
      <c r="M40" s="27" t="s">
        <v>200</v>
      </c>
      <c r="N40" s="27" t="s">
        <v>200</v>
      </c>
      <c r="O40" s="27">
        <v>711.91750634765617</v>
      </c>
      <c r="P40" s="27">
        <v>204.38467327880861</v>
      </c>
      <c r="Q40" s="27">
        <v>54.83048963928222</v>
      </c>
      <c r="R40" s="27">
        <v>60.14272858428955</v>
      </c>
      <c r="S40" s="27">
        <v>65.543121139526363</v>
      </c>
      <c r="T40" s="27">
        <v>71.019588180541987</v>
      </c>
      <c r="U40" s="27">
        <v>76.176601043701169</v>
      </c>
      <c r="V40" s="27">
        <v>81.711005218505861</v>
      </c>
      <c r="W40" s="27">
        <v>87.575401473999023</v>
      </c>
      <c r="X40" s="27">
        <v>93.967482147216785</v>
      </c>
      <c r="Y40" s="27">
        <v>100.8447329864502</v>
      </c>
      <c r="Z40" s="27">
        <v>108.37387257385249</v>
      </c>
      <c r="AA40" s="27">
        <v>115.63151184082029</v>
      </c>
      <c r="AB40" s="27">
        <v>121.5713372955322</v>
      </c>
      <c r="AC40" s="27">
        <v>126.12343400573729</v>
      </c>
      <c r="AD40" s="27">
        <v>130.5032978668213</v>
      </c>
    </row>
    <row r="41" spans="1:30">
      <c r="A41" s="27" t="s">
        <v>218</v>
      </c>
      <c r="B41" s="27" t="s">
        <v>263</v>
      </c>
      <c r="C41" s="27" t="s">
        <v>198</v>
      </c>
      <c r="D41" s="27" t="s">
        <v>1163</v>
      </c>
      <c r="E41" s="27" t="s">
        <v>76</v>
      </c>
      <c r="F41" s="27" t="s">
        <v>200</v>
      </c>
      <c r="G41" s="27">
        <v>309.67059999999998</v>
      </c>
      <c r="H41" s="27">
        <v>423.649</v>
      </c>
      <c r="I41" s="27">
        <v>706.73710000000005</v>
      </c>
      <c r="J41" s="27">
        <v>989.8252</v>
      </c>
      <c r="K41" s="27" t="s">
        <v>200</v>
      </c>
      <c r="L41" s="27" t="s">
        <v>200</v>
      </c>
      <c r="M41" s="27" t="s">
        <v>200</v>
      </c>
      <c r="N41" s="27" t="s">
        <v>200</v>
      </c>
      <c r="O41" s="27">
        <v>410.40960000000001</v>
      </c>
      <c r="P41" s="27">
        <v>168.04949999999999</v>
      </c>
      <c r="Q41" s="27">
        <v>117.02209999999999</v>
      </c>
      <c r="R41" s="27">
        <v>65.994699999999995</v>
      </c>
      <c r="S41" s="27">
        <v>72.194000000000003</v>
      </c>
      <c r="T41" s="27">
        <v>78.393199999999993</v>
      </c>
      <c r="U41" s="27">
        <v>84.328599999999994</v>
      </c>
      <c r="V41" s="27">
        <v>90.263900000000007</v>
      </c>
      <c r="W41" s="27" t="s">
        <v>200</v>
      </c>
      <c r="X41" s="27">
        <v>103.2317</v>
      </c>
      <c r="Y41" s="27" t="s">
        <v>200</v>
      </c>
      <c r="Z41" s="27">
        <v>112.9686</v>
      </c>
      <c r="AA41" s="27" t="s">
        <v>200</v>
      </c>
      <c r="AB41" s="27">
        <v>125.3053</v>
      </c>
      <c r="AC41" s="27" t="s">
        <v>200</v>
      </c>
      <c r="AD41" s="27">
        <v>139.6943</v>
      </c>
    </row>
    <row r="42" spans="1:30">
      <c r="A42" s="27" t="s">
        <v>196</v>
      </c>
      <c r="B42" s="27" t="s">
        <v>264</v>
      </c>
      <c r="C42" s="27" t="s">
        <v>198</v>
      </c>
      <c r="D42" s="27" t="s">
        <v>1163</v>
      </c>
      <c r="E42" s="27" t="s">
        <v>76</v>
      </c>
      <c r="F42" s="27" t="s">
        <v>200</v>
      </c>
      <c r="G42" s="27">
        <v>309.20569999999998</v>
      </c>
      <c r="H42" s="27">
        <v>422.50700000000001</v>
      </c>
      <c r="I42" s="27">
        <v>702.899</v>
      </c>
      <c r="J42" s="27">
        <v>983.29110000000003</v>
      </c>
      <c r="K42" s="27" t="s">
        <v>200</v>
      </c>
      <c r="L42" s="27" t="s">
        <v>200</v>
      </c>
      <c r="M42" s="27" t="s">
        <v>200</v>
      </c>
      <c r="N42" s="27" t="s">
        <v>200</v>
      </c>
      <c r="O42" s="27">
        <v>745.31280000000004</v>
      </c>
      <c r="P42" s="27">
        <v>659.34069999999997</v>
      </c>
      <c r="Q42" s="27">
        <v>549.74789999999996</v>
      </c>
      <c r="R42" s="27">
        <v>440.15519999999998</v>
      </c>
      <c r="S42" s="27">
        <v>382.85399999999998</v>
      </c>
      <c r="T42" s="27">
        <v>325.55290000000002</v>
      </c>
      <c r="U42" s="27">
        <v>209.77189999999999</v>
      </c>
      <c r="V42" s="27">
        <v>93.991</v>
      </c>
      <c r="W42" s="27" t="s">
        <v>200</v>
      </c>
      <c r="X42" s="27">
        <v>103.1664</v>
      </c>
      <c r="Y42" s="27" t="s">
        <v>200</v>
      </c>
      <c r="Z42" s="27">
        <v>112.1283</v>
      </c>
      <c r="AA42" s="27" t="s">
        <v>200</v>
      </c>
      <c r="AB42" s="27">
        <v>328.62169999999998</v>
      </c>
      <c r="AC42" s="27" t="s">
        <v>200</v>
      </c>
      <c r="AD42" s="27">
        <v>483.99220000000003</v>
      </c>
    </row>
    <row r="43" spans="1:30">
      <c r="A43" s="27" t="s">
        <v>218</v>
      </c>
      <c r="B43" s="27" t="s">
        <v>265</v>
      </c>
      <c r="C43" s="27" t="s">
        <v>198</v>
      </c>
      <c r="D43" s="27" t="s">
        <v>1163</v>
      </c>
      <c r="E43" s="27" t="s">
        <v>76</v>
      </c>
      <c r="F43" s="27" t="s">
        <v>200</v>
      </c>
      <c r="G43" s="27">
        <v>309.67059999999998</v>
      </c>
      <c r="H43" s="27">
        <v>423.649</v>
      </c>
      <c r="I43" s="27">
        <v>706.73710000000005</v>
      </c>
      <c r="J43" s="27">
        <v>989.8252</v>
      </c>
      <c r="K43" s="27" t="s">
        <v>200</v>
      </c>
      <c r="L43" s="27" t="s">
        <v>200</v>
      </c>
      <c r="M43" s="27" t="s">
        <v>200</v>
      </c>
      <c r="N43" s="27" t="s">
        <v>200</v>
      </c>
      <c r="O43" s="27">
        <v>410.40960000000001</v>
      </c>
      <c r="P43" s="27">
        <v>168.04949999999999</v>
      </c>
      <c r="Q43" s="27">
        <v>117.02209999999999</v>
      </c>
      <c r="R43" s="27">
        <v>65.994699999999995</v>
      </c>
      <c r="S43" s="27">
        <v>72.194000000000003</v>
      </c>
      <c r="T43" s="27">
        <v>78.393199999999993</v>
      </c>
      <c r="U43" s="27">
        <v>84.328599999999994</v>
      </c>
      <c r="V43" s="27">
        <v>90.263900000000007</v>
      </c>
      <c r="W43" s="27" t="s">
        <v>200</v>
      </c>
      <c r="X43" s="27">
        <v>103.2317</v>
      </c>
      <c r="Y43" s="27" t="s">
        <v>200</v>
      </c>
      <c r="Z43" s="27">
        <v>112.9686</v>
      </c>
      <c r="AA43" s="27" t="s">
        <v>200</v>
      </c>
      <c r="AB43" s="27">
        <v>125.3053</v>
      </c>
      <c r="AC43" s="27" t="s">
        <v>200</v>
      </c>
      <c r="AD43" s="27">
        <v>139.6943</v>
      </c>
    </row>
    <row r="44" spans="1:30">
      <c r="A44" s="27" t="s">
        <v>226</v>
      </c>
      <c r="B44" s="27" t="s">
        <v>243</v>
      </c>
      <c r="C44" s="27" t="s">
        <v>198</v>
      </c>
      <c r="D44" s="27" t="s">
        <v>1163</v>
      </c>
      <c r="E44" s="27" t="s">
        <v>76</v>
      </c>
      <c r="F44" s="27" t="s">
        <v>200</v>
      </c>
      <c r="G44" s="27">
        <v>309.67059999999998</v>
      </c>
      <c r="H44" s="27">
        <v>423.649</v>
      </c>
      <c r="I44" s="27">
        <v>689.14390000000003</v>
      </c>
      <c r="J44" s="27">
        <v>954.63890000000004</v>
      </c>
      <c r="K44" s="27" t="s">
        <v>200</v>
      </c>
      <c r="L44" s="27" t="s">
        <v>200</v>
      </c>
      <c r="M44" s="27" t="s">
        <v>200</v>
      </c>
      <c r="N44" s="27" t="s">
        <v>200</v>
      </c>
      <c r="O44" s="27">
        <v>410.40960000000001</v>
      </c>
      <c r="P44" s="27">
        <v>168.04949999999999</v>
      </c>
      <c r="Q44" s="27">
        <v>117.02209999999999</v>
      </c>
      <c r="R44" s="27">
        <v>65.994699999999995</v>
      </c>
      <c r="S44" s="27">
        <v>72.194000000000003</v>
      </c>
      <c r="T44" s="27">
        <v>78.393199999999993</v>
      </c>
      <c r="U44" s="27">
        <v>84.328599999999994</v>
      </c>
      <c r="V44" s="27">
        <v>90.263900000000007</v>
      </c>
      <c r="W44" s="27" t="s">
        <v>200</v>
      </c>
      <c r="X44" s="27">
        <v>103.2317</v>
      </c>
      <c r="Y44" s="27" t="s">
        <v>200</v>
      </c>
      <c r="Z44" s="27">
        <v>112.9686</v>
      </c>
      <c r="AA44" s="27" t="s">
        <v>200</v>
      </c>
      <c r="AB44" s="27">
        <v>125.3053</v>
      </c>
      <c r="AC44" s="27" t="s">
        <v>200</v>
      </c>
      <c r="AD44" s="27">
        <v>139.6943</v>
      </c>
    </row>
    <row r="45" spans="1:30">
      <c r="A45" s="27" t="s">
        <v>231</v>
      </c>
      <c r="B45" s="27" t="s">
        <v>266</v>
      </c>
      <c r="C45" s="27" t="s">
        <v>198</v>
      </c>
      <c r="D45" s="27" t="s">
        <v>1163</v>
      </c>
      <c r="E45" s="27" t="s">
        <v>76</v>
      </c>
      <c r="F45" s="27" t="s">
        <v>200</v>
      </c>
      <c r="G45" s="27">
        <v>170.50070021459999</v>
      </c>
      <c r="H45" s="27">
        <v>250.06317848</v>
      </c>
      <c r="I45" s="27">
        <v>338.77585532476002</v>
      </c>
      <c r="J45" s="27">
        <v>421.90070878402003</v>
      </c>
      <c r="K45" s="27" t="s">
        <v>200</v>
      </c>
      <c r="L45" s="27" t="s">
        <v>200</v>
      </c>
      <c r="M45" s="27" t="s">
        <v>200</v>
      </c>
      <c r="N45" s="27" t="s">
        <v>200</v>
      </c>
      <c r="O45" s="27">
        <v>389.19162437583998</v>
      </c>
      <c r="P45" s="27">
        <v>411.15706851279998</v>
      </c>
      <c r="Q45" s="27">
        <v>393.40712997395002</v>
      </c>
      <c r="R45" s="27">
        <v>370.71147535391998</v>
      </c>
      <c r="S45" s="27">
        <v>299.22336101938998</v>
      </c>
      <c r="T45" s="27">
        <v>252.79539185086</v>
      </c>
      <c r="U45" s="27">
        <v>174.12325764048001</v>
      </c>
      <c r="V45" s="27">
        <v>154.80476490269001</v>
      </c>
      <c r="W45" s="27">
        <v>149.50796566388999</v>
      </c>
      <c r="X45" s="27">
        <v>143.76124761008001</v>
      </c>
      <c r="Y45" s="27">
        <v>137.20808597103999</v>
      </c>
      <c r="Z45" s="27">
        <v>129.74429146372</v>
      </c>
      <c r="AA45" s="27">
        <v>123.22703324394</v>
      </c>
      <c r="AB45" s="27">
        <v>117.50837415943001</v>
      </c>
      <c r="AC45" s="27">
        <v>111.66767795484</v>
      </c>
      <c r="AD45" s="27">
        <v>106.75007718302</v>
      </c>
    </row>
    <row r="46" spans="1:30">
      <c r="A46" s="27" t="s">
        <v>233</v>
      </c>
      <c r="B46" s="27" t="s">
        <v>267</v>
      </c>
      <c r="C46" s="27" t="s">
        <v>198</v>
      </c>
      <c r="D46" s="27" t="s">
        <v>1163</v>
      </c>
      <c r="E46" s="27" t="s">
        <v>76</v>
      </c>
      <c r="F46" s="27" t="s">
        <v>200</v>
      </c>
      <c r="G46" s="27" t="s">
        <v>200</v>
      </c>
      <c r="H46" s="27">
        <v>254.98730000000009</v>
      </c>
      <c r="I46" s="27">
        <v>396.21726699999982</v>
      </c>
      <c r="J46" s="27">
        <v>521.62684771643796</v>
      </c>
      <c r="K46" s="27" t="s">
        <v>200</v>
      </c>
      <c r="L46" s="27" t="s">
        <v>200</v>
      </c>
      <c r="M46" s="27" t="s">
        <v>200</v>
      </c>
      <c r="N46" s="27" t="s">
        <v>200</v>
      </c>
      <c r="O46" s="27">
        <v>31.00865000000001</v>
      </c>
      <c r="P46" s="27">
        <v>34.373854999999992</v>
      </c>
      <c r="Q46" s="27">
        <v>37.922045000000011</v>
      </c>
      <c r="R46" s="27">
        <v>41.889224999999989</v>
      </c>
      <c r="S46" s="27">
        <v>46.13993499999998</v>
      </c>
      <c r="T46" s="27">
        <v>50.279449999999983</v>
      </c>
      <c r="U46" s="27">
        <v>54.023420000000058</v>
      </c>
      <c r="V46" s="27">
        <v>57.788240000000052</v>
      </c>
      <c r="W46" s="27">
        <v>61.969895000000051</v>
      </c>
      <c r="X46" s="27">
        <v>66.181849999999969</v>
      </c>
      <c r="Y46" s="27">
        <v>70.007979999999989</v>
      </c>
      <c r="Z46" s="27">
        <v>73.696149999999989</v>
      </c>
      <c r="AA46" s="27">
        <v>77.569050000000033</v>
      </c>
      <c r="AB46" s="27">
        <v>81.584860000000077</v>
      </c>
      <c r="AC46" s="27">
        <v>85.632385000000056</v>
      </c>
      <c r="AD46" s="27">
        <v>89.659149999999954</v>
      </c>
    </row>
    <row r="47" spans="1:30">
      <c r="A47" s="27" t="s">
        <v>196</v>
      </c>
      <c r="B47" s="27" t="s">
        <v>268</v>
      </c>
      <c r="C47" s="27" t="s">
        <v>198</v>
      </c>
      <c r="D47" s="27" t="s">
        <v>1163</v>
      </c>
      <c r="E47" s="27" t="s">
        <v>76</v>
      </c>
      <c r="F47" s="27" t="s">
        <v>200</v>
      </c>
      <c r="G47" s="27">
        <v>309.20569999999998</v>
      </c>
      <c r="H47" s="27">
        <v>422.50700000000001</v>
      </c>
      <c r="I47" s="27">
        <v>626.44449999999995</v>
      </c>
      <c r="J47" s="27">
        <v>830.38199999999995</v>
      </c>
      <c r="K47" s="27" t="s">
        <v>200</v>
      </c>
      <c r="L47" s="27" t="s">
        <v>200</v>
      </c>
      <c r="M47" s="27" t="s">
        <v>200</v>
      </c>
      <c r="N47" s="27" t="s">
        <v>200</v>
      </c>
      <c r="O47" s="27">
        <v>407.31689999999998</v>
      </c>
      <c r="P47" s="27">
        <v>166.60599999999999</v>
      </c>
      <c r="Q47" s="27">
        <v>115.9425</v>
      </c>
      <c r="R47" s="27">
        <v>65.278999999999996</v>
      </c>
      <c r="S47" s="27">
        <v>71.249200000000002</v>
      </c>
      <c r="T47" s="27">
        <v>77.219300000000004</v>
      </c>
      <c r="U47" s="27">
        <v>82.808499999999995</v>
      </c>
      <c r="V47" s="27">
        <v>88.397800000000004</v>
      </c>
      <c r="W47" s="27" t="s">
        <v>200</v>
      </c>
      <c r="X47" s="27">
        <v>100.36020000000001</v>
      </c>
      <c r="Y47" s="27" t="s">
        <v>200</v>
      </c>
      <c r="Z47" s="27">
        <v>108.7243</v>
      </c>
      <c r="AA47" s="27" t="s">
        <v>200</v>
      </c>
      <c r="AB47" s="27">
        <v>119.3064</v>
      </c>
      <c r="AC47" s="27" t="s">
        <v>200</v>
      </c>
      <c r="AD47" s="27">
        <v>131.5187</v>
      </c>
    </row>
    <row r="48" spans="1:30">
      <c r="A48" s="27" t="s">
        <v>222</v>
      </c>
      <c r="B48" s="27" t="s">
        <v>269</v>
      </c>
      <c r="C48" s="27" t="s">
        <v>198</v>
      </c>
      <c r="D48" s="27" t="s">
        <v>1163</v>
      </c>
      <c r="E48" s="27" t="s">
        <v>76</v>
      </c>
      <c r="F48" s="27" t="s">
        <v>200</v>
      </c>
      <c r="G48" s="27">
        <v>309.20569999999998</v>
      </c>
      <c r="H48" s="27">
        <v>422.50700000000001</v>
      </c>
      <c r="I48" s="27">
        <v>626.44449999999995</v>
      </c>
      <c r="J48" s="27">
        <v>830.38199999999995</v>
      </c>
      <c r="K48" s="27" t="s">
        <v>200</v>
      </c>
      <c r="L48" s="27" t="s">
        <v>200</v>
      </c>
      <c r="M48" s="27" t="s">
        <v>200</v>
      </c>
      <c r="N48" s="27" t="s">
        <v>200</v>
      </c>
      <c r="O48" s="27">
        <v>407.31689999999998</v>
      </c>
      <c r="P48" s="27">
        <v>166.60599999999999</v>
      </c>
      <c r="Q48" s="27">
        <v>115.9425</v>
      </c>
      <c r="R48" s="27">
        <v>65.278999999999996</v>
      </c>
      <c r="S48" s="27">
        <v>71.249200000000002</v>
      </c>
      <c r="T48" s="27">
        <v>77.219300000000004</v>
      </c>
      <c r="U48" s="27">
        <v>82.808499999999995</v>
      </c>
      <c r="V48" s="27">
        <v>88.397800000000004</v>
      </c>
      <c r="W48" s="27" t="s">
        <v>200</v>
      </c>
      <c r="X48" s="27">
        <v>100.36020000000001</v>
      </c>
      <c r="Y48" s="27" t="s">
        <v>200</v>
      </c>
      <c r="Z48" s="27">
        <v>108.7243</v>
      </c>
      <c r="AA48" s="27" t="s">
        <v>200</v>
      </c>
      <c r="AB48" s="27">
        <v>119.3064</v>
      </c>
      <c r="AC48" s="27" t="s">
        <v>200</v>
      </c>
      <c r="AD48" s="27">
        <v>131.5187</v>
      </c>
    </row>
    <row r="49" spans="1:30">
      <c r="A49" s="27" t="s">
        <v>231</v>
      </c>
      <c r="B49" s="27" t="s">
        <v>270</v>
      </c>
      <c r="C49" s="27" t="s">
        <v>198</v>
      </c>
      <c r="D49" s="27" t="s">
        <v>1163</v>
      </c>
      <c r="E49" s="27" t="s">
        <v>76</v>
      </c>
      <c r="F49" s="27" t="s">
        <v>200</v>
      </c>
      <c r="G49" s="27">
        <v>170.50070021459999</v>
      </c>
      <c r="H49" s="27">
        <v>250.06317848</v>
      </c>
      <c r="I49" s="27">
        <v>338.77585532476002</v>
      </c>
      <c r="J49" s="27">
        <v>421.90070878402003</v>
      </c>
      <c r="K49" s="27" t="s">
        <v>200</v>
      </c>
      <c r="L49" s="27" t="s">
        <v>200</v>
      </c>
      <c r="M49" s="27" t="s">
        <v>200</v>
      </c>
      <c r="N49" s="27" t="s">
        <v>200</v>
      </c>
      <c r="O49" s="27">
        <v>399.05005410109999</v>
      </c>
      <c r="P49" s="27">
        <v>438.9948340583</v>
      </c>
      <c r="Q49" s="27">
        <v>398.48610176130001</v>
      </c>
      <c r="R49" s="27">
        <v>378.46238265295</v>
      </c>
      <c r="S49" s="27">
        <v>301.92910221107002</v>
      </c>
      <c r="T49" s="27">
        <v>253.43017312529</v>
      </c>
      <c r="U49" s="27">
        <v>174.34472178237999</v>
      </c>
      <c r="V49" s="27">
        <v>154.94861489176</v>
      </c>
      <c r="W49" s="27">
        <v>149.63287636653999</v>
      </c>
      <c r="X49" s="27">
        <v>143.69650006563</v>
      </c>
      <c r="Y49" s="27">
        <v>137.16704792282999</v>
      </c>
      <c r="Z49" s="27">
        <v>129.71363680624</v>
      </c>
      <c r="AA49" s="27">
        <v>123.11752786416</v>
      </c>
      <c r="AB49" s="27">
        <v>117.34222824909</v>
      </c>
      <c r="AC49" s="27">
        <v>111.4559640544</v>
      </c>
      <c r="AD49" s="27">
        <v>106.41951176406999</v>
      </c>
    </row>
    <row r="50" spans="1:30">
      <c r="A50" s="27" t="s">
        <v>231</v>
      </c>
      <c r="B50" s="27" t="s">
        <v>271</v>
      </c>
      <c r="C50" s="27" t="s">
        <v>198</v>
      </c>
      <c r="D50" s="27" t="s">
        <v>1163</v>
      </c>
      <c r="E50" s="27" t="s">
        <v>76</v>
      </c>
      <c r="F50" s="27" t="s">
        <v>200</v>
      </c>
      <c r="G50" s="27">
        <v>170.50070021459999</v>
      </c>
      <c r="H50" s="27">
        <v>250.06317848</v>
      </c>
      <c r="I50" s="27">
        <v>338.77585532476002</v>
      </c>
      <c r="J50" s="27">
        <v>421.90070878402003</v>
      </c>
      <c r="K50" s="27" t="s">
        <v>200</v>
      </c>
      <c r="L50" s="27" t="s">
        <v>200</v>
      </c>
      <c r="M50" s="27" t="s">
        <v>200</v>
      </c>
      <c r="N50" s="27" t="s">
        <v>200</v>
      </c>
      <c r="O50" s="27">
        <v>370.44547059306001</v>
      </c>
      <c r="P50" s="27">
        <v>403.75055039850002</v>
      </c>
      <c r="Q50" s="27">
        <v>391.45177473525001</v>
      </c>
      <c r="R50" s="27">
        <v>373.60535563942</v>
      </c>
      <c r="S50" s="27">
        <v>301.43557097754001</v>
      </c>
      <c r="T50" s="27">
        <v>254.60232004288</v>
      </c>
      <c r="U50" s="27">
        <v>175.18380028631</v>
      </c>
      <c r="V50" s="27">
        <v>155.60904439691001</v>
      </c>
      <c r="W50" s="27">
        <v>149.97935694073999</v>
      </c>
      <c r="X50" s="27">
        <v>143.70183451196999</v>
      </c>
      <c r="Y50" s="27">
        <v>136.86396813830001</v>
      </c>
      <c r="Z50" s="27">
        <v>129.61015630812</v>
      </c>
      <c r="AA50" s="27">
        <v>123.31053816732999</v>
      </c>
      <c r="AB50" s="27">
        <v>117.75552496058999</v>
      </c>
      <c r="AC50" s="27">
        <v>111.96033067501</v>
      </c>
      <c r="AD50" s="27">
        <v>107.0993252344</v>
      </c>
    </row>
    <row r="51" spans="1:30">
      <c r="A51" s="27" t="s">
        <v>216</v>
      </c>
      <c r="B51" s="27" t="s">
        <v>272</v>
      </c>
      <c r="C51" s="27" t="s">
        <v>198</v>
      </c>
      <c r="D51" s="27" t="s">
        <v>1163</v>
      </c>
      <c r="E51" s="27" t="s">
        <v>76</v>
      </c>
      <c r="F51" s="27">
        <v>123.19383120274701</v>
      </c>
      <c r="G51" s="27">
        <v>199.84398209129699</v>
      </c>
      <c r="H51" s="27">
        <v>305.90798520174502</v>
      </c>
      <c r="I51" s="27">
        <v>501.74855070693201</v>
      </c>
      <c r="J51" s="27">
        <v>779.07525851906701</v>
      </c>
      <c r="K51" s="27">
        <v>780.78381743732405</v>
      </c>
      <c r="L51" s="27">
        <v>794.05505806582698</v>
      </c>
      <c r="M51" s="27">
        <v>809.39505860515396</v>
      </c>
      <c r="N51" s="27">
        <v>826.60233608775104</v>
      </c>
      <c r="O51" s="27">
        <v>452.686424578973</v>
      </c>
      <c r="P51" s="27">
        <v>466.41382104103297</v>
      </c>
      <c r="Q51" s="27">
        <v>470.74839554891298</v>
      </c>
      <c r="R51" s="27">
        <v>493.82023126288601</v>
      </c>
      <c r="S51" s="27">
        <v>517.35898341304403</v>
      </c>
      <c r="T51" s="27">
        <v>542.53800749208904</v>
      </c>
      <c r="U51" s="27">
        <v>564.37856825041695</v>
      </c>
      <c r="V51" s="27">
        <v>594.96178017438206</v>
      </c>
      <c r="W51" s="27" t="s">
        <v>200</v>
      </c>
      <c r="X51" s="27">
        <v>647.52888201865198</v>
      </c>
      <c r="Y51" s="27" t="s">
        <v>200</v>
      </c>
      <c r="Z51" s="27">
        <v>688.61840838339504</v>
      </c>
      <c r="AA51" s="27" t="s">
        <v>200</v>
      </c>
      <c r="AB51" s="27">
        <v>721.59617267607996</v>
      </c>
      <c r="AC51" s="27" t="s">
        <v>200</v>
      </c>
      <c r="AD51" s="27">
        <v>750.74810261669199</v>
      </c>
    </row>
    <row r="52" spans="1:30">
      <c r="A52" s="27" t="s">
        <v>196</v>
      </c>
      <c r="B52" s="27" t="s">
        <v>273</v>
      </c>
      <c r="C52" s="27" t="s">
        <v>198</v>
      </c>
      <c r="D52" s="27" t="s">
        <v>1163</v>
      </c>
      <c r="E52" s="27" t="s">
        <v>76</v>
      </c>
      <c r="F52" s="27" t="s">
        <v>200</v>
      </c>
      <c r="G52" s="27" t="s">
        <v>200</v>
      </c>
      <c r="H52" s="27">
        <v>422.50700000000001</v>
      </c>
      <c r="I52" s="27">
        <v>626.44449999999995</v>
      </c>
      <c r="J52" s="27">
        <v>830.38199999999995</v>
      </c>
      <c r="K52" s="27" t="s">
        <v>200</v>
      </c>
      <c r="L52" s="27" t="s">
        <v>200</v>
      </c>
      <c r="M52" s="27" t="s">
        <v>200</v>
      </c>
      <c r="N52" s="27" t="s">
        <v>200</v>
      </c>
      <c r="O52" s="27">
        <v>407.31689999999998</v>
      </c>
      <c r="P52" s="27">
        <v>166.60599999999999</v>
      </c>
      <c r="Q52" s="27">
        <v>115.9425</v>
      </c>
      <c r="R52" s="27">
        <v>65.278999999999996</v>
      </c>
      <c r="S52" s="27">
        <v>71.249200000000002</v>
      </c>
      <c r="T52" s="27">
        <v>77.219300000000004</v>
      </c>
      <c r="U52" s="27">
        <v>82.808499999999995</v>
      </c>
      <c r="V52" s="27">
        <v>88.397800000000004</v>
      </c>
      <c r="W52" s="27" t="s">
        <v>200</v>
      </c>
      <c r="X52" s="27">
        <v>100.36020000000001</v>
      </c>
      <c r="Y52" s="27" t="s">
        <v>200</v>
      </c>
      <c r="Z52" s="27">
        <v>108.7243</v>
      </c>
      <c r="AA52" s="27" t="s">
        <v>200</v>
      </c>
      <c r="AB52" s="27">
        <v>119.3064</v>
      </c>
      <c r="AC52" s="27" t="s">
        <v>200</v>
      </c>
      <c r="AD52" s="27">
        <v>131.5187</v>
      </c>
    </row>
    <row r="53" spans="1:30">
      <c r="A53" s="27" t="s">
        <v>226</v>
      </c>
      <c r="B53" s="27" t="s">
        <v>274</v>
      </c>
      <c r="C53" s="27" t="s">
        <v>198</v>
      </c>
      <c r="D53" s="27" t="s">
        <v>1163</v>
      </c>
      <c r="E53" s="27" t="s">
        <v>76</v>
      </c>
      <c r="F53" s="27" t="s">
        <v>200</v>
      </c>
      <c r="G53" s="27">
        <v>309.67059999999998</v>
      </c>
      <c r="H53" s="27">
        <v>423.649</v>
      </c>
      <c r="I53" s="27">
        <v>689.14390000000003</v>
      </c>
      <c r="J53" s="27">
        <v>652.76969999999994</v>
      </c>
      <c r="K53" s="27" t="s">
        <v>200</v>
      </c>
      <c r="L53" s="27" t="s">
        <v>200</v>
      </c>
      <c r="M53" s="27" t="s">
        <v>200</v>
      </c>
      <c r="N53" s="27" t="s">
        <v>200</v>
      </c>
      <c r="O53" s="27">
        <v>410.40960000000001</v>
      </c>
      <c r="P53" s="27">
        <v>168.04949999999999</v>
      </c>
      <c r="Q53" s="27">
        <v>117.02209999999999</v>
      </c>
      <c r="R53" s="27">
        <v>65.994699999999995</v>
      </c>
      <c r="S53" s="27">
        <v>72.194000000000003</v>
      </c>
      <c r="T53" s="27">
        <v>78.393199999999993</v>
      </c>
      <c r="U53" s="27">
        <v>84.328599999999994</v>
      </c>
      <c r="V53" s="27">
        <v>90.263900000000007</v>
      </c>
      <c r="W53" s="27" t="s">
        <v>200</v>
      </c>
      <c r="X53" s="27">
        <v>103.2317</v>
      </c>
      <c r="Y53" s="27" t="s">
        <v>200</v>
      </c>
      <c r="Z53" s="27">
        <v>112.9686</v>
      </c>
      <c r="AA53" s="27" t="s">
        <v>200</v>
      </c>
      <c r="AB53" s="27">
        <v>125.3053</v>
      </c>
      <c r="AC53" s="27" t="s">
        <v>200</v>
      </c>
      <c r="AD53" s="27">
        <v>139.6943</v>
      </c>
    </row>
    <row r="54" spans="1:30">
      <c r="A54" s="27" t="s">
        <v>196</v>
      </c>
      <c r="B54" s="27" t="s">
        <v>275</v>
      </c>
      <c r="C54" s="27" t="s">
        <v>198</v>
      </c>
      <c r="D54" s="27" t="s">
        <v>1163</v>
      </c>
      <c r="E54" s="27" t="s">
        <v>76</v>
      </c>
      <c r="F54" s="27" t="s">
        <v>200</v>
      </c>
      <c r="G54" s="27">
        <v>309.20569999999998</v>
      </c>
      <c r="H54" s="27">
        <v>422.50700000000001</v>
      </c>
      <c r="I54" s="27">
        <v>626.44449999999995</v>
      </c>
      <c r="J54" s="27">
        <v>830.38199999999995</v>
      </c>
      <c r="K54" s="27" t="s">
        <v>200</v>
      </c>
      <c r="L54" s="27" t="s">
        <v>200</v>
      </c>
      <c r="M54" s="27" t="s">
        <v>200</v>
      </c>
      <c r="N54" s="27" t="s">
        <v>200</v>
      </c>
      <c r="O54" s="27">
        <v>407.31689999999998</v>
      </c>
      <c r="P54" s="27">
        <v>166.60599999999999</v>
      </c>
      <c r="Q54" s="27">
        <v>115.9425</v>
      </c>
      <c r="R54" s="27">
        <v>65.278999999999996</v>
      </c>
      <c r="S54" s="27">
        <v>71.249200000000002</v>
      </c>
      <c r="T54" s="27">
        <v>77.219300000000004</v>
      </c>
      <c r="U54" s="27">
        <v>82.808499999999995</v>
      </c>
      <c r="V54" s="27">
        <v>88.397800000000004</v>
      </c>
      <c r="W54" s="27" t="s">
        <v>200</v>
      </c>
      <c r="X54" s="27">
        <v>100.36020000000001</v>
      </c>
      <c r="Y54" s="27" t="s">
        <v>200</v>
      </c>
      <c r="Z54" s="27">
        <v>108.7243</v>
      </c>
      <c r="AA54" s="27" t="s">
        <v>200</v>
      </c>
      <c r="AB54" s="27">
        <v>119.3064</v>
      </c>
      <c r="AC54" s="27" t="s">
        <v>200</v>
      </c>
      <c r="AD54" s="27">
        <v>131.5187</v>
      </c>
    </row>
    <row r="55" spans="1:30">
      <c r="A55" s="27" t="s">
        <v>261</v>
      </c>
      <c r="B55" s="27" t="s">
        <v>276</v>
      </c>
      <c r="C55" s="27" t="s">
        <v>198</v>
      </c>
      <c r="D55" s="27" t="s">
        <v>1163</v>
      </c>
      <c r="E55" s="27" t="s">
        <v>76</v>
      </c>
      <c r="F55" s="27" t="s">
        <v>200</v>
      </c>
      <c r="G55" s="27">
        <v>290.04389364624018</v>
      </c>
      <c r="H55" s="27">
        <v>396.79837426757808</v>
      </c>
      <c r="I55" s="27">
        <v>616.70618902587887</v>
      </c>
      <c r="J55" s="27">
        <v>927.09073095703116</v>
      </c>
      <c r="K55" s="27" t="s">
        <v>200</v>
      </c>
      <c r="L55" s="27" t="s">
        <v>200</v>
      </c>
      <c r="M55" s="27" t="s">
        <v>200</v>
      </c>
      <c r="N55" s="27" t="s">
        <v>200</v>
      </c>
      <c r="O55" s="27">
        <v>714.98471868896479</v>
      </c>
      <c r="P55" s="27">
        <v>210.64917919921871</v>
      </c>
      <c r="Q55" s="27">
        <v>54.83048963928222</v>
      </c>
      <c r="R55" s="27">
        <v>60.14272858428955</v>
      </c>
      <c r="S55" s="27">
        <v>65.543121139526363</v>
      </c>
      <c r="T55" s="27">
        <v>71.019588180541987</v>
      </c>
      <c r="U55" s="27">
        <v>76.176601043701169</v>
      </c>
      <c r="V55" s="27">
        <v>81.711005218505861</v>
      </c>
      <c r="W55" s="27">
        <v>87.575401473999023</v>
      </c>
      <c r="X55" s="27">
        <v>93.967482147216785</v>
      </c>
      <c r="Y55" s="27">
        <v>100.8447329864502</v>
      </c>
      <c r="Z55" s="27">
        <v>108.37387257385249</v>
      </c>
      <c r="AA55" s="27">
        <v>115.63151184082029</v>
      </c>
      <c r="AB55" s="27">
        <v>121.5713372955322</v>
      </c>
      <c r="AC55" s="27">
        <v>126.12343400573729</v>
      </c>
      <c r="AD55" s="27">
        <v>130.5032978668213</v>
      </c>
    </row>
    <row r="56" spans="1:30">
      <c r="A56" s="27" t="s">
        <v>203</v>
      </c>
      <c r="B56" s="27" t="s">
        <v>277</v>
      </c>
      <c r="C56" s="27" t="s">
        <v>198</v>
      </c>
      <c r="D56" s="27" t="s">
        <v>1163</v>
      </c>
      <c r="E56" s="27" t="s">
        <v>76</v>
      </c>
      <c r="F56" s="27" t="s">
        <v>200</v>
      </c>
      <c r="G56" s="27">
        <v>309.20569999999998</v>
      </c>
      <c r="H56" s="27">
        <v>422.50700000000001</v>
      </c>
      <c r="I56" s="27">
        <v>626.44449999999995</v>
      </c>
      <c r="J56" s="27">
        <v>830.38199999999995</v>
      </c>
      <c r="K56" s="27" t="s">
        <v>200</v>
      </c>
      <c r="L56" s="27" t="s">
        <v>200</v>
      </c>
      <c r="M56" s="27" t="s">
        <v>200</v>
      </c>
      <c r="N56" s="27" t="s">
        <v>200</v>
      </c>
      <c r="O56" s="27">
        <v>407.31689999999998</v>
      </c>
      <c r="P56" s="27">
        <v>166.60599999999999</v>
      </c>
      <c r="Q56" s="27">
        <v>115.9425</v>
      </c>
      <c r="R56" s="27">
        <v>65.278999999999996</v>
      </c>
      <c r="S56" s="27">
        <v>71.249200000000002</v>
      </c>
      <c r="T56" s="27">
        <v>77.219300000000004</v>
      </c>
      <c r="U56" s="27">
        <v>82.808499999999995</v>
      </c>
      <c r="V56" s="27">
        <v>88.397800000000004</v>
      </c>
      <c r="W56" s="27" t="s">
        <v>200</v>
      </c>
      <c r="X56" s="27">
        <v>100.36020000000001</v>
      </c>
      <c r="Y56" s="27" t="s">
        <v>200</v>
      </c>
      <c r="Z56" s="27">
        <v>108.7243</v>
      </c>
      <c r="AA56" s="27" t="s">
        <v>200</v>
      </c>
      <c r="AB56" s="27">
        <v>119.3064</v>
      </c>
      <c r="AC56" s="27" t="s">
        <v>200</v>
      </c>
      <c r="AD56" s="27">
        <v>131.5187</v>
      </c>
    </row>
    <row r="57" spans="1:30">
      <c r="A57" s="27" t="s">
        <v>203</v>
      </c>
      <c r="B57" s="27" t="s">
        <v>278</v>
      </c>
      <c r="C57" s="27" t="s">
        <v>198</v>
      </c>
      <c r="D57" s="27" t="s">
        <v>1163</v>
      </c>
      <c r="E57" s="27" t="s">
        <v>76</v>
      </c>
      <c r="F57" s="27" t="s">
        <v>200</v>
      </c>
      <c r="G57" s="27">
        <v>309.20569999999998</v>
      </c>
      <c r="H57" s="27">
        <v>422.50700000000001</v>
      </c>
      <c r="I57" s="27">
        <v>626.44449999999995</v>
      </c>
      <c r="J57" s="27">
        <v>830.38199999999995</v>
      </c>
      <c r="K57" s="27" t="s">
        <v>200</v>
      </c>
      <c r="L57" s="27" t="s">
        <v>200</v>
      </c>
      <c r="M57" s="27" t="s">
        <v>200</v>
      </c>
      <c r="N57" s="27" t="s">
        <v>200</v>
      </c>
      <c r="O57" s="27">
        <v>437.15710000000001</v>
      </c>
      <c r="P57" s="27">
        <v>212.8382</v>
      </c>
      <c r="Q57" s="27">
        <v>148.49279999999999</v>
      </c>
      <c r="R57" s="27">
        <v>84.147300000000001</v>
      </c>
      <c r="S57" s="27">
        <v>94.374099999999999</v>
      </c>
      <c r="T57" s="27">
        <v>104.60080000000001</v>
      </c>
      <c r="U57" s="27">
        <v>118.0065</v>
      </c>
      <c r="V57" s="27">
        <v>131.41229999999999</v>
      </c>
      <c r="W57" s="27" t="s">
        <v>200</v>
      </c>
      <c r="X57" s="27">
        <v>155.7234</v>
      </c>
      <c r="Y57" s="27" t="s">
        <v>200</v>
      </c>
      <c r="Z57" s="27">
        <v>154.0317</v>
      </c>
      <c r="AA57" s="27" t="s">
        <v>200</v>
      </c>
      <c r="AB57" s="27">
        <v>140.24369999999999</v>
      </c>
      <c r="AC57" s="27" t="s">
        <v>200</v>
      </c>
      <c r="AD57" s="27">
        <v>129.86099999999999</v>
      </c>
    </row>
    <row r="58" spans="1:30">
      <c r="A58" s="27" t="s">
        <v>196</v>
      </c>
      <c r="B58" s="27" t="s">
        <v>279</v>
      </c>
      <c r="C58" s="27" t="s">
        <v>198</v>
      </c>
      <c r="D58" s="27" t="s">
        <v>1163</v>
      </c>
      <c r="E58" s="27" t="s">
        <v>76</v>
      </c>
      <c r="F58" s="27" t="s">
        <v>200</v>
      </c>
      <c r="G58" s="27">
        <v>309.20569999999998</v>
      </c>
      <c r="H58" s="27">
        <v>422.50700000000001</v>
      </c>
      <c r="I58" s="27">
        <v>626.44449999999995</v>
      </c>
      <c r="J58" s="27">
        <v>830.38199999999995</v>
      </c>
      <c r="K58" s="27" t="s">
        <v>200</v>
      </c>
      <c r="L58" s="27" t="s">
        <v>200</v>
      </c>
      <c r="M58" s="27" t="s">
        <v>200</v>
      </c>
      <c r="N58" s="27" t="s">
        <v>200</v>
      </c>
      <c r="O58" s="27">
        <v>745.31280000000004</v>
      </c>
      <c r="P58" s="27">
        <v>659.34069999999997</v>
      </c>
      <c r="Q58" s="27">
        <v>549.74789999999996</v>
      </c>
      <c r="R58" s="27">
        <v>440.15519999999998</v>
      </c>
      <c r="S58" s="27">
        <v>382.85399999999998</v>
      </c>
      <c r="T58" s="27">
        <v>325.55290000000002</v>
      </c>
      <c r="U58" s="27">
        <v>209.77189999999999</v>
      </c>
      <c r="V58" s="27">
        <v>93.991</v>
      </c>
      <c r="W58" s="27" t="s">
        <v>200</v>
      </c>
      <c r="X58" s="27">
        <v>103.1664</v>
      </c>
      <c r="Y58" s="27" t="s">
        <v>200</v>
      </c>
      <c r="Z58" s="27">
        <v>112.1283</v>
      </c>
      <c r="AA58" s="27" t="s">
        <v>200</v>
      </c>
      <c r="AB58" s="27">
        <v>328.62169999999998</v>
      </c>
      <c r="AC58" s="27" t="s">
        <v>200</v>
      </c>
      <c r="AD58" s="27">
        <v>483.99220000000003</v>
      </c>
    </row>
    <row r="59" spans="1:30">
      <c r="A59" s="27" t="s">
        <v>257</v>
      </c>
      <c r="B59" s="27" t="s">
        <v>280</v>
      </c>
      <c r="C59" s="27" t="s">
        <v>198</v>
      </c>
      <c r="D59" s="27" t="s">
        <v>1163</v>
      </c>
      <c r="E59" s="27" t="s">
        <v>76</v>
      </c>
      <c r="F59" s="27" t="s">
        <v>200</v>
      </c>
      <c r="G59" s="27" t="s">
        <v>200</v>
      </c>
      <c r="H59" s="27">
        <v>406.45350000000002</v>
      </c>
      <c r="I59" s="27">
        <v>484.9153</v>
      </c>
      <c r="J59" s="27">
        <v>563.37699999999995</v>
      </c>
      <c r="K59" s="27" t="s">
        <v>200</v>
      </c>
      <c r="L59" s="27" t="s">
        <v>200</v>
      </c>
      <c r="M59" s="27" t="s">
        <v>200</v>
      </c>
      <c r="N59" s="27" t="s">
        <v>200</v>
      </c>
      <c r="O59" s="27">
        <v>325.07049999999998</v>
      </c>
      <c r="P59" s="27">
        <v>91.928299999999993</v>
      </c>
      <c r="Q59" s="27">
        <v>62.921100000000003</v>
      </c>
      <c r="R59" s="27">
        <v>34.462000000000003</v>
      </c>
      <c r="S59" s="27">
        <v>37.016399999999997</v>
      </c>
      <c r="T59" s="27">
        <v>39.4377</v>
      </c>
      <c r="U59" s="27">
        <v>41.933</v>
      </c>
      <c r="V59" s="27">
        <v>44.408999999999999</v>
      </c>
      <c r="W59" s="27">
        <v>47.586399999999998</v>
      </c>
      <c r="X59" s="27">
        <v>50.753500000000003</v>
      </c>
      <c r="Y59" s="27">
        <v>53.871000000000002</v>
      </c>
      <c r="Z59" s="27">
        <v>57.011899999999997</v>
      </c>
      <c r="AA59" s="27">
        <v>60.686100000000003</v>
      </c>
      <c r="AB59" s="27">
        <v>64.379300000000001</v>
      </c>
      <c r="AC59" s="27">
        <v>67.884699999999995</v>
      </c>
      <c r="AD59" s="27">
        <v>71.394000000000005</v>
      </c>
    </row>
    <row r="60" spans="1:30">
      <c r="A60" s="27" t="s">
        <v>211</v>
      </c>
      <c r="B60" s="27" t="s">
        <v>240</v>
      </c>
      <c r="C60" s="27" t="s">
        <v>198</v>
      </c>
      <c r="D60" s="27" t="s">
        <v>1163</v>
      </c>
      <c r="E60" s="27" t="s">
        <v>76</v>
      </c>
      <c r="F60" s="27" t="s">
        <v>200</v>
      </c>
      <c r="G60" s="27">
        <v>218.2638101</v>
      </c>
      <c r="H60" s="27">
        <v>330.82552020000003</v>
      </c>
      <c r="I60" s="27" t="s">
        <v>200</v>
      </c>
      <c r="J60" s="27">
        <v>859.92582860000005</v>
      </c>
      <c r="K60" s="27" t="s">
        <v>200</v>
      </c>
      <c r="L60" s="27" t="s">
        <v>200</v>
      </c>
      <c r="M60" s="27" t="s">
        <v>200</v>
      </c>
      <c r="N60" s="27" t="s">
        <v>200</v>
      </c>
      <c r="O60" s="27" t="s">
        <v>200</v>
      </c>
      <c r="P60" s="27">
        <v>530.74343539999995</v>
      </c>
      <c r="Q60" s="27" t="s">
        <v>200</v>
      </c>
      <c r="R60" s="27">
        <v>523.53157729999998</v>
      </c>
      <c r="S60" s="27" t="s">
        <v>200</v>
      </c>
      <c r="T60" s="27">
        <v>575.81522940000002</v>
      </c>
      <c r="U60" s="27" t="s">
        <v>200</v>
      </c>
      <c r="V60" s="27">
        <v>605.18666270000006</v>
      </c>
      <c r="W60" s="27" t="s">
        <v>200</v>
      </c>
      <c r="X60" s="27">
        <v>614.993516</v>
      </c>
      <c r="Y60" s="27" t="s">
        <v>200</v>
      </c>
      <c r="Z60" s="27">
        <v>610.99164040000005</v>
      </c>
      <c r="AA60" s="27" t="s">
        <v>200</v>
      </c>
      <c r="AB60" s="27">
        <v>602.85938779999981</v>
      </c>
      <c r="AC60" s="27" t="s">
        <v>200</v>
      </c>
      <c r="AD60" s="27">
        <v>605.36447499999997</v>
      </c>
    </row>
    <row r="61" spans="1:30">
      <c r="A61" s="27" t="s">
        <v>203</v>
      </c>
      <c r="B61" s="27" t="s">
        <v>281</v>
      </c>
      <c r="C61" s="27" t="s">
        <v>198</v>
      </c>
      <c r="D61" s="27" t="s">
        <v>1163</v>
      </c>
      <c r="E61" s="27" t="s">
        <v>76</v>
      </c>
      <c r="F61" s="27" t="s">
        <v>200</v>
      </c>
      <c r="G61" s="27">
        <v>309.20569999999998</v>
      </c>
      <c r="H61" s="27">
        <v>422.50700000000001</v>
      </c>
      <c r="I61" s="27">
        <v>626.44449999999995</v>
      </c>
      <c r="J61" s="27">
        <v>830.38199999999995</v>
      </c>
      <c r="K61" s="27" t="s">
        <v>200</v>
      </c>
      <c r="L61" s="27" t="s">
        <v>200</v>
      </c>
      <c r="M61" s="27" t="s">
        <v>200</v>
      </c>
      <c r="N61" s="27" t="s">
        <v>200</v>
      </c>
      <c r="O61" s="27">
        <v>407.31689999999998</v>
      </c>
      <c r="P61" s="27">
        <v>166.60599999999999</v>
      </c>
      <c r="Q61" s="27">
        <v>115.9425</v>
      </c>
      <c r="R61" s="27">
        <v>65.278999999999996</v>
      </c>
      <c r="S61" s="27">
        <v>71.249200000000002</v>
      </c>
      <c r="T61" s="27">
        <v>77.219300000000004</v>
      </c>
      <c r="U61" s="27">
        <v>82.808499999999995</v>
      </c>
      <c r="V61" s="27">
        <v>88.397800000000004</v>
      </c>
      <c r="W61" s="27" t="s">
        <v>200</v>
      </c>
      <c r="X61" s="27">
        <v>100.36020000000001</v>
      </c>
      <c r="Y61" s="27" t="s">
        <v>200</v>
      </c>
      <c r="Z61" s="27">
        <v>108.7243</v>
      </c>
      <c r="AA61" s="27" t="s">
        <v>200</v>
      </c>
      <c r="AB61" s="27">
        <v>119.3064</v>
      </c>
      <c r="AC61" s="27" t="s">
        <v>200</v>
      </c>
      <c r="AD61" s="27">
        <v>131.5187</v>
      </c>
    </row>
    <row r="62" spans="1:30">
      <c r="A62" s="27" t="s">
        <v>282</v>
      </c>
      <c r="B62" s="27" t="s">
        <v>283</v>
      </c>
      <c r="C62" s="27" t="s">
        <v>198</v>
      </c>
      <c r="D62" s="27" t="s">
        <v>1163</v>
      </c>
      <c r="E62" s="27" t="s">
        <v>76</v>
      </c>
      <c r="F62" s="27" t="s">
        <v>200</v>
      </c>
      <c r="G62" s="27" t="s">
        <v>200</v>
      </c>
      <c r="H62" s="27">
        <v>305.90798520174548</v>
      </c>
      <c r="I62" s="27">
        <v>501.76924637765609</v>
      </c>
      <c r="J62" s="27">
        <v>777.71687808053571</v>
      </c>
      <c r="K62" s="27" t="s">
        <v>200</v>
      </c>
      <c r="L62" s="27" t="s">
        <v>200</v>
      </c>
      <c r="M62" s="27" t="s">
        <v>200</v>
      </c>
      <c r="N62" s="27" t="s">
        <v>200</v>
      </c>
      <c r="O62" s="27" t="s">
        <v>200</v>
      </c>
      <c r="P62" s="27">
        <v>356.05440442093811</v>
      </c>
      <c r="Q62" s="27" t="s">
        <v>200</v>
      </c>
      <c r="R62" s="27">
        <v>391.73532617170491</v>
      </c>
      <c r="S62" s="27" t="s">
        <v>200</v>
      </c>
      <c r="T62" s="27">
        <v>435.49170882141277</v>
      </c>
      <c r="U62" s="27" t="s">
        <v>200</v>
      </c>
      <c r="V62" s="27">
        <v>428.14207067864999</v>
      </c>
      <c r="W62" s="27" t="s">
        <v>200</v>
      </c>
      <c r="X62" s="27">
        <v>415.28245004454863</v>
      </c>
      <c r="Y62" s="27" t="s">
        <v>200</v>
      </c>
      <c r="Z62" s="27">
        <v>405.42801209163667</v>
      </c>
      <c r="AA62" s="27" t="s">
        <v>200</v>
      </c>
      <c r="AB62" s="27">
        <v>394.79434790887808</v>
      </c>
      <c r="AC62" s="27" t="s">
        <v>200</v>
      </c>
      <c r="AD62" s="27">
        <v>383.71031669550382</v>
      </c>
    </row>
    <row r="63" spans="1:30">
      <c r="A63" s="27" t="s">
        <v>203</v>
      </c>
      <c r="B63" s="27" t="s">
        <v>284</v>
      </c>
      <c r="C63" s="27" t="s">
        <v>198</v>
      </c>
      <c r="D63" s="27" t="s">
        <v>1163</v>
      </c>
      <c r="E63" s="27" t="s">
        <v>76</v>
      </c>
      <c r="F63" s="27" t="s">
        <v>200</v>
      </c>
      <c r="G63" s="27">
        <v>309.20569999999998</v>
      </c>
      <c r="H63" s="27">
        <v>422.50700000000001</v>
      </c>
      <c r="I63" s="27">
        <v>626.44449999999995</v>
      </c>
      <c r="J63" s="27">
        <v>830.38199999999995</v>
      </c>
      <c r="K63" s="27" t="s">
        <v>200</v>
      </c>
      <c r="L63" s="27" t="s">
        <v>200</v>
      </c>
      <c r="M63" s="27" t="s">
        <v>200</v>
      </c>
      <c r="N63" s="27" t="s">
        <v>200</v>
      </c>
      <c r="O63" s="27">
        <v>745.31280000000004</v>
      </c>
      <c r="P63" s="27">
        <v>659.34069999999997</v>
      </c>
      <c r="Q63" s="27">
        <v>549.74789999999996</v>
      </c>
      <c r="R63" s="27">
        <v>440.15519999999998</v>
      </c>
      <c r="S63" s="27">
        <v>382.85399999999998</v>
      </c>
      <c r="T63" s="27">
        <v>325.55290000000002</v>
      </c>
      <c r="U63" s="27">
        <v>209.77189999999999</v>
      </c>
      <c r="V63" s="27">
        <v>93.991</v>
      </c>
      <c r="W63" s="27" t="s">
        <v>200</v>
      </c>
      <c r="X63" s="27">
        <v>103.1664</v>
      </c>
      <c r="Y63" s="27" t="s">
        <v>200</v>
      </c>
      <c r="Z63" s="27">
        <v>112.1283</v>
      </c>
      <c r="AA63" s="27" t="s">
        <v>200</v>
      </c>
      <c r="AB63" s="27">
        <v>328.62169999999998</v>
      </c>
      <c r="AC63" s="27" t="s">
        <v>200</v>
      </c>
      <c r="AD63" s="27">
        <v>483.99220000000003</v>
      </c>
    </row>
    <row r="64" spans="1:30">
      <c r="A64" s="27" t="s">
        <v>203</v>
      </c>
      <c r="B64" s="27" t="s">
        <v>285</v>
      </c>
      <c r="C64" s="27" t="s">
        <v>198</v>
      </c>
      <c r="D64" s="27" t="s">
        <v>1163</v>
      </c>
      <c r="E64" s="27" t="s">
        <v>76</v>
      </c>
      <c r="F64" s="27" t="s">
        <v>200</v>
      </c>
      <c r="G64" s="27">
        <v>309.20569999999998</v>
      </c>
      <c r="H64" s="27">
        <v>422.50700000000001</v>
      </c>
      <c r="I64" s="27">
        <v>626.44449999999995</v>
      </c>
      <c r="J64" s="27">
        <v>830.38199999999995</v>
      </c>
      <c r="K64" s="27" t="s">
        <v>200</v>
      </c>
      <c r="L64" s="27" t="s">
        <v>200</v>
      </c>
      <c r="M64" s="27" t="s">
        <v>200</v>
      </c>
      <c r="N64" s="27" t="s">
        <v>200</v>
      </c>
      <c r="O64" s="27">
        <v>745.31280000000004</v>
      </c>
      <c r="P64" s="27">
        <v>659.34069999999997</v>
      </c>
      <c r="Q64" s="27">
        <v>549.74789999999996</v>
      </c>
      <c r="R64" s="27">
        <v>440.15519999999998</v>
      </c>
      <c r="S64" s="27">
        <v>382.85399999999998</v>
      </c>
      <c r="T64" s="27">
        <v>325.55290000000002</v>
      </c>
      <c r="U64" s="27">
        <v>209.77189999999999</v>
      </c>
      <c r="V64" s="27">
        <v>93.991</v>
      </c>
      <c r="W64" s="27" t="s">
        <v>200</v>
      </c>
      <c r="X64" s="27">
        <v>103.1664</v>
      </c>
      <c r="Y64" s="27" t="s">
        <v>200</v>
      </c>
      <c r="Z64" s="27">
        <v>112.1283</v>
      </c>
      <c r="AA64" s="27" t="s">
        <v>200</v>
      </c>
      <c r="AB64" s="27">
        <v>328.62169999999998</v>
      </c>
      <c r="AC64" s="27" t="s">
        <v>200</v>
      </c>
      <c r="AD64" s="27">
        <v>483.99220000000003</v>
      </c>
    </row>
    <row r="65" spans="1:30">
      <c r="A65" s="27" t="s">
        <v>196</v>
      </c>
      <c r="B65" s="27" t="s">
        <v>286</v>
      </c>
      <c r="C65" s="27" t="s">
        <v>198</v>
      </c>
      <c r="D65" s="27" t="s">
        <v>1163</v>
      </c>
      <c r="E65" s="27" t="s">
        <v>76</v>
      </c>
      <c r="F65" s="27" t="s">
        <v>200</v>
      </c>
      <c r="G65" s="27">
        <v>309.20569999999998</v>
      </c>
      <c r="H65" s="27">
        <v>422.50700000000001</v>
      </c>
      <c r="I65" s="27">
        <v>626.44449999999995</v>
      </c>
      <c r="J65" s="27">
        <v>830.38199999999995</v>
      </c>
      <c r="K65" s="27" t="s">
        <v>200</v>
      </c>
      <c r="L65" s="27" t="s">
        <v>200</v>
      </c>
      <c r="M65" s="27" t="s">
        <v>200</v>
      </c>
      <c r="N65" s="27" t="s">
        <v>200</v>
      </c>
      <c r="O65" s="27">
        <v>407.31689999999998</v>
      </c>
      <c r="P65" s="27">
        <v>166.60599999999999</v>
      </c>
      <c r="Q65" s="27">
        <v>115.9425</v>
      </c>
      <c r="R65" s="27">
        <v>65.278999999999996</v>
      </c>
      <c r="S65" s="27">
        <v>71.249200000000002</v>
      </c>
      <c r="T65" s="27">
        <v>77.219300000000004</v>
      </c>
      <c r="U65" s="27">
        <v>82.808499999999995</v>
      </c>
      <c r="V65" s="27">
        <v>88.397800000000004</v>
      </c>
      <c r="W65" s="27" t="s">
        <v>200</v>
      </c>
      <c r="X65" s="27">
        <v>100.36020000000001</v>
      </c>
      <c r="Y65" s="27" t="s">
        <v>200</v>
      </c>
      <c r="Z65" s="27">
        <v>108.7243</v>
      </c>
      <c r="AA65" s="27" t="s">
        <v>200</v>
      </c>
      <c r="AB65" s="27">
        <v>119.3064</v>
      </c>
      <c r="AC65" s="27" t="s">
        <v>200</v>
      </c>
      <c r="AD65" s="27">
        <v>131.5187</v>
      </c>
    </row>
    <row r="66" spans="1:30">
      <c r="A66" s="27" t="s">
        <v>207</v>
      </c>
      <c r="B66" s="27" t="s">
        <v>202</v>
      </c>
      <c r="C66" s="27" t="s">
        <v>198</v>
      </c>
      <c r="D66" s="27" t="s">
        <v>1163</v>
      </c>
      <c r="E66" s="27" t="s">
        <v>76</v>
      </c>
      <c r="F66" s="27">
        <v>123.19383120274659</v>
      </c>
      <c r="G66" s="27">
        <v>199.84398209129711</v>
      </c>
      <c r="H66" s="27">
        <v>305.90798520174548</v>
      </c>
      <c r="I66" s="27">
        <v>501.74855070693178</v>
      </c>
      <c r="J66" s="27">
        <v>814.51745902979394</v>
      </c>
      <c r="K66" s="27" t="s">
        <v>200</v>
      </c>
      <c r="L66" s="27" t="s">
        <v>200</v>
      </c>
      <c r="M66" s="27" t="s">
        <v>200</v>
      </c>
      <c r="N66" s="27" t="s">
        <v>200</v>
      </c>
      <c r="O66" s="27">
        <v>478.37294260382743</v>
      </c>
      <c r="P66" s="27">
        <v>490.45389329047242</v>
      </c>
      <c r="Q66" s="27">
        <v>503.08710152761279</v>
      </c>
      <c r="R66" s="27">
        <v>535.0477033924916</v>
      </c>
      <c r="S66" s="27">
        <v>560.01303249487319</v>
      </c>
      <c r="T66" s="27">
        <v>586.82175296001913</v>
      </c>
      <c r="U66" s="27">
        <v>602.99525109840238</v>
      </c>
      <c r="V66" s="27">
        <v>619.85343878815183</v>
      </c>
      <c r="W66" s="27" t="s">
        <v>200</v>
      </c>
      <c r="X66" s="27">
        <v>718.16553854136293</v>
      </c>
      <c r="Y66" s="27" t="s">
        <v>200</v>
      </c>
      <c r="Z66" s="27">
        <v>789.0014859622147</v>
      </c>
      <c r="AA66" s="27" t="s">
        <v>200</v>
      </c>
      <c r="AB66" s="27">
        <v>831.00990143448439</v>
      </c>
      <c r="AC66" s="27" t="s">
        <v>200</v>
      </c>
      <c r="AD66" s="27">
        <v>849.90043037163855</v>
      </c>
    </row>
    <row r="67" spans="1:30">
      <c r="A67" s="27" t="s">
        <v>216</v>
      </c>
      <c r="B67" s="27" t="s">
        <v>287</v>
      </c>
      <c r="C67" s="27" t="s">
        <v>198</v>
      </c>
      <c r="D67" s="27" t="s">
        <v>1163</v>
      </c>
      <c r="E67" s="27" t="s">
        <v>76</v>
      </c>
      <c r="F67" s="27">
        <v>123.19383120274701</v>
      </c>
      <c r="G67" s="27">
        <v>199.84398209129699</v>
      </c>
      <c r="H67" s="27">
        <v>305.90798520174502</v>
      </c>
      <c r="I67" s="27">
        <v>501.74855070693201</v>
      </c>
      <c r="J67" s="27">
        <v>779.07432068165997</v>
      </c>
      <c r="K67" s="27">
        <v>826.15931938778601</v>
      </c>
      <c r="L67" s="27">
        <v>833.30024002926802</v>
      </c>
      <c r="M67" s="27">
        <v>844.93197612161805</v>
      </c>
      <c r="N67" s="27">
        <v>859.56336266535504</v>
      </c>
      <c r="O67" s="27">
        <v>487.10492823324898</v>
      </c>
      <c r="P67" s="27">
        <v>501.77395468179202</v>
      </c>
      <c r="Q67" s="27">
        <v>508.31284152056003</v>
      </c>
      <c r="R67" s="27">
        <v>540.18183608896095</v>
      </c>
      <c r="S67" s="27">
        <v>567.98385105409398</v>
      </c>
      <c r="T67" s="27">
        <v>597.18288255873802</v>
      </c>
      <c r="U67" s="27">
        <v>624.28767443872596</v>
      </c>
      <c r="V67" s="27">
        <v>660.85166427731303</v>
      </c>
      <c r="W67" s="27" t="s">
        <v>200</v>
      </c>
      <c r="X67" s="27">
        <v>722.51408350019994</v>
      </c>
      <c r="Y67" s="27" t="s">
        <v>200</v>
      </c>
      <c r="Z67" s="27">
        <v>771.68839633172104</v>
      </c>
      <c r="AA67" s="27" t="s">
        <v>200</v>
      </c>
      <c r="AB67" s="27">
        <v>812.432283589397</v>
      </c>
      <c r="AC67" s="27" t="s">
        <v>200</v>
      </c>
      <c r="AD67" s="27">
        <v>848.34011426529503</v>
      </c>
    </row>
    <row r="68" spans="1:30">
      <c r="A68" s="27" t="s">
        <v>207</v>
      </c>
      <c r="B68" s="27" t="s">
        <v>273</v>
      </c>
      <c r="C68" s="27" t="s">
        <v>198</v>
      </c>
      <c r="D68" s="27" t="s">
        <v>1163</v>
      </c>
      <c r="E68" s="27" t="s">
        <v>76</v>
      </c>
      <c r="F68" s="27" t="s">
        <v>200</v>
      </c>
      <c r="G68" s="27" t="s">
        <v>200</v>
      </c>
      <c r="H68" s="27">
        <v>305.90798519999998</v>
      </c>
      <c r="I68" s="27">
        <v>501.74855070000001</v>
      </c>
      <c r="J68" s="27">
        <v>814.51745900000003</v>
      </c>
      <c r="K68" s="27" t="s">
        <v>200</v>
      </c>
      <c r="L68" s="27" t="s">
        <v>200</v>
      </c>
      <c r="M68" s="27" t="s">
        <v>200</v>
      </c>
      <c r="N68" s="27" t="s">
        <v>200</v>
      </c>
      <c r="O68" s="27">
        <v>457.24739249999999</v>
      </c>
      <c r="P68" s="27">
        <v>458.37246879999998</v>
      </c>
      <c r="Q68" s="27">
        <v>466.27714220000001</v>
      </c>
      <c r="R68" s="27">
        <v>491.98393170000003</v>
      </c>
      <c r="S68" s="27">
        <v>512.57608579999999</v>
      </c>
      <c r="T68" s="27">
        <v>533.80105609999998</v>
      </c>
      <c r="U68" s="27">
        <v>546.74237740000001</v>
      </c>
      <c r="V68" s="27">
        <v>564.13978480000003</v>
      </c>
      <c r="W68" s="27" t="s">
        <v>200</v>
      </c>
      <c r="X68" s="27">
        <v>657.20180789999995</v>
      </c>
      <c r="Y68" s="27" t="s">
        <v>200</v>
      </c>
      <c r="Z68" s="27">
        <v>724.91308189999995</v>
      </c>
      <c r="AA68" s="27" t="s">
        <v>200</v>
      </c>
      <c r="AB68" s="27">
        <v>762.58734879999997</v>
      </c>
      <c r="AC68" s="27" t="s">
        <v>200</v>
      </c>
      <c r="AD68" s="27">
        <v>776.95717309999998</v>
      </c>
    </row>
    <row r="69" spans="1:30">
      <c r="A69" s="27" t="s">
        <v>211</v>
      </c>
      <c r="B69" s="27" t="s">
        <v>256</v>
      </c>
      <c r="C69" s="27" t="s">
        <v>198</v>
      </c>
      <c r="D69" s="27" t="s">
        <v>1163</v>
      </c>
      <c r="E69" s="27" t="s">
        <v>76</v>
      </c>
      <c r="F69" s="27" t="s">
        <v>200</v>
      </c>
      <c r="G69" s="27">
        <v>218.26381000000001</v>
      </c>
      <c r="H69" s="27">
        <v>330.82553350000001</v>
      </c>
      <c r="I69" s="27" t="s">
        <v>200</v>
      </c>
      <c r="J69" s="27">
        <v>852.75446189999968</v>
      </c>
      <c r="K69" s="27" t="s">
        <v>200</v>
      </c>
      <c r="L69" s="27" t="s">
        <v>200</v>
      </c>
      <c r="M69" s="27" t="s">
        <v>200</v>
      </c>
      <c r="N69" s="27" t="s">
        <v>200</v>
      </c>
      <c r="O69" s="27" t="s">
        <v>200</v>
      </c>
      <c r="P69" s="27">
        <v>430.09221400000001</v>
      </c>
      <c r="Q69" s="27" t="s">
        <v>200</v>
      </c>
      <c r="R69" s="27">
        <v>482.53793769999999</v>
      </c>
      <c r="S69" s="27" t="s">
        <v>200</v>
      </c>
      <c r="T69" s="27">
        <v>539.56912120000004</v>
      </c>
      <c r="U69" s="27" t="s">
        <v>200</v>
      </c>
      <c r="V69" s="27">
        <v>570.81336110000018</v>
      </c>
      <c r="W69" s="27" t="s">
        <v>200</v>
      </c>
      <c r="X69" s="27">
        <v>580.01503139999988</v>
      </c>
      <c r="Y69" s="27" t="s">
        <v>200</v>
      </c>
      <c r="Z69" s="27">
        <v>575.93826639999997</v>
      </c>
      <c r="AA69" s="27" t="s">
        <v>200</v>
      </c>
      <c r="AB69" s="27">
        <v>566.40508360000001</v>
      </c>
      <c r="AC69" s="27" t="s">
        <v>200</v>
      </c>
      <c r="AD69" s="27">
        <v>566.67406270000004</v>
      </c>
    </row>
    <row r="70" spans="1:30">
      <c r="A70" s="27" t="s">
        <v>196</v>
      </c>
      <c r="B70" s="27" t="s">
        <v>267</v>
      </c>
      <c r="C70" s="27" t="s">
        <v>198</v>
      </c>
      <c r="D70" s="27" t="s">
        <v>1163</v>
      </c>
      <c r="E70" s="27" t="s">
        <v>76</v>
      </c>
      <c r="F70" s="27" t="s">
        <v>200</v>
      </c>
      <c r="G70" s="27">
        <v>309.20569999999998</v>
      </c>
      <c r="H70" s="27">
        <v>422.50700000000001</v>
      </c>
      <c r="I70" s="27">
        <v>626.44449999999995</v>
      </c>
      <c r="J70" s="27">
        <v>830.38199999999995</v>
      </c>
      <c r="K70" s="27" t="s">
        <v>200</v>
      </c>
      <c r="L70" s="27" t="s">
        <v>200</v>
      </c>
      <c r="M70" s="27" t="s">
        <v>200</v>
      </c>
      <c r="N70" s="27" t="s">
        <v>200</v>
      </c>
      <c r="O70" s="27">
        <v>407.31689999999998</v>
      </c>
      <c r="P70" s="27">
        <v>166.60599999999999</v>
      </c>
      <c r="Q70" s="27">
        <v>115.9425</v>
      </c>
      <c r="R70" s="27">
        <v>65.278999999999996</v>
      </c>
      <c r="S70" s="27">
        <v>71.249200000000002</v>
      </c>
      <c r="T70" s="27">
        <v>77.219300000000004</v>
      </c>
      <c r="U70" s="27">
        <v>82.808499999999995</v>
      </c>
      <c r="V70" s="27">
        <v>88.397800000000004</v>
      </c>
      <c r="W70" s="27" t="s">
        <v>200</v>
      </c>
      <c r="X70" s="27">
        <v>100.36020000000001</v>
      </c>
      <c r="Y70" s="27" t="s">
        <v>200</v>
      </c>
      <c r="Z70" s="27">
        <v>108.7243</v>
      </c>
      <c r="AA70" s="27" t="s">
        <v>200</v>
      </c>
      <c r="AB70" s="27">
        <v>119.3064</v>
      </c>
      <c r="AC70" s="27" t="s">
        <v>200</v>
      </c>
      <c r="AD70" s="27">
        <v>131.5187</v>
      </c>
    </row>
    <row r="71" spans="1:30">
      <c r="A71" s="27" t="s">
        <v>207</v>
      </c>
      <c r="B71" s="27" t="s">
        <v>201</v>
      </c>
      <c r="C71" s="27" t="s">
        <v>198</v>
      </c>
      <c r="D71" s="27" t="s">
        <v>1163</v>
      </c>
      <c r="E71" s="27" t="s">
        <v>76</v>
      </c>
      <c r="F71" s="27" t="s">
        <v>200</v>
      </c>
      <c r="G71" s="27" t="s">
        <v>200</v>
      </c>
      <c r="H71" s="27">
        <v>305.90798519999998</v>
      </c>
      <c r="I71" s="27">
        <v>501.74855070000001</v>
      </c>
      <c r="J71" s="27">
        <v>814.51745900000003</v>
      </c>
      <c r="K71" s="27" t="s">
        <v>200</v>
      </c>
      <c r="L71" s="27" t="s">
        <v>200</v>
      </c>
      <c r="M71" s="27" t="s">
        <v>200</v>
      </c>
      <c r="N71" s="27" t="s">
        <v>200</v>
      </c>
      <c r="O71" s="27">
        <v>474.50166910000002</v>
      </c>
      <c r="P71" s="27">
        <v>485.16888549999999</v>
      </c>
      <c r="Q71" s="27">
        <v>499.74870520000002</v>
      </c>
      <c r="R71" s="27">
        <v>531.1050563</v>
      </c>
      <c r="S71" s="27">
        <v>556.43640289999996</v>
      </c>
      <c r="T71" s="27">
        <v>581.84358329999998</v>
      </c>
      <c r="U71" s="27">
        <v>597.10727999999995</v>
      </c>
      <c r="V71" s="27">
        <v>616.81727439999997</v>
      </c>
      <c r="W71" s="27" t="s">
        <v>200</v>
      </c>
      <c r="X71" s="27">
        <v>711.8176363</v>
      </c>
      <c r="Y71" s="27" t="s">
        <v>200</v>
      </c>
      <c r="Z71" s="27">
        <v>781.03602439999997</v>
      </c>
      <c r="AA71" s="27" t="s">
        <v>200</v>
      </c>
      <c r="AB71" s="27">
        <v>824.57517299999995</v>
      </c>
      <c r="AC71" s="27" t="s">
        <v>200</v>
      </c>
      <c r="AD71" s="27">
        <v>846.89755979999995</v>
      </c>
    </row>
    <row r="72" spans="1:30">
      <c r="A72" s="27" t="s">
        <v>196</v>
      </c>
      <c r="B72" s="27" t="s">
        <v>289</v>
      </c>
      <c r="C72" s="27" t="s">
        <v>198</v>
      </c>
      <c r="D72" s="27" t="s">
        <v>1163</v>
      </c>
      <c r="E72" s="27" t="s">
        <v>76</v>
      </c>
      <c r="F72" s="27" t="s">
        <v>200</v>
      </c>
      <c r="G72" s="27">
        <v>309.20569999999998</v>
      </c>
      <c r="H72" s="27">
        <v>422.50700000000001</v>
      </c>
      <c r="I72" s="27">
        <v>702.899</v>
      </c>
      <c r="J72" s="27">
        <v>983.29110000000003</v>
      </c>
      <c r="K72" s="27" t="s">
        <v>200</v>
      </c>
      <c r="L72" s="27" t="s">
        <v>200</v>
      </c>
      <c r="M72" s="27" t="s">
        <v>200</v>
      </c>
      <c r="N72" s="27" t="s">
        <v>200</v>
      </c>
      <c r="O72" s="27">
        <v>745.31280000000004</v>
      </c>
      <c r="P72" s="27">
        <v>659.34069999999997</v>
      </c>
      <c r="Q72" s="27">
        <v>549.74789999999996</v>
      </c>
      <c r="R72" s="27">
        <v>440.15519999999998</v>
      </c>
      <c r="S72" s="27">
        <v>382.85399999999998</v>
      </c>
      <c r="T72" s="27">
        <v>325.55290000000002</v>
      </c>
      <c r="U72" s="27">
        <v>209.77189999999999</v>
      </c>
      <c r="V72" s="27">
        <v>93.991</v>
      </c>
      <c r="W72" s="27" t="s">
        <v>200</v>
      </c>
      <c r="X72" s="27">
        <v>103.1664</v>
      </c>
      <c r="Y72" s="27" t="s">
        <v>200</v>
      </c>
      <c r="Z72" s="27">
        <v>112.1283</v>
      </c>
      <c r="AA72" s="27" t="s">
        <v>200</v>
      </c>
      <c r="AB72" s="27">
        <v>328.62169999999998</v>
      </c>
      <c r="AC72" s="27" t="s">
        <v>200</v>
      </c>
      <c r="AD72" s="27">
        <v>483.99220000000003</v>
      </c>
    </row>
    <row r="73" spans="1:30">
      <c r="A73" s="27" t="s">
        <v>233</v>
      </c>
      <c r="B73" s="27" t="s">
        <v>230</v>
      </c>
      <c r="C73" s="27" t="s">
        <v>198</v>
      </c>
      <c r="D73" s="27" t="s">
        <v>1163</v>
      </c>
      <c r="E73" s="27" t="s">
        <v>76</v>
      </c>
      <c r="F73" s="27" t="s">
        <v>200</v>
      </c>
      <c r="G73" s="27" t="s">
        <v>200</v>
      </c>
      <c r="H73" s="27">
        <v>254.98730000000009</v>
      </c>
      <c r="I73" s="27">
        <v>396.21726699999982</v>
      </c>
      <c r="J73" s="27">
        <v>521.62684771643796</v>
      </c>
      <c r="K73" s="27" t="s">
        <v>200</v>
      </c>
      <c r="L73" s="27" t="s">
        <v>200</v>
      </c>
      <c r="M73" s="27" t="s">
        <v>200</v>
      </c>
      <c r="N73" s="27" t="s">
        <v>200</v>
      </c>
      <c r="O73" s="27">
        <v>31.00865000000001</v>
      </c>
      <c r="P73" s="27">
        <v>34.373854999999992</v>
      </c>
      <c r="Q73" s="27">
        <v>37.922045000000011</v>
      </c>
      <c r="R73" s="27">
        <v>41.889224999999989</v>
      </c>
      <c r="S73" s="27">
        <v>46.13993499999998</v>
      </c>
      <c r="T73" s="27">
        <v>50.279449999999983</v>
      </c>
      <c r="U73" s="27">
        <v>54.023420000000058</v>
      </c>
      <c r="V73" s="27">
        <v>57.788240000000052</v>
      </c>
      <c r="W73" s="27">
        <v>61.969895000000051</v>
      </c>
      <c r="X73" s="27">
        <v>66.181849999999969</v>
      </c>
      <c r="Y73" s="27">
        <v>70.007979999999989</v>
      </c>
      <c r="Z73" s="27">
        <v>73.696149999999989</v>
      </c>
      <c r="AA73" s="27">
        <v>77.569050000000033</v>
      </c>
      <c r="AB73" s="27">
        <v>81.584860000000077</v>
      </c>
      <c r="AC73" s="27">
        <v>85.632385000000056</v>
      </c>
      <c r="AD73" s="27">
        <v>89.659149999999954</v>
      </c>
    </row>
    <row r="74" spans="1:30">
      <c r="A74" s="27" t="s">
        <v>261</v>
      </c>
      <c r="B74" s="27" t="s">
        <v>292</v>
      </c>
      <c r="C74" s="27" t="s">
        <v>198</v>
      </c>
      <c r="D74" s="27" t="s">
        <v>1163</v>
      </c>
      <c r="E74" s="27" t="s">
        <v>76</v>
      </c>
      <c r="F74" s="27" t="s">
        <v>200</v>
      </c>
      <c r="G74" s="27">
        <v>290.04389364624018</v>
      </c>
      <c r="H74" s="27">
        <v>396.79837426757808</v>
      </c>
      <c r="I74" s="27">
        <v>616.70618902587887</v>
      </c>
      <c r="J74" s="27">
        <v>927.09073095703116</v>
      </c>
      <c r="K74" s="27" t="s">
        <v>200</v>
      </c>
      <c r="L74" s="27" t="s">
        <v>200</v>
      </c>
      <c r="M74" s="27" t="s">
        <v>200</v>
      </c>
      <c r="N74" s="27" t="s">
        <v>200</v>
      </c>
      <c r="O74" s="27">
        <v>723.05466174316405</v>
      </c>
      <c r="P74" s="27">
        <v>216.26976379394529</v>
      </c>
      <c r="Q74" s="27">
        <v>54.83048963928222</v>
      </c>
      <c r="R74" s="27">
        <v>60.14272858428955</v>
      </c>
      <c r="S74" s="27">
        <v>65.543121139526363</v>
      </c>
      <c r="T74" s="27">
        <v>71.019588180541987</v>
      </c>
      <c r="U74" s="27">
        <v>76.176601043701169</v>
      </c>
      <c r="V74" s="27">
        <v>81.711005218505861</v>
      </c>
      <c r="W74" s="27">
        <v>87.575401473999023</v>
      </c>
      <c r="X74" s="27">
        <v>93.967482147216785</v>
      </c>
      <c r="Y74" s="27">
        <v>100.8447329864502</v>
      </c>
      <c r="Z74" s="27">
        <v>108.37387257385249</v>
      </c>
      <c r="AA74" s="27">
        <v>115.63151184082029</v>
      </c>
      <c r="AB74" s="27">
        <v>121.5713372955322</v>
      </c>
      <c r="AC74" s="27">
        <v>126.12343400573729</v>
      </c>
      <c r="AD74" s="27">
        <v>130.5032978668213</v>
      </c>
    </row>
    <row r="75" spans="1:30">
      <c r="A75" s="27" t="s">
        <v>261</v>
      </c>
      <c r="B75" s="27" t="s">
        <v>293</v>
      </c>
      <c r="C75" s="27" t="s">
        <v>198</v>
      </c>
      <c r="D75" s="27" t="s">
        <v>1163</v>
      </c>
      <c r="E75" s="27" t="s">
        <v>76</v>
      </c>
      <c r="F75" s="27" t="s">
        <v>200</v>
      </c>
      <c r="G75" s="27">
        <v>290.04389364624018</v>
      </c>
      <c r="H75" s="27">
        <v>396.79837426757808</v>
      </c>
      <c r="I75" s="27">
        <v>616.70618902587887</v>
      </c>
      <c r="J75" s="27">
        <v>927.09073095703116</v>
      </c>
      <c r="K75" s="27" t="s">
        <v>200</v>
      </c>
      <c r="L75" s="27" t="s">
        <v>200</v>
      </c>
      <c r="M75" s="27" t="s">
        <v>200</v>
      </c>
      <c r="N75" s="27" t="s">
        <v>200</v>
      </c>
      <c r="O75" s="27">
        <v>720.96815698242187</v>
      </c>
      <c r="P75" s="27">
        <v>226.36646127319341</v>
      </c>
      <c r="Q75" s="27">
        <v>60.483919853210438</v>
      </c>
      <c r="R75" s="27">
        <v>69.304261848449698</v>
      </c>
      <c r="S75" s="27">
        <v>78.24151803588866</v>
      </c>
      <c r="T75" s="27">
        <v>86.672576248168937</v>
      </c>
      <c r="U75" s="27">
        <v>93.938054946899399</v>
      </c>
      <c r="V75" s="27">
        <v>101.0721191711426</v>
      </c>
      <c r="W75" s="27">
        <v>108.0073818054199</v>
      </c>
      <c r="X75" s="27">
        <v>113.6750883178711</v>
      </c>
      <c r="Y75" s="27">
        <v>117.4400420837402</v>
      </c>
      <c r="Z75" s="27">
        <v>119.13203677368161</v>
      </c>
      <c r="AA75" s="27">
        <v>120.65620362854</v>
      </c>
      <c r="AB75" s="27">
        <v>121.5796566925049</v>
      </c>
      <c r="AC75" s="27">
        <v>122.0392500457764</v>
      </c>
      <c r="AD75" s="27">
        <v>119.9845403137207</v>
      </c>
    </row>
    <row r="76" spans="1:30">
      <c r="A76" s="27" t="s">
        <v>196</v>
      </c>
      <c r="B76" s="27" t="s">
        <v>280</v>
      </c>
      <c r="C76" s="27" t="s">
        <v>198</v>
      </c>
      <c r="D76" s="27" t="s">
        <v>1163</v>
      </c>
      <c r="E76" s="27" t="s">
        <v>76</v>
      </c>
      <c r="F76" s="27" t="s">
        <v>200</v>
      </c>
      <c r="G76" s="27">
        <v>309.20569999999998</v>
      </c>
      <c r="H76" s="27">
        <v>422.50700000000001</v>
      </c>
      <c r="I76" s="27">
        <v>626.44449999999995</v>
      </c>
      <c r="J76" s="27">
        <v>830.38199999999995</v>
      </c>
      <c r="K76" s="27" t="s">
        <v>200</v>
      </c>
      <c r="L76" s="27" t="s">
        <v>200</v>
      </c>
      <c r="M76" s="27" t="s">
        <v>200</v>
      </c>
      <c r="N76" s="27" t="s">
        <v>200</v>
      </c>
      <c r="O76" s="27">
        <v>407.31689999999998</v>
      </c>
      <c r="P76" s="27">
        <v>166.60599999999999</v>
      </c>
      <c r="Q76" s="27">
        <v>115.9425</v>
      </c>
      <c r="R76" s="27">
        <v>65.278999999999996</v>
      </c>
      <c r="S76" s="27">
        <v>71.249200000000002</v>
      </c>
      <c r="T76" s="27">
        <v>77.219300000000004</v>
      </c>
      <c r="U76" s="27">
        <v>82.808499999999995</v>
      </c>
      <c r="V76" s="27">
        <v>88.397800000000004</v>
      </c>
      <c r="W76" s="27" t="s">
        <v>200</v>
      </c>
      <c r="X76" s="27">
        <v>100.36020000000001</v>
      </c>
      <c r="Y76" s="27" t="s">
        <v>200</v>
      </c>
      <c r="Z76" s="27">
        <v>108.7243</v>
      </c>
      <c r="AA76" s="27" t="s">
        <v>200</v>
      </c>
      <c r="AB76" s="27">
        <v>119.3064</v>
      </c>
      <c r="AC76" s="27" t="s">
        <v>200</v>
      </c>
      <c r="AD76" s="27">
        <v>131.5187</v>
      </c>
    </row>
    <row r="77" spans="1:30">
      <c r="A77" s="27" t="s">
        <v>218</v>
      </c>
      <c r="B77" s="27" t="s">
        <v>294</v>
      </c>
      <c r="C77" s="27" t="s">
        <v>198</v>
      </c>
      <c r="D77" s="27" t="s">
        <v>1163</v>
      </c>
      <c r="E77" s="27" t="s">
        <v>76</v>
      </c>
      <c r="F77" s="27" t="s">
        <v>200</v>
      </c>
      <c r="G77" s="27">
        <v>309.67059999999998</v>
      </c>
      <c r="H77" s="27">
        <v>423.649</v>
      </c>
      <c r="I77" s="27">
        <v>706.73710000000005</v>
      </c>
      <c r="J77" s="27">
        <v>989.8252</v>
      </c>
      <c r="K77" s="27" t="s">
        <v>200</v>
      </c>
      <c r="L77" s="27" t="s">
        <v>200</v>
      </c>
      <c r="M77" s="27" t="s">
        <v>200</v>
      </c>
      <c r="N77" s="27" t="s">
        <v>200</v>
      </c>
      <c r="O77" s="27">
        <v>410.40960000000001</v>
      </c>
      <c r="P77" s="27">
        <v>168.04949999999999</v>
      </c>
      <c r="Q77" s="27">
        <v>117.02209999999999</v>
      </c>
      <c r="R77" s="27">
        <v>65.994699999999995</v>
      </c>
      <c r="S77" s="27">
        <v>72.194000000000003</v>
      </c>
      <c r="T77" s="27">
        <v>78.393199999999993</v>
      </c>
      <c r="U77" s="27">
        <v>84.328599999999994</v>
      </c>
      <c r="V77" s="27">
        <v>90.263900000000007</v>
      </c>
      <c r="W77" s="27" t="s">
        <v>200</v>
      </c>
      <c r="X77" s="27">
        <v>103.2317</v>
      </c>
      <c r="Y77" s="27" t="s">
        <v>200</v>
      </c>
      <c r="Z77" s="27">
        <v>112.9686</v>
      </c>
      <c r="AA77" s="27" t="s">
        <v>200</v>
      </c>
      <c r="AB77" s="27">
        <v>125.3053</v>
      </c>
      <c r="AC77" s="27" t="s">
        <v>200</v>
      </c>
      <c r="AD77" s="27">
        <v>139.6943</v>
      </c>
    </row>
    <row r="78" spans="1:30">
      <c r="A78" s="27" t="s">
        <v>261</v>
      </c>
      <c r="B78" s="27" t="s">
        <v>295</v>
      </c>
      <c r="C78" s="27" t="s">
        <v>198</v>
      </c>
      <c r="D78" s="27" t="s">
        <v>1163</v>
      </c>
      <c r="E78" s="27" t="s">
        <v>76</v>
      </c>
      <c r="F78" s="27" t="s">
        <v>200</v>
      </c>
      <c r="G78" s="27">
        <v>290.04389364624018</v>
      </c>
      <c r="H78" s="27">
        <v>396.79837426757808</v>
      </c>
      <c r="I78" s="27">
        <v>616.70618902587887</v>
      </c>
      <c r="J78" s="27">
        <v>927.09073095703116</v>
      </c>
      <c r="K78" s="27" t="s">
        <v>200</v>
      </c>
      <c r="L78" s="27" t="s">
        <v>200</v>
      </c>
      <c r="M78" s="27" t="s">
        <v>200</v>
      </c>
      <c r="N78" s="27" t="s">
        <v>200</v>
      </c>
      <c r="O78" s="27">
        <v>692.85060040283201</v>
      </c>
      <c r="P78" s="27">
        <v>194.82319033813479</v>
      </c>
      <c r="Q78" s="27">
        <v>54.83048963928222</v>
      </c>
      <c r="R78" s="27">
        <v>60.14272858428955</v>
      </c>
      <c r="S78" s="27">
        <v>65.543121139526363</v>
      </c>
      <c r="T78" s="27">
        <v>71.019588180541987</v>
      </c>
      <c r="U78" s="27">
        <v>76.176601043701169</v>
      </c>
      <c r="V78" s="27">
        <v>81.711005218505861</v>
      </c>
      <c r="W78" s="27">
        <v>87.575401473999023</v>
      </c>
      <c r="X78" s="27">
        <v>93.967482147216785</v>
      </c>
      <c r="Y78" s="27">
        <v>100.8447329864502</v>
      </c>
      <c r="Z78" s="27">
        <v>108.37387257385249</v>
      </c>
      <c r="AA78" s="27">
        <v>115.63151184082029</v>
      </c>
      <c r="AB78" s="27">
        <v>121.5713372955322</v>
      </c>
      <c r="AC78" s="27">
        <v>126.12343400573729</v>
      </c>
      <c r="AD78" s="27">
        <v>130.5032978668213</v>
      </c>
    </row>
    <row r="79" spans="1:30">
      <c r="A79" s="27" t="s">
        <v>196</v>
      </c>
      <c r="B79" s="27" t="s">
        <v>296</v>
      </c>
      <c r="C79" s="27" t="s">
        <v>198</v>
      </c>
      <c r="D79" s="27" t="s">
        <v>1163</v>
      </c>
      <c r="E79" s="27" t="s">
        <v>76</v>
      </c>
      <c r="F79" s="27" t="s">
        <v>200</v>
      </c>
      <c r="G79" s="27">
        <v>309.20569999999998</v>
      </c>
      <c r="H79" s="27">
        <v>422.50700000000001</v>
      </c>
      <c r="I79" s="27">
        <v>626.44449999999995</v>
      </c>
      <c r="J79" s="27">
        <v>830.38199999999995</v>
      </c>
      <c r="K79" s="27" t="s">
        <v>200</v>
      </c>
      <c r="L79" s="27" t="s">
        <v>200</v>
      </c>
      <c r="M79" s="27" t="s">
        <v>200</v>
      </c>
      <c r="N79" s="27" t="s">
        <v>200</v>
      </c>
      <c r="O79" s="27">
        <v>407.31689999999998</v>
      </c>
      <c r="P79" s="27">
        <v>166.60599999999999</v>
      </c>
      <c r="Q79" s="27">
        <v>115.9425</v>
      </c>
      <c r="R79" s="27">
        <v>65.278999999999996</v>
      </c>
      <c r="S79" s="27">
        <v>71.249200000000002</v>
      </c>
      <c r="T79" s="27">
        <v>77.219300000000004</v>
      </c>
      <c r="U79" s="27">
        <v>82.808499999999995</v>
      </c>
      <c r="V79" s="27">
        <v>88.397800000000004</v>
      </c>
      <c r="W79" s="27" t="s">
        <v>200</v>
      </c>
      <c r="X79" s="27">
        <v>100.36020000000001</v>
      </c>
      <c r="Y79" s="27" t="s">
        <v>200</v>
      </c>
      <c r="Z79" s="27">
        <v>108.7243</v>
      </c>
      <c r="AA79" s="27" t="s">
        <v>200</v>
      </c>
      <c r="AB79" s="27">
        <v>119.3064</v>
      </c>
      <c r="AC79" s="27" t="s">
        <v>200</v>
      </c>
      <c r="AD79" s="27">
        <v>131.5187</v>
      </c>
    </row>
    <row r="80" spans="1:30">
      <c r="A80" s="27" t="s">
        <v>196</v>
      </c>
      <c r="B80" s="27" t="s">
        <v>297</v>
      </c>
      <c r="C80" s="27" t="s">
        <v>198</v>
      </c>
      <c r="D80" s="27" t="s">
        <v>1163</v>
      </c>
      <c r="E80" s="27" t="s">
        <v>76</v>
      </c>
      <c r="F80" s="27" t="s">
        <v>200</v>
      </c>
      <c r="G80" s="27" t="s">
        <v>200</v>
      </c>
      <c r="H80" s="27">
        <v>422.50700000000001</v>
      </c>
      <c r="I80" s="27">
        <v>626.44449999999995</v>
      </c>
      <c r="J80" s="27">
        <v>830.38199999999995</v>
      </c>
      <c r="K80" s="27" t="s">
        <v>200</v>
      </c>
      <c r="L80" s="27" t="s">
        <v>200</v>
      </c>
      <c r="M80" s="27" t="s">
        <v>200</v>
      </c>
      <c r="N80" s="27" t="s">
        <v>200</v>
      </c>
      <c r="O80" s="27">
        <v>407.31689999999998</v>
      </c>
      <c r="P80" s="27">
        <v>166.60599999999999</v>
      </c>
      <c r="Q80" s="27">
        <v>115.9425</v>
      </c>
      <c r="R80" s="27">
        <v>65.278999999999996</v>
      </c>
      <c r="S80" s="27">
        <v>71.249200000000002</v>
      </c>
      <c r="T80" s="27">
        <v>77.219300000000004</v>
      </c>
      <c r="U80" s="27">
        <v>82.808499999999995</v>
      </c>
      <c r="V80" s="27">
        <v>88.397800000000004</v>
      </c>
      <c r="W80" s="27" t="s">
        <v>200</v>
      </c>
      <c r="X80" s="27">
        <v>100.36020000000001</v>
      </c>
      <c r="Y80" s="27" t="s">
        <v>200</v>
      </c>
      <c r="Z80" s="27">
        <v>108.7243</v>
      </c>
      <c r="AA80" s="27" t="s">
        <v>200</v>
      </c>
      <c r="AB80" s="27">
        <v>119.3064</v>
      </c>
      <c r="AC80" s="27" t="s">
        <v>200</v>
      </c>
      <c r="AD80" s="27">
        <v>131.5187</v>
      </c>
    </row>
    <row r="81" spans="1:30">
      <c r="A81" s="27" t="s">
        <v>244</v>
      </c>
      <c r="B81" s="27" t="s">
        <v>267</v>
      </c>
      <c r="C81" s="27" t="s">
        <v>198</v>
      </c>
      <c r="D81" s="27" t="s">
        <v>1163</v>
      </c>
      <c r="E81" s="27" t="s">
        <v>76</v>
      </c>
      <c r="F81" s="27" t="s">
        <v>200</v>
      </c>
      <c r="G81" s="27" t="s">
        <v>200</v>
      </c>
      <c r="H81" s="27" t="s">
        <v>200</v>
      </c>
      <c r="I81" s="27">
        <v>521.77519839683862</v>
      </c>
      <c r="J81" s="27">
        <v>652.45459124371371</v>
      </c>
      <c r="K81" s="27" t="s">
        <v>200</v>
      </c>
      <c r="L81" s="27" t="s">
        <v>200</v>
      </c>
      <c r="M81" s="27" t="s">
        <v>200</v>
      </c>
      <c r="N81" s="27" t="s">
        <v>200</v>
      </c>
      <c r="O81" s="27">
        <v>675.78482920409431</v>
      </c>
      <c r="P81" s="27">
        <v>695.87426775268386</v>
      </c>
      <c r="Q81" s="27">
        <v>666.96470617178682</v>
      </c>
      <c r="R81" s="27">
        <v>601.64181297788684</v>
      </c>
      <c r="S81" s="27">
        <v>441.72909518892828</v>
      </c>
      <c r="T81" s="27">
        <v>418.69693571619678</v>
      </c>
      <c r="U81" s="27">
        <v>456.46723077978243</v>
      </c>
      <c r="V81" s="27">
        <v>494.44759791133612</v>
      </c>
      <c r="W81" s="27">
        <v>534.38233006513531</v>
      </c>
      <c r="X81" s="27">
        <v>601.63587614863286</v>
      </c>
      <c r="Y81" s="27">
        <v>655.86370140571785</v>
      </c>
      <c r="Z81" s="27">
        <v>679.28929932942413</v>
      </c>
      <c r="AA81" s="27">
        <v>689.69015402538673</v>
      </c>
      <c r="AB81" s="27">
        <v>689.27704209243348</v>
      </c>
      <c r="AC81" s="27">
        <v>719.81972264648869</v>
      </c>
      <c r="AD81" s="27">
        <v>747.37962947005917</v>
      </c>
    </row>
    <row r="82" spans="1:30">
      <c r="A82" s="27" t="s">
        <v>261</v>
      </c>
      <c r="B82" s="27" t="s">
        <v>298</v>
      </c>
      <c r="C82" s="27" t="s">
        <v>198</v>
      </c>
      <c r="D82" s="27" t="s">
        <v>1163</v>
      </c>
      <c r="E82" s="27" t="s">
        <v>76</v>
      </c>
      <c r="F82" s="27" t="s">
        <v>200</v>
      </c>
      <c r="G82" s="27">
        <v>290.04389364624018</v>
      </c>
      <c r="H82" s="27">
        <v>396.79837426757808</v>
      </c>
      <c r="I82" s="27">
        <v>616.70618902587887</v>
      </c>
      <c r="J82" s="27">
        <v>927.09073095703116</v>
      </c>
      <c r="K82" s="27" t="s">
        <v>200</v>
      </c>
      <c r="L82" s="27" t="s">
        <v>200</v>
      </c>
      <c r="M82" s="27" t="s">
        <v>200</v>
      </c>
      <c r="N82" s="27" t="s">
        <v>200</v>
      </c>
      <c r="O82" s="27">
        <v>720.96815698242187</v>
      </c>
      <c r="P82" s="27">
        <v>226.36646127319341</v>
      </c>
      <c r="Q82" s="27">
        <v>60.483919853210438</v>
      </c>
      <c r="R82" s="27">
        <v>69.304261848449698</v>
      </c>
      <c r="S82" s="27">
        <v>78.24151803588866</v>
      </c>
      <c r="T82" s="27">
        <v>86.672576248168937</v>
      </c>
      <c r="U82" s="27">
        <v>93.938054946899399</v>
      </c>
      <c r="V82" s="27">
        <v>101.0721191711426</v>
      </c>
      <c r="W82" s="27">
        <v>108.0073818054199</v>
      </c>
      <c r="X82" s="27">
        <v>113.6750883178711</v>
      </c>
      <c r="Y82" s="27">
        <v>117.4400420837402</v>
      </c>
      <c r="Z82" s="27">
        <v>119.13203677368161</v>
      </c>
      <c r="AA82" s="27">
        <v>120.65620362854</v>
      </c>
      <c r="AB82" s="27">
        <v>121.5796566925049</v>
      </c>
      <c r="AC82" s="27">
        <v>122.0392500457764</v>
      </c>
      <c r="AD82" s="27">
        <v>119.9845403137207</v>
      </c>
    </row>
    <row r="83" spans="1:30">
      <c r="A83" s="27" t="s">
        <v>261</v>
      </c>
      <c r="B83" s="27" t="s">
        <v>299</v>
      </c>
      <c r="C83" s="27" t="s">
        <v>198</v>
      </c>
      <c r="D83" s="27" t="s">
        <v>1163</v>
      </c>
      <c r="E83" s="27" t="s">
        <v>76</v>
      </c>
      <c r="F83" s="27" t="s">
        <v>200</v>
      </c>
      <c r="G83" s="27">
        <v>290.04389364624018</v>
      </c>
      <c r="H83" s="27">
        <v>396.79837426757808</v>
      </c>
      <c r="I83" s="27">
        <v>616.70618902587887</v>
      </c>
      <c r="J83" s="27">
        <v>927.09073095703116</v>
      </c>
      <c r="K83" s="27" t="s">
        <v>200</v>
      </c>
      <c r="L83" s="27" t="s">
        <v>200</v>
      </c>
      <c r="M83" s="27" t="s">
        <v>200</v>
      </c>
      <c r="N83" s="27" t="s">
        <v>200</v>
      </c>
      <c r="O83" s="27">
        <v>723.67823254394523</v>
      </c>
      <c r="P83" s="27">
        <v>563.66871075439451</v>
      </c>
      <c r="Q83" s="27">
        <v>637.65037756347647</v>
      </c>
      <c r="R83" s="27">
        <v>213.17857452392579</v>
      </c>
      <c r="S83" s="27">
        <v>65.543121139526363</v>
      </c>
      <c r="T83" s="27">
        <v>71.019588180541987</v>
      </c>
      <c r="U83" s="27">
        <v>76.176601043701169</v>
      </c>
      <c r="V83" s="27">
        <v>81.711005218505861</v>
      </c>
      <c r="W83" s="27">
        <v>87.575401473999023</v>
      </c>
      <c r="X83" s="27">
        <v>93.967482147216785</v>
      </c>
      <c r="Y83" s="27">
        <v>100.8447329864502</v>
      </c>
      <c r="Z83" s="27">
        <v>108.37387257385249</v>
      </c>
      <c r="AA83" s="27">
        <v>115.63151184082029</v>
      </c>
      <c r="AB83" s="27">
        <v>121.5713372955322</v>
      </c>
      <c r="AC83" s="27">
        <v>126.12343400573729</v>
      </c>
      <c r="AD83" s="27">
        <v>130.5032978668213</v>
      </c>
    </row>
    <row r="84" spans="1:30">
      <c r="A84" s="27" t="s">
        <v>207</v>
      </c>
      <c r="B84" s="27" t="s">
        <v>267</v>
      </c>
      <c r="C84" s="27" t="s">
        <v>198</v>
      </c>
      <c r="D84" s="27" t="s">
        <v>1163</v>
      </c>
      <c r="E84" s="27" t="s">
        <v>76</v>
      </c>
      <c r="F84" s="27">
        <v>123.19383120274659</v>
      </c>
      <c r="G84" s="27">
        <v>199.84398209129711</v>
      </c>
      <c r="H84" s="27">
        <v>305.90798520174548</v>
      </c>
      <c r="I84" s="27">
        <v>501.74855070693178</v>
      </c>
      <c r="J84" s="27">
        <v>806.37446744153567</v>
      </c>
      <c r="K84" s="27" t="s">
        <v>200</v>
      </c>
      <c r="L84" s="27" t="s">
        <v>200</v>
      </c>
      <c r="M84" s="27" t="s">
        <v>200</v>
      </c>
      <c r="N84" s="27" t="s">
        <v>200</v>
      </c>
      <c r="O84" s="27">
        <v>456.43046499840119</v>
      </c>
      <c r="P84" s="27">
        <v>451.66680690716561</v>
      </c>
      <c r="Q84" s="27">
        <v>458.88714478996292</v>
      </c>
      <c r="R84" s="27">
        <v>481.76740800761098</v>
      </c>
      <c r="S84" s="27">
        <v>505.85422418606743</v>
      </c>
      <c r="T84" s="27">
        <v>539.30167343769233</v>
      </c>
      <c r="U84" s="27">
        <v>571.94669582762504</v>
      </c>
      <c r="V84" s="27">
        <v>614.60391050836574</v>
      </c>
      <c r="W84" s="27" t="s">
        <v>200</v>
      </c>
      <c r="X84" s="27">
        <v>688.47250283043343</v>
      </c>
      <c r="Y84" s="27" t="s">
        <v>200</v>
      </c>
      <c r="Z84" s="27">
        <v>746.15905273491364</v>
      </c>
      <c r="AA84" s="27" t="s">
        <v>200</v>
      </c>
      <c r="AB84" s="27">
        <v>789.24094941720364</v>
      </c>
      <c r="AC84" s="27" t="s">
        <v>200</v>
      </c>
      <c r="AD84" s="27">
        <v>825.29086984309185</v>
      </c>
    </row>
    <row r="100" spans="3:30">
      <c r="C100" s="3" t="s">
        <v>69</v>
      </c>
      <c r="F100" s="27">
        <f>MEDIAN(F2:F98)</f>
        <v>123.19383120274659</v>
      </c>
      <c r="G100" s="27">
        <f t="shared" ref="G100:AD100" si="0">MEDIAN(G2:G98)</f>
        <v>309.20569999999998</v>
      </c>
      <c r="H100" s="27">
        <f t="shared" si="0"/>
        <v>422.50700000000001</v>
      </c>
      <c r="I100" s="27">
        <f t="shared" si="0"/>
        <v>616.70618902587887</v>
      </c>
      <c r="J100" s="27">
        <f t="shared" si="0"/>
        <v>830.38199999999995</v>
      </c>
      <c r="K100" s="27">
        <f t="shared" si="0"/>
        <v>825.05274905776605</v>
      </c>
      <c r="L100" s="27">
        <f t="shared" si="0"/>
        <v>831.20850144769702</v>
      </c>
      <c r="M100" s="27">
        <f t="shared" si="0"/>
        <v>840.58907534222203</v>
      </c>
      <c r="N100" s="27">
        <f t="shared" si="0"/>
        <v>859.47883828093495</v>
      </c>
      <c r="O100" s="27">
        <f t="shared" si="0"/>
        <v>408.86324999999999</v>
      </c>
      <c r="P100" s="27">
        <f t="shared" si="0"/>
        <v>168.04949999999999</v>
      </c>
      <c r="Q100" s="27">
        <f t="shared" si="0"/>
        <v>115.9425</v>
      </c>
      <c r="R100" s="27">
        <f t="shared" si="0"/>
        <v>65.994699999999995</v>
      </c>
      <c r="S100" s="27">
        <f t="shared" si="0"/>
        <v>71.721599999999995</v>
      </c>
      <c r="T100" s="27">
        <f t="shared" si="0"/>
        <v>78.393199999999993</v>
      </c>
      <c r="U100" s="27">
        <f t="shared" si="0"/>
        <v>83.568549999999988</v>
      </c>
      <c r="V100" s="27">
        <f t="shared" si="0"/>
        <v>90.263900000000007</v>
      </c>
      <c r="W100" s="27">
        <f t="shared" si="0"/>
        <v>87.575401473999023</v>
      </c>
      <c r="X100" s="27">
        <f t="shared" si="0"/>
        <v>103.1664</v>
      </c>
      <c r="Y100" s="27">
        <f t="shared" si="0"/>
        <v>100.8447329864502</v>
      </c>
      <c r="Z100" s="27">
        <f t="shared" si="0"/>
        <v>112.1283</v>
      </c>
      <c r="AA100" s="27">
        <f t="shared" si="0"/>
        <v>115.63151184082029</v>
      </c>
      <c r="AB100" s="27">
        <f t="shared" si="0"/>
        <v>121.5713372955322</v>
      </c>
      <c r="AC100" s="27">
        <f t="shared" si="0"/>
        <v>111.50882004725</v>
      </c>
      <c r="AD100" s="27">
        <f t="shared" si="0"/>
        <v>131.5187</v>
      </c>
    </row>
    <row r="101" spans="3:30">
      <c r="C101" s="3" t="s">
        <v>72</v>
      </c>
      <c r="F101" s="27">
        <f>_xlfn.PERCENTILE.INC(F2:F98,0.25)</f>
        <v>123.19383120274659</v>
      </c>
      <c r="G101" s="27">
        <f t="shared" ref="G101:AD101" si="1">_xlfn.PERCENTILE.INC(G2:G98,0.25)</f>
        <v>199.84398209129711</v>
      </c>
      <c r="H101" s="27">
        <f t="shared" si="1"/>
        <v>305.90798520174548</v>
      </c>
      <c r="I101" s="27">
        <f t="shared" si="1"/>
        <v>501.74855070693178</v>
      </c>
      <c r="J101" s="27">
        <f t="shared" si="1"/>
        <v>715.24328904026788</v>
      </c>
      <c r="K101" s="27">
        <f t="shared" si="1"/>
        <v>807.99409043999196</v>
      </c>
      <c r="L101" s="27">
        <f t="shared" si="1"/>
        <v>823.54250213319597</v>
      </c>
      <c r="M101" s="27">
        <f t="shared" si="1"/>
        <v>840.21453580856098</v>
      </c>
      <c r="N101" s="27">
        <f t="shared" si="1"/>
        <v>851.71479820043601</v>
      </c>
      <c r="O101" s="27">
        <f t="shared" si="1"/>
        <v>407.31689999999998</v>
      </c>
      <c r="P101" s="27">
        <f t="shared" si="1"/>
        <v>166.60599999999999</v>
      </c>
      <c r="Q101" s="27">
        <f t="shared" si="1"/>
        <v>115.9425</v>
      </c>
      <c r="R101" s="27">
        <f t="shared" si="1"/>
        <v>65.278999999999996</v>
      </c>
      <c r="S101" s="27">
        <f t="shared" si="1"/>
        <v>71.249200000000002</v>
      </c>
      <c r="T101" s="27">
        <f t="shared" si="1"/>
        <v>77.219300000000004</v>
      </c>
      <c r="U101" s="27">
        <f t="shared" si="1"/>
        <v>82.808499999999995</v>
      </c>
      <c r="V101" s="27">
        <f t="shared" si="1"/>
        <v>88.397800000000004</v>
      </c>
      <c r="W101" s="27">
        <f t="shared" si="1"/>
        <v>61.969895000000051</v>
      </c>
      <c r="X101" s="27">
        <f t="shared" si="1"/>
        <v>100.36020000000001</v>
      </c>
      <c r="Y101" s="27">
        <f t="shared" si="1"/>
        <v>67.657465865297809</v>
      </c>
      <c r="Z101" s="27">
        <f t="shared" si="1"/>
        <v>108.7243</v>
      </c>
      <c r="AA101" s="27">
        <f t="shared" si="1"/>
        <v>68.520671655009011</v>
      </c>
      <c r="AB101" s="27">
        <f t="shared" si="1"/>
        <v>119.3064</v>
      </c>
      <c r="AC101" s="27">
        <f t="shared" si="1"/>
        <v>72.321621250000007</v>
      </c>
      <c r="AD101" s="27">
        <f t="shared" si="1"/>
        <v>130.18214893341064</v>
      </c>
    </row>
    <row r="102" spans="3:30">
      <c r="C102" s="3" t="s">
        <v>73</v>
      </c>
      <c r="F102" s="27">
        <f>_xlfn.PERCENTILE.INC(F2:F98,0.75)</f>
        <v>123.19383120274701</v>
      </c>
      <c r="G102" s="27">
        <f t="shared" ref="G102:AD102" si="2">_xlfn.PERCENTILE.INC(G2:G98,0.75)</f>
        <v>309.20569999999998</v>
      </c>
      <c r="H102" s="27">
        <f t="shared" si="2"/>
        <v>422.50700000000001</v>
      </c>
      <c r="I102" s="27">
        <f t="shared" si="2"/>
        <v>626.44449999999995</v>
      </c>
      <c r="J102" s="27">
        <f t="shared" si="2"/>
        <v>830.38199999999995</v>
      </c>
      <c r="K102" s="27">
        <f t="shared" si="2"/>
        <v>826.15931938778601</v>
      </c>
      <c r="L102" s="27">
        <f t="shared" si="2"/>
        <v>833.30024002926802</v>
      </c>
      <c r="M102" s="27">
        <f t="shared" si="2"/>
        <v>844.93197612161805</v>
      </c>
      <c r="N102" s="27">
        <f t="shared" si="2"/>
        <v>859.56336266535504</v>
      </c>
      <c r="O102" s="27">
        <f t="shared" si="2"/>
        <v>477.89346803166603</v>
      </c>
      <c r="P102" s="27">
        <f t="shared" si="2"/>
        <v>462.39314492051648</v>
      </c>
      <c r="Q102" s="27">
        <f t="shared" si="2"/>
        <v>469.63058221168473</v>
      </c>
      <c r="R102" s="27">
        <f t="shared" si="2"/>
        <v>440.15519999999998</v>
      </c>
      <c r="S102" s="27">
        <f t="shared" si="2"/>
        <v>382.85399999999998</v>
      </c>
      <c r="T102" s="27">
        <f t="shared" si="2"/>
        <v>325.55290000000002</v>
      </c>
      <c r="U102" s="27">
        <f t="shared" si="2"/>
        <v>209.77189999999999</v>
      </c>
      <c r="V102" s="27">
        <f t="shared" si="2"/>
        <v>154.91380836526</v>
      </c>
      <c r="W102" s="27">
        <f t="shared" si="2"/>
        <v>139.13281969927246</v>
      </c>
      <c r="X102" s="27">
        <f t="shared" si="2"/>
        <v>143.75259410595498</v>
      </c>
      <c r="Y102" s="27">
        <f t="shared" si="2"/>
        <v>132.00798662466005</v>
      </c>
      <c r="Z102" s="27">
        <f t="shared" si="2"/>
        <v>129.77424945387</v>
      </c>
      <c r="AA102" s="27">
        <f t="shared" si="2"/>
        <v>122.502196805255</v>
      </c>
      <c r="AB102" s="27">
        <f t="shared" si="2"/>
        <v>328.62169999999998</v>
      </c>
      <c r="AC102" s="27">
        <f t="shared" si="2"/>
        <v>125.10238801574707</v>
      </c>
      <c r="AD102" s="27">
        <f t="shared" si="2"/>
        <v>483.99220000000003</v>
      </c>
    </row>
    <row r="104" spans="3:30">
      <c r="F104" s="27">
        <f>MAX(F$2:F$98)</f>
        <v>123.19383120274701</v>
      </c>
      <c r="G104" s="27">
        <f t="shared" ref="G104:AD104" si="3">MAX(G$2:G$98)</f>
        <v>380.68299999999999</v>
      </c>
      <c r="H104" s="27">
        <f t="shared" si="3"/>
        <v>489.72626129524502</v>
      </c>
      <c r="I104" s="27">
        <f t="shared" si="3"/>
        <v>706.73710000000005</v>
      </c>
      <c r="J104" s="27">
        <f t="shared" si="3"/>
        <v>989.8252</v>
      </c>
      <c r="K104" s="27">
        <f t="shared" si="3"/>
        <v>835.85742627134505</v>
      </c>
      <c r="L104" s="27">
        <f t="shared" si="3"/>
        <v>858.55018581167701</v>
      </c>
      <c r="M104" s="27">
        <f t="shared" si="3"/>
        <v>879.80473833701399</v>
      </c>
      <c r="N104" s="27">
        <f t="shared" si="3"/>
        <v>901.708734350589</v>
      </c>
      <c r="O104" s="27">
        <f t="shared" si="3"/>
        <v>745.31280000000004</v>
      </c>
      <c r="P104" s="27">
        <f t="shared" si="3"/>
        <v>702.52462255428145</v>
      </c>
      <c r="Q104" s="27">
        <f t="shared" si="3"/>
        <v>713.5689170951274</v>
      </c>
      <c r="R104" s="27">
        <f t="shared" si="3"/>
        <v>687.52566976052378</v>
      </c>
      <c r="S104" s="27">
        <f t="shared" si="3"/>
        <v>596.0905296050172</v>
      </c>
      <c r="T104" s="27">
        <f t="shared" si="3"/>
        <v>610.78744115322797</v>
      </c>
      <c r="U104" s="27">
        <f t="shared" si="3"/>
        <v>640.35228536173304</v>
      </c>
      <c r="V104" s="27">
        <f t="shared" si="3"/>
        <v>677.75211107540497</v>
      </c>
      <c r="W104" s="27">
        <f t="shared" si="3"/>
        <v>534.38233006513531</v>
      </c>
      <c r="X104" s="27">
        <f t="shared" si="3"/>
        <v>740.62039014210404</v>
      </c>
      <c r="Y104" s="27">
        <f t="shared" si="3"/>
        <v>655.86370140571785</v>
      </c>
      <c r="Z104" s="27">
        <f t="shared" si="3"/>
        <v>790.28632278452699</v>
      </c>
      <c r="AA104" s="27">
        <f t="shared" si="3"/>
        <v>689.69015402538673</v>
      </c>
      <c r="AB104" s="27">
        <f t="shared" si="3"/>
        <v>831.00990143448439</v>
      </c>
      <c r="AC104" s="27">
        <f t="shared" si="3"/>
        <v>719.81972264648869</v>
      </c>
      <c r="AD104" s="27">
        <f t="shared" si="3"/>
        <v>865.40264091611004</v>
      </c>
    </row>
    <row r="105" spans="3:30">
      <c r="F105" s="27">
        <f>MEDIAN(F$2:F$98)</f>
        <v>123.19383120274659</v>
      </c>
      <c r="G105" s="27">
        <f t="shared" ref="G105:AD105" si="4">MEDIAN(G$2:G$98)</f>
        <v>309.20569999999998</v>
      </c>
      <c r="H105" s="27">
        <f t="shared" si="4"/>
        <v>422.50700000000001</v>
      </c>
      <c r="I105" s="27">
        <f t="shared" si="4"/>
        <v>616.70618902587887</v>
      </c>
      <c r="J105" s="27">
        <f t="shared" si="4"/>
        <v>830.38199999999995</v>
      </c>
      <c r="K105" s="27">
        <f t="shared" si="4"/>
        <v>825.05274905776605</v>
      </c>
      <c r="L105" s="27">
        <f t="shared" si="4"/>
        <v>831.20850144769702</v>
      </c>
      <c r="M105" s="27">
        <f t="shared" si="4"/>
        <v>840.58907534222203</v>
      </c>
      <c r="N105" s="27">
        <f t="shared" si="4"/>
        <v>859.47883828093495</v>
      </c>
      <c r="O105" s="27">
        <f t="shared" si="4"/>
        <v>408.86324999999999</v>
      </c>
      <c r="P105" s="27">
        <f t="shared" si="4"/>
        <v>168.04949999999999</v>
      </c>
      <c r="Q105" s="27">
        <f t="shared" si="4"/>
        <v>115.9425</v>
      </c>
      <c r="R105" s="27">
        <f t="shared" si="4"/>
        <v>65.994699999999995</v>
      </c>
      <c r="S105" s="27">
        <f t="shared" si="4"/>
        <v>71.721599999999995</v>
      </c>
      <c r="T105" s="27">
        <f t="shared" si="4"/>
        <v>78.393199999999993</v>
      </c>
      <c r="U105" s="27">
        <f t="shared" si="4"/>
        <v>83.568549999999988</v>
      </c>
      <c r="V105" s="27">
        <f t="shared" si="4"/>
        <v>90.263900000000007</v>
      </c>
      <c r="W105" s="27">
        <f t="shared" si="4"/>
        <v>87.575401473999023</v>
      </c>
      <c r="X105" s="27">
        <f t="shared" si="4"/>
        <v>103.1664</v>
      </c>
      <c r="Y105" s="27">
        <f t="shared" si="4"/>
        <v>100.8447329864502</v>
      </c>
      <c r="Z105" s="27">
        <f t="shared" si="4"/>
        <v>112.1283</v>
      </c>
      <c r="AA105" s="27">
        <f t="shared" si="4"/>
        <v>115.63151184082029</v>
      </c>
      <c r="AB105" s="27">
        <f t="shared" si="4"/>
        <v>121.5713372955322</v>
      </c>
      <c r="AC105" s="27">
        <f t="shared" si="4"/>
        <v>111.50882004725</v>
      </c>
      <c r="AD105" s="27">
        <f t="shared" si="4"/>
        <v>131.5187</v>
      </c>
    </row>
    <row r="106" spans="3:30">
      <c r="F106" s="27">
        <f>MIN(F$2:F$98)</f>
        <v>123.19383120274659</v>
      </c>
      <c r="G106" s="27">
        <f t="shared" ref="G106:AD106" si="5">MIN(G$2:G$98)</f>
        <v>170.50070021459999</v>
      </c>
      <c r="H106" s="27">
        <f t="shared" si="5"/>
        <v>250.06317848</v>
      </c>
      <c r="I106" s="27">
        <f t="shared" si="5"/>
        <v>338.77585532476002</v>
      </c>
      <c r="J106" s="27">
        <f t="shared" si="5"/>
        <v>421.90070878402003</v>
      </c>
      <c r="K106" s="27">
        <f t="shared" si="5"/>
        <v>780.78381743732405</v>
      </c>
      <c r="L106" s="27">
        <f t="shared" si="5"/>
        <v>794.05505806582698</v>
      </c>
      <c r="M106" s="27">
        <f t="shared" si="5"/>
        <v>809.39505860515396</v>
      </c>
      <c r="N106" s="27">
        <f t="shared" si="5"/>
        <v>826.60233608775104</v>
      </c>
      <c r="O106" s="27">
        <f t="shared" si="5"/>
        <v>31.00865000000001</v>
      </c>
      <c r="P106" s="27">
        <f t="shared" si="5"/>
        <v>34.373854999999992</v>
      </c>
      <c r="Q106" s="27">
        <f t="shared" si="5"/>
        <v>37.922045000000011</v>
      </c>
      <c r="R106" s="27">
        <f t="shared" si="5"/>
        <v>16.154399999999999</v>
      </c>
      <c r="S106" s="27">
        <f t="shared" si="5"/>
        <v>5.9819699999999996</v>
      </c>
      <c r="T106" s="27">
        <f t="shared" si="5"/>
        <v>2.2215699999999998</v>
      </c>
      <c r="U106" s="27">
        <f t="shared" si="5"/>
        <v>0.83333099999999893</v>
      </c>
      <c r="V106" s="27">
        <f t="shared" si="5"/>
        <v>0.318637</v>
      </c>
      <c r="W106" s="27">
        <f t="shared" si="5"/>
        <v>0.125615</v>
      </c>
      <c r="X106" s="27">
        <f t="shared" si="5"/>
        <v>5.1705999999999003E-2</v>
      </c>
      <c r="Y106" s="27">
        <f t="shared" si="5"/>
        <v>2.2474399999999999E-2</v>
      </c>
      <c r="Z106" s="27">
        <f t="shared" si="5"/>
        <v>1.03812E-2</v>
      </c>
      <c r="AA106" s="27">
        <f t="shared" si="5"/>
        <v>5.0908699999999999E-3</v>
      </c>
      <c r="AB106" s="27">
        <f t="shared" si="5"/>
        <v>2.63006E-3</v>
      </c>
      <c r="AC106" s="27">
        <f t="shared" si="5"/>
        <v>1.41533E-3</v>
      </c>
      <c r="AD106" s="27">
        <f t="shared" si="5"/>
        <v>7.8431899999990005E-4</v>
      </c>
    </row>
  </sheetData>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CCF973-D18D-4C8D-98CC-8452D456D913}">
  <sheetPr codeName="Sheet43">
    <tabColor theme="7" tint="0.79998168889431442"/>
  </sheetPr>
  <dimension ref="A1:AD106"/>
  <sheetViews>
    <sheetView workbookViewId="0">
      <pane ySplit="1" topLeftCell="A89" activePane="bottomLeft" state="frozen"/>
      <selection pane="bottomLeft" activeCell="F104" sqref="F104:AD106"/>
      <selection activeCell="P95" sqref="P95"/>
    </sheetView>
  </sheetViews>
  <sheetFormatPr defaultColWidth="9.140625" defaultRowHeight="15.75"/>
  <cols>
    <col min="1" max="16384" width="9.140625" style="27"/>
  </cols>
  <sheetData>
    <row r="1" spans="1:25">
      <c r="A1" s="27" t="s">
        <v>193</v>
      </c>
      <c r="B1" s="27" t="s">
        <v>194</v>
      </c>
      <c r="C1" s="27" t="s">
        <v>195</v>
      </c>
      <c r="D1" s="27" t="s">
        <v>64</v>
      </c>
      <c r="E1" s="27" t="s">
        <v>65</v>
      </c>
      <c r="F1" s="27">
        <v>2005</v>
      </c>
      <c r="G1" s="27">
        <v>2010</v>
      </c>
      <c r="H1" s="27">
        <v>2015</v>
      </c>
      <c r="I1" s="27">
        <v>2020</v>
      </c>
      <c r="J1" s="27">
        <v>2025</v>
      </c>
      <c r="K1" s="27">
        <v>2030</v>
      </c>
      <c r="L1" s="27">
        <v>2035</v>
      </c>
      <c r="M1" s="27">
        <v>2040</v>
      </c>
      <c r="N1" s="27">
        <v>2045</v>
      </c>
      <c r="O1" s="27">
        <v>2050</v>
      </c>
      <c r="P1" s="27">
        <v>2055</v>
      </c>
      <c r="Q1" s="27">
        <v>2060</v>
      </c>
      <c r="R1" s="27">
        <v>2065</v>
      </c>
      <c r="S1" s="27">
        <v>2070</v>
      </c>
      <c r="T1" s="27">
        <v>2075</v>
      </c>
      <c r="U1" s="27">
        <v>2080</v>
      </c>
      <c r="V1" s="27">
        <v>2085</v>
      </c>
      <c r="W1" s="27">
        <v>2090</v>
      </c>
      <c r="X1" s="27">
        <v>2095</v>
      </c>
      <c r="Y1" s="27">
        <v>2100</v>
      </c>
    </row>
    <row r="2" spans="1:25">
      <c r="A2" s="27" t="s">
        <v>196</v>
      </c>
      <c r="B2" s="27" t="s">
        <v>197</v>
      </c>
      <c r="C2" s="27" t="s">
        <v>198</v>
      </c>
      <c r="D2" s="27" t="s">
        <v>1164</v>
      </c>
      <c r="E2" s="27" t="s">
        <v>77</v>
      </c>
      <c r="F2" s="27">
        <v>15.650700000000001</v>
      </c>
      <c r="G2" s="27">
        <v>21.5792</v>
      </c>
      <c r="H2" s="27">
        <v>25.761099999999999</v>
      </c>
      <c r="I2" s="27">
        <v>29.943000000000001</v>
      </c>
      <c r="J2" s="27">
        <v>14.07</v>
      </c>
      <c r="K2" s="27">
        <v>7.9485999999999999</v>
      </c>
      <c r="L2" s="27">
        <v>6.7805</v>
      </c>
      <c r="M2" s="27">
        <v>5.6124000000000001</v>
      </c>
      <c r="N2" s="27">
        <v>4.7004999999999999</v>
      </c>
      <c r="O2" s="27">
        <v>3.7886000000000002</v>
      </c>
      <c r="P2" s="27">
        <v>3.2993999999999999</v>
      </c>
      <c r="Q2" s="27">
        <v>2.8100999999999998</v>
      </c>
      <c r="R2" s="27" t="s">
        <v>200</v>
      </c>
      <c r="S2" s="27">
        <v>2.2559</v>
      </c>
      <c r="T2" s="27" t="s">
        <v>200</v>
      </c>
      <c r="U2" s="27">
        <v>1.8396999999999999</v>
      </c>
      <c r="V2" s="27" t="s">
        <v>200</v>
      </c>
      <c r="W2" s="27">
        <v>1.4544999999999999</v>
      </c>
      <c r="X2" s="27" t="s">
        <v>200</v>
      </c>
      <c r="Y2" s="27">
        <v>1.1971000000000001</v>
      </c>
    </row>
    <row r="3" spans="1:25">
      <c r="A3" s="27" t="s">
        <v>196</v>
      </c>
      <c r="B3" s="27" t="s">
        <v>201</v>
      </c>
      <c r="C3" s="27" t="s">
        <v>198</v>
      </c>
      <c r="D3" s="27" t="s">
        <v>1164</v>
      </c>
      <c r="E3" s="27" t="s">
        <v>77</v>
      </c>
      <c r="F3" s="27" t="s">
        <v>200</v>
      </c>
      <c r="G3" s="27">
        <v>21.5792</v>
      </c>
      <c r="H3" s="27">
        <v>25.761099999999999</v>
      </c>
      <c r="I3" s="27">
        <v>29.943000000000001</v>
      </c>
      <c r="J3" s="27">
        <v>14.07</v>
      </c>
      <c r="K3" s="27">
        <v>7.9485999999999999</v>
      </c>
      <c r="L3" s="27">
        <v>6.7805</v>
      </c>
      <c r="M3" s="27">
        <v>5.6124000000000001</v>
      </c>
      <c r="N3" s="27">
        <v>4.7004999999999999</v>
      </c>
      <c r="O3" s="27">
        <v>3.7886000000000002</v>
      </c>
      <c r="P3" s="27">
        <v>3.2993999999999999</v>
      </c>
      <c r="Q3" s="27">
        <v>2.8100999999999998</v>
      </c>
      <c r="R3" s="27" t="s">
        <v>200</v>
      </c>
      <c r="S3" s="27">
        <v>2.2559</v>
      </c>
      <c r="T3" s="27" t="s">
        <v>200</v>
      </c>
      <c r="U3" s="27">
        <v>1.8396999999999999</v>
      </c>
      <c r="V3" s="27" t="s">
        <v>200</v>
      </c>
      <c r="W3" s="27">
        <v>1.4544999999999999</v>
      </c>
      <c r="X3" s="27" t="s">
        <v>200</v>
      </c>
      <c r="Y3" s="27">
        <v>1.1971000000000001</v>
      </c>
    </row>
    <row r="4" spans="1:25">
      <c r="A4" s="27" t="s">
        <v>196</v>
      </c>
      <c r="B4" s="27" t="s">
        <v>202</v>
      </c>
      <c r="C4" s="27" t="s">
        <v>198</v>
      </c>
      <c r="D4" s="27" t="s">
        <v>1164</v>
      </c>
      <c r="E4" s="27" t="s">
        <v>77</v>
      </c>
      <c r="F4" s="27">
        <v>15.650700000000001</v>
      </c>
      <c r="G4" s="27">
        <v>21.5792</v>
      </c>
      <c r="H4" s="27">
        <v>25.761099999999999</v>
      </c>
      <c r="I4" s="27">
        <v>29.943000000000001</v>
      </c>
      <c r="J4" s="27">
        <v>14.07</v>
      </c>
      <c r="K4" s="27">
        <v>7.9485999999999999</v>
      </c>
      <c r="L4" s="27">
        <v>6.7805</v>
      </c>
      <c r="M4" s="27">
        <v>5.6124000000000001</v>
      </c>
      <c r="N4" s="27">
        <v>4.7004999999999999</v>
      </c>
      <c r="O4" s="27">
        <v>3.7886000000000002</v>
      </c>
      <c r="P4" s="27">
        <v>3.2993999999999999</v>
      </c>
      <c r="Q4" s="27">
        <v>2.8100999999999998</v>
      </c>
      <c r="R4" s="27" t="s">
        <v>200</v>
      </c>
      <c r="S4" s="27">
        <v>2.2559</v>
      </c>
      <c r="T4" s="27" t="s">
        <v>200</v>
      </c>
      <c r="U4" s="27">
        <v>1.8396999999999999</v>
      </c>
      <c r="V4" s="27" t="s">
        <v>200</v>
      </c>
      <c r="W4" s="27">
        <v>1.4544999999999999</v>
      </c>
      <c r="X4" s="27" t="s">
        <v>200</v>
      </c>
      <c r="Y4" s="27">
        <v>1.1971000000000001</v>
      </c>
    </row>
    <row r="5" spans="1:25">
      <c r="A5" s="27" t="s">
        <v>203</v>
      </c>
      <c r="B5" s="27" t="s">
        <v>204</v>
      </c>
      <c r="C5" s="27" t="s">
        <v>198</v>
      </c>
      <c r="D5" s="27" t="s">
        <v>1164</v>
      </c>
      <c r="E5" s="27" t="s">
        <v>77</v>
      </c>
      <c r="F5" s="27">
        <v>15.650700000000001</v>
      </c>
      <c r="G5" s="27">
        <v>21.5792</v>
      </c>
      <c r="H5" s="27">
        <v>25.761099999999999</v>
      </c>
      <c r="I5" s="27">
        <v>29.943000000000001</v>
      </c>
      <c r="J5" s="27">
        <v>14.07</v>
      </c>
      <c r="K5" s="27">
        <v>7.9485999999999999</v>
      </c>
      <c r="L5" s="27">
        <v>6.7805</v>
      </c>
      <c r="M5" s="27">
        <v>5.6124000000000001</v>
      </c>
      <c r="N5" s="27">
        <v>4.7004999999999999</v>
      </c>
      <c r="O5" s="27">
        <v>3.7886000000000002</v>
      </c>
      <c r="P5" s="27">
        <v>3.2993999999999999</v>
      </c>
      <c r="Q5" s="27">
        <v>2.8100999999999998</v>
      </c>
      <c r="R5" s="27" t="s">
        <v>200</v>
      </c>
      <c r="S5" s="27">
        <v>2.2559</v>
      </c>
      <c r="T5" s="27" t="s">
        <v>200</v>
      </c>
      <c r="U5" s="27">
        <v>1.8396999999999999</v>
      </c>
      <c r="V5" s="27" t="s">
        <v>200</v>
      </c>
      <c r="W5" s="27">
        <v>1.4544999999999999</v>
      </c>
      <c r="X5" s="27" t="s">
        <v>200</v>
      </c>
      <c r="Y5" s="27">
        <v>1.1971000000000001</v>
      </c>
    </row>
    <row r="6" spans="1:25">
      <c r="A6" s="27" t="s">
        <v>205</v>
      </c>
      <c r="B6" s="27" t="s">
        <v>206</v>
      </c>
      <c r="C6" s="27" t="s">
        <v>198</v>
      </c>
      <c r="D6" s="27" t="s">
        <v>1164</v>
      </c>
      <c r="E6" s="27" t="s">
        <v>77</v>
      </c>
      <c r="F6" s="27">
        <v>8.3113600000000005</v>
      </c>
      <c r="G6" s="27">
        <v>7.9428700000000001</v>
      </c>
      <c r="H6" s="27">
        <v>8.15076</v>
      </c>
      <c r="I6" s="27">
        <v>7.7739500000000001</v>
      </c>
      <c r="J6" s="27">
        <v>7.281810000000001</v>
      </c>
      <c r="K6" s="27">
        <v>4.56914</v>
      </c>
      <c r="L6" s="27">
        <v>2.8674599999999999</v>
      </c>
      <c r="M6" s="27">
        <v>1.79722</v>
      </c>
      <c r="N6" s="27">
        <v>1.12419</v>
      </c>
      <c r="O6" s="27">
        <v>0.70163399999999998</v>
      </c>
      <c r="P6" s="27">
        <v>0.43695200000000012</v>
      </c>
      <c r="Q6" s="27">
        <v>0.27157799999999999</v>
      </c>
      <c r="R6" s="27">
        <v>0.209727</v>
      </c>
      <c r="S6" s="27">
        <v>0.18942899999999999</v>
      </c>
      <c r="T6" s="27">
        <v>0.18223399999999901</v>
      </c>
      <c r="U6" s="27">
        <v>0.181168</v>
      </c>
      <c r="V6" s="27">
        <v>0.17980499999999999</v>
      </c>
      <c r="W6" s="27">
        <v>0.17882600000000001</v>
      </c>
      <c r="X6" s="27">
        <v>0.17407800000000001</v>
      </c>
      <c r="Y6" s="27">
        <v>0.16945399999999999</v>
      </c>
    </row>
    <row r="7" spans="1:25">
      <c r="A7" s="27" t="s">
        <v>209</v>
      </c>
      <c r="B7" s="27" t="s">
        <v>210</v>
      </c>
      <c r="C7" s="27" t="s">
        <v>198</v>
      </c>
      <c r="D7" s="27" t="s">
        <v>1164</v>
      </c>
      <c r="E7" s="27" t="s">
        <v>77</v>
      </c>
      <c r="F7" s="27" t="s">
        <v>200</v>
      </c>
      <c r="G7" s="27">
        <v>19.668199999999999</v>
      </c>
      <c r="H7" s="27">
        <v>24.503</v>
      </c>
      <c r="I7" s="27">
        <v>29.3354</v>
      </c>
      <c r="J7" s="27">
        <v>18.159700000000001</v>
      </c>
      <c r="K7" s="27">
        <v>7.1913999999999998</v>
      </c>
      <c r="L7" s="27">
        <v>6.0211999999999994</v>
      </c>
      <c r="M7" s="27">
        <v>4.8967999999999998</v>
      </c>
      <c r="N7" s="27">
        <v>4.0827999999999998</v>
      </c>
      <c r="O7" s="27">
        <v>3.2646999999999999</v>
      </c>
      <c r="P7" s="27">
        <v>2.8233999999999999</v>
      </c>
      <c r="Q7" s="27">
        <v>2.3757000000000001</v>
      </c>
      <c r="R7" s="27">
        <v>2.1324000000000001</v>
      </c>
      <c r="S7" s="27">
        <v>1.8957999999999999</v>
      </c>
      <c r="T7" s="27">
        <v>1.7249000000000001</v>
      </c>
      <c r="U7" s="27">
        <v>1.5517000000000001</v>
      </c>
      <c r="V7" s="27">
        <v>1.3802000000000001</v>
      </c>
      <c r="W7" s="27">
        <v>1.2358</v>
      </c>
      <c r="X7" s="27">
        <v>1.139699999999999</v>
      </c>
      <c r="Y7" s="27">
        <v>1.0427999999999999</v>
      </c>
    </row>
    <row r="8" spans="1:25">
      <c r="A8" s="27" t="s">
        <v>196</v>
      </c>
      <c r="B8" s="27" t="s">
        <v>213</v>
      </c>
      <c r="C8" s="27" t="s">
        <v>198</v>
      </c>
      <c r="D8" s="27" t="s">
        <v>1164</v>
      </c>
      <c r="E8" s="27" t="s">
        <v>77</v>
      </c>
      <c r="F8" s="27">
        <v>15.650700000000001</v>
      </c>
      <c r="G8" s="27">
        <v>21.5792</v>
      </c>
      <c r="H8" s="27">
        <v>25.761099999999999</v>
      </c>
      <c r="I8" s="27">
        <v>29.943000000000001</v>
      </c>
      <c r="J8" s="27">
        <v>22.208600000000001</v>
      </c>
      <c r="K8" s="27">
        <v>14.4992</v>
      </c>
      <c r="L8" s="27">
        <v>10.7035</v>
      </c>
      <c r="M8" s="27">
        <v>6.9077000000000002</v>
      </c>
      <c r="N8" s="27">
        <v>5.5425000000000004</v>
      </c>
      <c r="O8" s="27">
        <v>4.1772999999999998</v>
      </c>
      <c r="P8" s="27">
        <v>3.4937</v>
      </c>
      <c r="Q8" s="27">
        <v>2.8100999999999998</v>
      </c>
      <c r="R8" s="27" t="s">
        <v>200</v>
      </c>
      <c r="S8" s="27">
        <v>2.2559</v>
      </c>
      <c r="T8" s="27" t="s">
        <v>200</v>
      </c>
      <c r="U8" s="27">
        <v>2.15</v>
      </c>
      <c r="V8" s="27" t="s">
        <v>200</v>
      </c>
      <c r="W8" s="27">
        <v>5.7888000000000002</v>
      </c>
      <c r="X8" s="27" t="s">
        <v>200</v>
      </c>
      <c r="Y8" s="27">
        <v>6.5301999999999998</v>
      </c>
    </row>
    <row r="9" spans="1:25">
      <c r="A9" s="27" t="s">
        <v>214</v>
      </c>
      <c r="B9" s="27" t="s">
        <v>215</v>
      </c>
      <c r="C9" s="27" t="s">
        <v>198</v>
      </c>
      <c r="D9" s="27" t="s">
        <v>1164</v>
      </c>
      <c r="E9" s="27" t="s">
        <v>77</v>
      </c>
      <c r="F9" s="27" t="s">
        <v>200</v>
      </c>
      <c r="G9" s="27">
        <v>13.038284839249</v>
      </c>
      <c r="H9" s="27" t="s">
        <v>200</v>
      </c>
      <c r="I9" s="27">
        <v>10.3922226363491</v>
      </c>
      <c r="J9" s="27" t="s">
        <v>200</v>
      </c>
      <c r="K9" s="27">
        <v>7.13207924305277</v>
      </c>
      <c r="L9" s="27" t="s">
        <v>200</v>
      </c>
      <c r="M9" s="27">
        <v>6.9400700916874198</v>
      </c>
      <c r="N9" s="27" t="s">
        <v>200</v>
      </c>
      <c r="O9" s="27">
        <v>6.5311427966508804</v>
      </c>
      <c r="P9" s="27" t="s">
        <v>200</v>
      </c>
      <c r="Q9" s="27">
        <v>6.2826120704276001</v>
      </c>
      <c r="R9" s="27" t="s">
        <v>200</v>
      </c>
      <c r="S9" s="27">
        <v>6.28503908818809</v>
      </c>
      <c r="T9" s="27" t="s">
        <v>200</v>
      </c>
      <c r="U9" s="27">
        <v>6.5306142440703701</v>
      </c>
      <c r="V9" s="27" t="s">
        <v>200</v>
      </c>
      <c r="W9" s="27">
        <v>6.9676614019959402</v>
      </c>
      <c r="X9" s="27" t="s">
        <v>200</v>
      </c>
      <c r="Y9" s="27">
        <v>7.3677898219688798</v>
      </c>
    </row>
    <row r="10" spans="1:25">
      <c r="A10" s="27" t="s">
        <v>218</v>
      </c>
      <c r="B10" s="27" t="s">
        <v>219</v>
      </c>
      <c r="C10" s="27" t="s">
        <v>198</v>
      </c>
      <c r="D10" s="27" t="s">
        <v>1164</v>
      </c>
      <c r="E10" s="27" t="s">
        <v>77</v>
      </c>
      <c r="F10" s="27">
        <v>15.650700000000001</v>
      </c>
      <c r="G10" s="27">
        <v>21.5792</v>
      </c>
      <c r="H10" s="27">
        <v>26.9131</v>
      </c>
      <c r="I10" s="27">
        <v>32.247</v>
      </c>
      <c r="J10" s="27">
        <v>14.07</v>
      </c>
      <c r="K10" s="27">
        <v>7.9485999999999999</v>
      </c>
      <c r="L10" s="27">
        <v>6.7805</v>
      </c>
      <c r="M10" s="27">
        <v>5.6124000000000001</v>
      </c>
      <c r="N10" s="27">
        <v>4.7004999999999999</v>
      </c>
      <c r="O10" s="27">
        <v>3.7886000000000002</v>
      </c>
      <c r="P10" s="27">
        <v>3.2993999999999999</v>
      </c>
      <c r="Q10" s="27">
        <v>2.8100999999999998</v>
      </c>
      <c r="R10" s="27" t="s">
        <v>200</v>
      </c>
      <c r="S10" s="27">
        <v>2.2559</v>
      </c>
      <c r="T10" s="27" t="s">
        <v>200</v>
      </c>
      <c r="U10" s="27">
        <v>1.8396999999999999</v>
      </c>
      <c r="V10" s="27" t="s">
        <v>200</v>
      </c>
      <c r="W10" s="27">
        <v>1.4544999999999999</v>
      </c>
      <c r="X10" s="27" t="s">
        <v>200</v>
      </c>
      <c r="Y10" s="27">
        <v>1.1971000000000001</v>
      </c>
    </row>
    <row r="11" spans="1:25">
      <c r="A11" s="27" t="s">
        <v>222</v>
      </c>
      <c r="B11" s="27" t="s">
        <v>223</v>
      </c>
      <c r="C11" s="27" t="s">
        <v>198</v>
      </c>
      <c r="D11" s="27" t="s">
        <v>1164</v>
      </c>
      <c r="E11" s="27" t="s">
        <v>77</v>
      </c>
      <c r="F11" s="27">
        <v>15.650700000000001</v>
      </c>
      <c r="G11" s="27">
        <v>21.5792</v>
      </c>
      <c r="H11" s="27">
        <v>25.761099999999999</v>
      </c>
      <c r="I11" s="27">
        <v>29.943000000000001</v>
      </c>
      <c r="J11" s="27">
        <v>14.07</v>
      </c>
      <c r="K11" s="27">
        <v>7.9485999999999999</v>
      </c>
      <c r="L11" s="27">
        <v>6.7805</v>
      </c>
      <c r="M11" s="27">
        <v>5.6124000000000001</v>
      </c>
      <c r="N11" s="27">
        <v>4.7004999999999999</v>
      </c>
      <c r="O11" s="27">
        <v>3.7886000000000002</v>
      </c>
      <c r="P11" s="27">
        <v>3.2993999999999999</v>
      </c>
      <c r="Q11" s="27">
        <v>2.8100999999999998</v>
      </c>
      <c r="R11" s="27" t="s">
        <v>200</v>
      </c>
      <c r="S11" s="27">
        <v>2.2559</v>
      </c>
      <c r="T11" s="27" t="s">
        <v>200</v>
      </c>
      <c r="U11" s="27">
        <v>1.8396999999999999</v>
      </c>
      <c r="V11" s="27" t="s">
        <v>200</v>
      </c>
      <c r="W11" s="27">
        <v>1.4544999999999999</v>
      </c>
      <c r="X11" s="27" t="s">
        <v>200</v>
      </c>
      <c r="Y11" s="27">
        <v>1.1971000000000001</v>
      </c>
    </row>
    <row r="12" spans="1:25">
      <c r="A12" s="27" t="s">
        <v>196</v>
      </c>
      <c r="B12" s="27" t="s">
        <v>224</v>
      </c>
      <c r="C12" s="27" t="s">
        <v>198</v>
      </c>
      <c r="D12" s="27" t="s">
        <v>1164</v>
      </c>
      <c r="E12" s="27" t="s">
        <v>77</v>
      </c>
      <c r="F12" s="27">
        <v>15.650700000000001</v>
      </c>
      <c r="G12" s="27">
        <v>21.5792</v>
      </c>
      <c r="H12" s="27">
        <v>25.761099999999999</v>
      </c>
      <c r="I12" s="27">
        <v>29.943000000000001</v>
      </c>
      <c r="J12" s="27">
        <v>14.07</v>
      </c>
      <c r="K12" s="27">
        <v>7.9485999999999999</v>
      </c>
      <c r="L12" s="27">
        <v>6.7805</v>
      </c>
      <c r="M12" s="27">
        <v>5.6124000000000001</v>
      </c>
      <c r="N12" s="27">
        <v>4.7004999999999999</v>
      </c>
      <c r="O12" s="27">
        <v>3.7886000000000002</v>
      </c>
      <c r="P12" s="27">
        <v>3.2993999999999999</v>
      </c>
      <c r="Q12" s="27">
        <v>2.8100999999999998</v>
      </c>
      <c r="R12" s="27" t="s">
        <v>200</v>
      </c>
      <c r="S12" s="27">
        <v>2.2559</v>
      </c>
      <c r="T12" s="27" t="s">
        <v>200</v>
      </c>
      <c r="U12" s="27">
        <v>1.8396999999999999</v>
      </c>
      <c r="V12" s="27" t="s">
        <v>200</v>
      </c>
      <c r="W12" s="27">
        <v>1.4544999999999999</v>
      </c>
      <c r="X12" s="27" t="s">
        <v>200</v>
      </c>
      <c r="Y12" s="27">
        <v>1.1971000000000001</v>
      </c>
    </row>
    <row r="13" spans="1:25">
      <c r="A13" s="27" t="s">
        <v>226</v>
      </c>
      <c r="B13" s="27" t="s">
        <v>227</v>
      </c>
      <c r="C13" s="27" t="s">
        <v>198</v>
      </c>
      <c r="D13" s="27" t="s">
        <v>1164</v>
      </c>
      <c r="E13" s="27" t="s">
        <v>77</v>
      </c>
      <c r="F13" s="27">
        <v>15.650700000000001</v>
      </c>
      <c r="G13" s="27">
        <v>21.5792</v>
      </c>
      <c r="H13" s="27">
        <v>25.761099999999999</v>
      </c>
      <c r="I13" s="27">
        <v>29.943000000000001</v>
      </c>
      <c r="J13" s="27">
        <v>14.07</v>
      </c>
      <c r="K13" s="27">
        <v>7.9485999999999999</v>
      </c>
      <c r="L13" s="27">
        <v>6.7805</v>
      </c>
      <c r="M13" s="27">
        <v>5.6124000000000001</v>
      </c>
      <c r="N13" s="27">
        <v>4.7004999999999999</v>
      </c>
      <c r="O13" s="27">
        <v>3.7886000000000002</v>
      </c>
      <c r="P13" s="27">
        <v>3.2993999999999999</v>
      </c>
      <c r="Q13" s="27">
        <v>2.8100999999999998</v>
      </c>
      <c r="R13" s="27" t="s">
        <v>200</v>
      </c>
      <c r="S13" s="27">
        <v>2.2559</v>
      </c>
      <c r="T13" s="27" t="s">
        <v>200</v>
      </c>
      <c r="U13" s="27">
        <v>1.8396999999999999</v>
      </c>
      <c r="V13" s="27" t="s">
        <v>200</v>
      </c>
      <c r="W13" s="27">
        <v>1.4544999999999999</v>
      </c>
      <c r="X13" s="27" t="s">
        <v>200</v>
      </c>
      <c r="Y13" s="27">
        <v>1.1971000000000001</v>
      </c>
    </row>
    <row r="14" spans="1:25">
      <c r="A14" s="27" t="s">
        <v>226</v>
      </c>
      <c r="B14" s="27" t="s">
        <v>228</v>
      </c>
      <c r="C14" s="27" t="s">
        <v>198</v>
      </c>
      <c r="D14" s="27" t="s">
        <v>1164</v>
      </c>
      <c r="E14" s="27" t="s">
        <v>77</v>
      </c>
      <c r="F14" s="27">
        <v>15.650700000000001</v>
      </c>
      <c r="G14" s="27">
        <v>21.5792</v>
      </c>
      <c r="H14" s="27">
        <v>25.761099999999999</v>
      </c>
      <c r="I14" s="27">
        <v>29.943000000000001</v>
      </c>
      <c r="J14" s="27">
        <v>14.07</v>
      </c>
      <c r="K14" s="27">
        <v>7.9485999999999999</v>
      </c>
      <c r="L14" s="27">
        <v>6.7805</v>
      </c>
      <c r="M14" s="27">
        <v>5.6124000000000001</v>
      </c>
      <c r="N14" s="27">
        <v>4.7004999999999999</v>
      </c>
      <c r="O14" s="27">
        <v>3.7886000000000002</v>
      </c>
      <c r="P14" s="27">
        <v>3.2993999999999999</v>
      </c>
      <c r="Q14" s="27">
        <v>2.8100999999999998</v>
      </c>
      <c r="R14" s="27" t="s">
        <v>200</v>
      </c>
      <c r="S14" s="27">
        <v>2.2559</v>
      </c>
      <c r="T14" s="27" t="s">
        <v>200</v>
      </c>
      <c r="U14" s="27">
        <v>1.8396999999999999</v>
      </c>
      <c r="V14" s="27" t="s">
        <v>200</v>
      </c>
      <c r="W14" s="27">
        <v>1.4544999999999999</v>
      </c>
      <c r="X14" s="27" t="s">
        <v>200</v>
      </c>
      <c r="Y14" s="27">
        <v>1.1971000000000001</v>
      </c>
    </row>
    <row r="15" spans="1:25">
      <c r="A15" s="27" t="s">
        <v>231</v>
      </c>
      <c r="B15" s="27" t="s">
        <v>232</v>
      </c>
      <c r="C15" s="27" t="s">
        <v>198</v>
      </c>
      <c r="D15" s="27" t="s">
        <v>1164</v>
      </c>
      <c r="E15" s="27" t="s">
        <v>77</v>
      </c>
      <c r="F15" s="27">
        <v>4.5595095224</v>
      </c>
      <c r="G15" s="27">
        <v>3.4908554510999998</v>
      </c>
      <c r="H15" s="27">
        <v>4.5419844717000002</v>
      </c>
      <c r="I15" s="27">
        <v>4.9338698189999999</v>
      </c>
      <c r="J15" s="27">
        <v>3.5568833729899998</v>
      </c>
      <c r="K15" s="27">
        <v>3.1765713201570001</v>
      </c>
      <c r="L15" s="27">
        <v>2.8402106807340002</v>
      </c>
      <c r="M15" s="27">
        <v>2.8704239016609998</v>
      </c>
      <c r="N15" s="27">
        <v>2.863659538302</v>
      </c>
      <c r="O15" s="27">
        <v>2.8467668242080002</v>
      </c>
      <c r="P15" s="27">
        <v>2.7649583155130002</v>
      </c>
      <c r="Q15" s="27">
        <v>2.6627187143989999</v>
      </c>
      <c r="R15" s="27">
        <v>2.5368828746259999</v>
      </c>
      <c r="S15" s="27">
        <v>2.3763468954540001</v>
      </c>
      <c r="T15" s="27">
        <v>2.1882156126010002</v>
      </c>
      <c r="U15" s="27">
        <v>1.954660996044</v>
      </c>
      <c r="V15" s="27">
        <v>1.70304943699</v>
      </c>
      <c r="W15" s="27">
        <v>1.4282933639866999</v>
      </c>
      <c r="X15" s="27">
        <v>1.1272833485408</v>
      </c>
      <c r="Y15" s="27">
        <v>0.91220721637449997</v>
      </c>
    </row>
    <row r="16" spans="1:25">
      <c r="A16" s="27" t="s">
        <v>233</v>
      </c>
      <c r="B16" s="27" t="s">
        <v>224</v>
      </c>
      <c r="C16" s="27" t="s">
        <v>198</v>
      </c>
      <c r="D16" s="27" t="s">
        <v>1164</v>
      </c>
      <c r="E16" s="27" t="s">
        <v>77</v>
      </c>
      <c r="F16" s="27" t="s">
        <v>200</v>
      </c>
      <c r="G16" s="27">
        <v>24.47084461538461</v>
      </c>
      <c r="H16" s="27">
        <v>27.37233123076923</v>
      </c>
      <c r="I16" s="27">
        <v>26.932970252644139</v>
      </c>
      <c r="J16" s="27">
        <v>19.554101699240359</v>
      </c>
      <c r="K16" s="27">
        <v>15.790743700845489</v>
      </c>
      <c r="L16" s="27">
        <v>13.94106524239189</v>
      </c>
      <c r="M16" s="27">
        <v>12.377074009891549</v>
      </c>
      <c r="N16" s="27">
        <v>10.40575373246182</v>
      </c>
      <c r="O16" s="27">
        <v>8.3894102762906169</v>
      </c>
      <c r="P16" s="27">
        <v>7.048455528851056</v>
      </c>
      <c r="Q16" s="27">
        <v>6.1774537067222042</v>
      </c>
      <c r="R16" s="27">
        <v>5.6994992307245136</v>
      </c>
      <c r="S16" s="27">
        <v>5.3219164590548083</v>
      </c>
      <c r="T16" s="27">
        <v>4.7180129104428161</v>
      </c>
      <c r="U16" s="27">
        <v>4.0390967442186971</v>
      </c>
      <c r="V16" s="27">
        <v>3.5026695200371409</v>
      </c>
      <c r="W16" s="27">
        <v>3.2084141922136342</v>
      </c>
      <c r="X16" s="27">
        <v>3.1352573053704131</v>
      </c>
      <c r="Y16" s="27">
        <v>3.3442313569407101</v>
      </c>
    </row>
    <row r="17" spans="1:25">
      <c r="A17" s="27" t="s">
        <v>220</v>
      </c>
      <c r="B17" s="27" t="s">
        <v>215</v>
      </c>
      <c r="C17" s="27" t="s">
        <v>198</v>
      </c>
      <c r="D17" s="27" t="s">
        <v>1164</v>
      </c>
      <c r="E17" s="27" t="s">
        <v>77</v>
      </c>
      <c r="F17" s="27" t="s">
        <v>200</v>
      </c>
      <c r="G17" s="27">
        <v>15.1773608429188</v>
      </c>
      <c r="H17" s="27" t="s">
        <v>200</v>
      </c>
      <c r="I17" s="27">
        <v>15.588614787057351</v>
      </c>
      <c r="J17" s="27" t="s">
        <v>200</v>
      </c>
      <c r="K17" s="27">
        <v>10.379024452102</v>
      </c>
      <c r="L17" s="27" t="s">
        <v>200</v>
      </c>
      <c r="M17" s="27">
        <v>6.7396204310327086</v>
      </c>
      <c r="N17" s="27" t="s">
        <v>200</v>
      </c>
      <c r="O17" s="27">
        <v>3.2701201036692131</v>
      </c>
      <c r="P17" s="27" t="s">
        <v>200</v>
      </c>
      <c r="Q17" s="27">
        <v>1.5897129717806671</v>
      </c>
      <c r="R17" s="27" t="s">
        <v>200</v>
      </c>
      <c r="S17" s="27">
        <v>0.854123540215173</v>
      </c>
      <c r="T17" s="27" t="s">
        <v>200</v>
      </c>
      <c r="U17" s="27">
        <v>0.54661247298065319</v>
      </c>
      <c r="V17" s="27" t="s">
        <v>200</v>
      </c>
      <c r="W17" s="27">
        <v>0.4628038925167488</v>
      </c>
      <c r="X17" s="27" t="s">
        <v>200</v>
      </c>
      <c r="Y17" s="27">
        <v>0.46816899746739638</v>
      </c>
    </row>
    <row r="18" spans="1:25">
      <c r="A18" s="27" t="s">
        <v>226</v>
      </c>
      <c r="B18" s="27" t="s">
        <v>234</v>
      </c>
      <c r="C18" s="27" t="s">
        <v>198</v>
      </c>
      <c r="D18" s="27" t="s">
        <v>1164</v>
      </c>
      <c r="E18" s="27" t="s">
        <v>77</v>
      </c>
      <c r="F18" s="27">
        <v>15.650700000000001</v>
      </c>
      <c r="G18" s="27">
        <v>21.5792</v>
      </c>
      <c r="H18" s="27">
        <v>25.761099999999999</v>
      </c>
      <c r="I18" s="27">
        <v>29.943000000000001</v>
      </c>
      <c r="J18" s="27">
        <v>14.07</v>
      </c>
      <c r="K18" s="27">
        <v>7.9485999999999999</v>
      </c>
      <c r="L18" s="27">
        <v>6.7805</v>
      </c>
      <c r="M18" s="27">
        <v>5.6124000000000001</v>
      </c>
      <c r="N18" s="27">
        <v>4.7004999999999999</v>
      </c>
      <c r="O18" s="27">
        <v>3.7886000000000002</v>
      </c>
      <c r="P18" s="27">
        <v>3.2993999999999999</v>
      </c>
      <c r="Q18" s="27">
        <v>2.8100999999999998</v>
      </c>
      <c r="R18" s="27" t="s">
        <v>200</v>
      </c>
      <c r="S18" s="27">
        <v>2.2559</v>
      </c>
      <c r="T18" s="27" t="s">
        <v>200</v>
      </c>
      <c r="U18" s="27">
        <v>1.8396999999999999</v>
      </c>
      <c r="V18" s="27" t="s">
        <v>200</v>
      </c>
      <c r="W18" s="27">
        <v>1.4544999999999999</v>
      </c>
      <c r="X18" s="27" t="s">
        <v>200</v>
      </c>
      <c r="Y18" s="27">
        <v>1.1971000000000001</v>
      </c>
    </row>
    <row r="19" spans="1:25">
      <c r="A19" s="27" t="s">
        <v>196</v>
      </c>
      <c r="B19" s="27" t="s">
        <v>236</v>
      </c>
      <c r="C19" s="27" t="s">
        <v>198</v>
      </c>
      <c r="D19" s="27" t="s">
        <v>1164</v>
      </c>
      <c r="E19" s="27" t="s">
        <v>77</v>
      </c>
      <c r="F19" s="27" t="s">
        <v>200</v>
      </c>
      <c r="G19" s="27">
        <v>21.5792</v>
      </c>
      <c r="H19" s="27">
        <v>25.761099999999999</v>
      </c>
      <c r="I19" s="27">
        <v>29.943000000000001</v>
      </c>
      <c r="J19" s="27">
        <v>14.07</v>
      </c>
      <c r="K19" s="27">
        <v>7.9485999999999999</v>
      </c>
      <c r="L19" s="27">
        <v>6.7805</v>
      </c>
      <c r="M19" s="27">
        <v>5.6124000000000001</v>
      </c>
      <c r="N19" s="27">
        <v>4.7004999999999999</v>
      </c>
      <c r="O19" s="27">
        <v>3.7886000000000002</v>
      </c>
      <c r="P19" s="27">
        <v>3.2993999999999999</v>
      </c>
      <c r="Q19" s="27">
        <v>2.8100999999999998</v>
      </c>
      <c r="R19" s="27" t="s">
        <v>200</v>
      </c>
      <c r="S19" s="27">
        <v>2.2559</v>
      </c>
      <c r="T19" s="27" t="s">
        <v>200</v>
      </c>
      <c r="U19" s="27">
        <v>1.8396999999999999</v>
      </c>
      <c r="V19" s="27" t="s">
        <v>200</v>
      </c>
      <c r="W19" s="27">
        <v>1.4544999999999999</v>
      </c>
      <c r="X19" s="27" t="s">
        <v>200</v>
      </c>
      <c r="Y19" s="27">
        <v>1.1971000000000001</v>
      </c>
    </row>
    <row r="20" spans="1:25">
      <c r="A20" s="27" t="s">
        <v>231</v>
      </c>
      <c r="B20" s="27" t="s">
        <v>237</v>
      </c>
      <c r="C20" s="27" t="s">
        <v>198</v>
      </c>
      <c r="D20" s="27" t="s">
        <v>1164</v>
      </c>
      <c r="E20" s="27" t="s">
        <v>77</v>
      </c>
      <c r="F20" s="27">
        <v>4.5595095224</v>
      </c>
      <c r="G20" s="27">
        <v>3.4908554510999998</v>
      </c>
      <c r="H20" s="27">
        <v>4.5419844717000002</v>
      </c>
      <c r="I20" s="27">
        <v>4.9338698189999999</v>
      </c>
      <c r="J20" s="27">
        <v>3.8199418283000002</v>
      </c>
      <c r="K20" s="27">
        <v>3.7133477402600001</v>
      </c>
      <c r="L20" s="27">
        <v>3.4301696913169999</v>
      </c>
      <c r="M20" s="27">
        <v>3.02533740368</v>
      </c>
      <c r="N20" s="27">
        <v>2.882311271621</v>
      </c>
      <c r="O20" s="27">
        <v>2.861413411779</v>
      </c>
      <c r="P20" s="27">
        <v>2.7748482406120001</v>
      </c>
      <c r="Q20" s="27">
        <v>2.6717245387370001</v>
      </c>
      <c r="R20" s="27">
        <v>2.5387825792549998</v>
      </c>
      <c r="S20" s="27">
        <v>2.3747285283620001</v>
      </c>
      <c r="T20" s="27">
        <v>2.188398484266</v>
      </c>
      <c r="U20" s="27">
        <v>1.95163698354</v>
      </c>
      <c r="V20" s="27">
        <v>1.6958112076259999</v>
      </c>
      <c r="W20" s="27">
        <v>1.4189935995198</v>
      </c>
      <c r="X20" s="27">
        <v>1.1198643593561</v>
      </c>
      <c r="Y20" s="27">
        <v>0.90087956238529998</v>
      </c>
    </row>
    <row r="21" spans="1:25">
      <c r="A21" s="27" t="s">
        <v>233</v>
      </c>
      <c r="B21" s="27" t="s">
        <v>238</v>
      </c>
      <c r="C21" s="27" t="s">
        <v>198</v>
      </c>
      <c r="D21" s="27" t="s">
        <v>1164</v>
      </c>
      <c r="E21" s="27" t="s">
        <v>77</v>
      </c>
      <c r="F21" s="27" t="s">
        <v>200</v>
      </c>
      <c r="G21" s="27">
        <v>24.47084461538461</v>
      </c>
      <c r="H21" s="27">
        <v>27.37233123076923</v>
      </c>
      <c r="I21" s="27">
        <v>26.932970252644139</v>
      </c>
      <c r="J21" s="27">
        <v>19.576922144420241</v>
      </c>
      <c r="K21" s="27">
        <v>15.813261190353479</v>
      </c>
      <c r="L21" s="27">
        <v>13.94511047088454</v>
      </c>
      <c r="M21" s="27">
        <v>12.37941063553124</v>
      </c>
      <c r="N21" s="27">
        <v>10.42949306708401</v>
      </c>
      <c r="O21" s="27">
        <v>8.4002195916702309</v>
      </c>
      <c r="P21" s="27">
        <v>7.048455528851056</v>
      </c>
      <c r="Q21" s="27">
        <v>6.1786546441564401</v>
      </c>
      <c r="R21" s="27">
        <v>5.6994992307245136</v>
      </c>
      <c r="S21" s="27">
        <v>5.3219164590548083</v>
      </c>
      <c r="T21" s="27">
        <v>4.7180129104428161</v>
      </c>
      <c r="U21" s="27">
        <v>4.0392859733057627</v>
      </c>
      <c r="V21" s="27">
        <v>3.5102966098577961</v>
      </c>
      <c r="W21" s="27">
        <v>3.2088313285515619</v>
      </c>
      <c r="X21" s="27">
        <v>3.1361884564908569</v>
      </c>
      <c r="Y21" s="27">
        <v>3.3442313569407101</v>
      </c>
    </row>
    <row r="22" spans="1:25">
      <c r="A22" s="27" t="s">
        <v>239</v>
      </c>
      <c r="B22" s="27" t="s">
        <v>240</v>
      </c>
      <c r="C22" s="27" t="s">
        <v>198</v>
      </c>
      <c r="D22" s="27" t="s">
        <v>1164</v>
      </c>
      <c r="E22" s="27" t="s">
        <v>77</v>
      </c>
      <c r="F22" s="27">
        <v>15.65</v>
      </c>
      <c r="G22" s="27">
        <v>21.58</v>
      </c>
      <c r="H22" s="27" t="s">
        <v>200</v>
      </c>
      <c r="I22" s="27">
        <v>24.65</v>
      </c>
      <c r="J22" s="27" t="s">
        <v>200</v>
      </c>
      <c r="K22" s="27">
        <v>8.4</v>
      </c>
      <c r="L22" s="27" t="s">
        <v>200</v>
      </c>
      <c r="M22" s="27">
        <v>5.6139999999999999</v>
      </c>
      <c r="N22" s="27" t="s">
        <v>200</v>
      </c>
      <c r="O22" s="27">
        <v>3.7890000000000001</v>
      </c>
      <c r="P22" s="27" t="s">
        <v>200</v>
      </c>
      <c r="Q22" s="27">
        <v>2.81</v>
      </c>
      <c r="R22" s="27" t="s">
        <v>200</v>
      </c>
      <c r="S22" s="27">
        <v>2.2559999999999998</v>
      </c>
      <c r="T22" s="27" t="s">
        <v>200</v>
      </c>
      <c r="U22" s="27">
        <v>1.84</v>
      </c>
      <c r="V22" s="27" t="s">
        <v>200</v>
      </c>
      <c r="W22" s="27">
        <v>1.4550000000000001</v>
      </c>
      <c r="X22" s="27" t="s">
        <v>200</v>
      </c>
      <c r="Y22" s="27">
        <v>1.1970000000000001</v>
      </c>
    </row>
    <row r="23" spans="1:25">
      <c r="A23" s="27" t="s">
        <v>244</v>
      </c>
      <c r="B23" s="27" t="s">
        <v>202</v>
      </c>
      <c r="C23" s="27" t="s">
        <v>198</v>
      </c>
      <c r="D23" s="27" t="s">
        <v>1164</v>
      </c>
      <c r="E23" s="27" t="s">
        <v>77</v>
      </c>
      <c r="F23" s="27" t="s">
        <v>200</v>
      </c>
      <c r="G23" s="27" t="s">
        <v>200</v>
      </c>
      <c r="H23" s="27">
        <v>7.2290182889530321</v>
      </c>
      <c r="I23" s="27">
        <v>7.7330678264836159</v>
      </c>
      <c r="J23" s="27">
        <v>7.2387697744436998</v>
      </c>
      <c r="K23" s="27">
        <v>8.1338647011356802</v>
      </c>
      <c r="L23" s="27">
        <v>8.3913412125252211</v>
      </c>
      <c r="M23" s="27">
        <v>8.3953432510079651</v>
      </c>
      <c r="N23" s="27">
        <v>8.2014837074438098</v>
      </c>
      <c r="O23" s="27">
        <v>7.9757578258766832</v>
      </c>
      <c r="P23" s="27">
        <v>7.7028215581461783</v>
      </c>
      <c r="Q23" s="27">
        <v>7.4430681877448421</v>
      </c>
      <c r="R23" s="27">
        <v>7.5165228777338546</v>
      </c>
      <c r="S23" s="27">
        <v>7.6073967178448756</v>
      </c>
      <c r="T23" s="27">
        <v>7.7311001532176249</v>
      </c>
      <c r="U23" s="27">
        <v>7.7827356974062676</v>
      </c>
      <c r="V23" s="27">
        <v>7.8432977520345393</v>
      </c>
      <c r="W23" s="27">
        <v>7.9534366662752634</v>
      </c>
      <c r="X23" s="27">
        <v>8.2238740451976291</v>
      </c>
      <c r="Y23" s="27">
        <v>8.5330119204953441</v>
      </c>
    </row>
    <row r="24" spans="1:25">
      <c r="A24" s="27" t="s">
        <v>247</v>
      </c>
      <c r="B24" s="27" t="s">
        <v>248</v>
      </c>
      <c r="C24" s="27" t="s">
        <v>198</v>
      </c>
      <c r="D24" s="27" t="s">
        <v>1164</v>
      </c>
      <c r="E24" s="27" t="s">
        <v>77</v>
      </c>
      <c r="F24" s="27" t="s">
        <v>200</v>
      </c>
      <c r="G24" s="27">
        <v>10.9180439148973</v>
      </c>
      <c r="H24" s="27" t="s">
        <v>200</v>
      </c>
      <c r="I24" s="27">
        <v>12.079131575980201</v>
      </c>
      <c r="J24" s="27" t="s">
        <v>200</v>
      </c>
      <c r="K24" s="27">
        <v>0.91953194683364903</v>
      </c>
      <c r="L24" s="27" t="s">
        <v>200</v>
      </c>
      <c r="M24" s="27">
        <v>0.76004289317001306</v>
      </c>
      <c r="N24" s="27" t="s">
        <v>200</v>
      </c>
      <c r="O24" s="27">
        <v>0.51700401030534404</v>
      </c>
      <c r="P24" s="27" t="s">
        <v>200</v>
      </c>
      <c r="Q24" s="27">
        <v>0.41267878455779999</v>
      </c>
      <c r="R24" s="27" t="s">
        <v>200</v>
      </c>
      <c r="S24" s="27">
        <v>0.38223179965338111</v>
      </c>
      <c r="T24" s="27" t="s">
        <v>200</v>
      </c>
      <c r="U24" s="27">
        <v>0.25941360323057611</v>
      </c>
      <c r="V24" s="27" t="s">
        <v>200</v>
      </c>
      <c r="W24" s="27">
        <v>0.22515284796862811</v>
      </c>
      <c r="X24" s="27" t="s">
        <v>200</v>
      </c>
      <c r="Y24" s="27">
        <v>0.22220415231921301</v>
      </c>
    </row>
    <row r="25" spans="1:25">
      <c r="A25" s="27" t="s">
        <v>203</v>
      </c>
      <c r="B25" s="27" t="s">
        <v>249</v>
      </c>
      <c r="C25" s="27" t="s">
        <v>198</v>
      </c>
      <c r="D25" s="27" t="s">
        <v>1164</v>
      </c>
      <c r="E25" s="27" t="s">
        <v>77</v>
      </c>
      <c r="F25" s="27">
        <v>15.650700000000001</v>
      </c>
      <c r="G25" s="27">
        <v>21.5792</v>
      </c>
      <c r="H25" s="27">
        <v>25.761099999999999</v>
      </c>
      <c r="I25" s="27">
        <v>29.943000000000001</v>
      </c>
      <c r="J25" s="27">
        <v>14.07</v>
      </c>
      <c r="K25" s="27">
        <v>7.9485999999999999</v>
      </c>
      <c r="L25" s="27">
        <v>6.7805</v>
      </c>
      <c r="M25" s="27">
        <v>5.6124000000000001</v>
      </c>
      <c r="N25" s="27">
        <v>4.7004999999999999</v>
      </c>
      <c r="O25" s="27">
        <v>3.7886000000000002</v>
      </c>
      <c r="P25" s="27">
        <v>3.2993999999999999</v>
      </c>
      <c r="Q25" s="27">
        <v>2.8100999999999998</v>
      </c>
      <c r="R25" s="27" t="s">
        <v>200</v>
      </c>
      <c r="S25" s="27">
        <v>2.2559</v>
      </c>
      <c r="T25" s="27" t="s">
        <v>200</v>
      </c>
      <c r="U25" s="27">
        <v>1.8396999999999999</v>
      </c>
      <c r="V25" s="27" t="s">
        <v>200</v>
      </c>
      <c r="W25" s="27">
        <v>1.4544999999999999</v>
      </c>
      <c r="X25" s="27" t="s">
        <v>200</v>
      </c>
      <c r="Y25" s="27">
        <v>1.1971000000000001</v>
      </c>
    </row>
    <row r="26" spans="1:25">
      <c r="A26" s="27" t="s">
        <v>196</v>
      </c>
      <c r="B26" s="27" t="s">
        <v>250</v>
      </c>
      <c r="C26" s="27" t="s">
        <v>198</v>
      </c>
      <c r="D26" s="27" t="s">
        <v>1164</v>
      </c>
      <c r="E26" s="27" t="s">
        <v>77</v>
      </c>
      <c r="F26" s="27">
        <v>15.650700000000001</v>
      </c>
      <c r="G26" s="27">
        <v>21.5792</v>
      </c>
      <c r="H26" s="27">
        <v>25.761099999999999</v>
      </c>
      <c r="I26" s="27">
        <v>29.943000000000001</v>
      </c>
      <c r="J26" s="27">
        <v>14.07</v>
      </c>
      <c r="K26" s="27">
        <v>7.9485999999999999</v>
      </c>
      <c r="L26" s="27">
        <v>6.7805</v>
      </c>
      <c r="M26" s="27">
        <v>5.6124000000000001</v>
      </c>
      <c r="N26" s="27">
        <v>4.7004999999999999</v>
      </c>
      <c r="O26" s="27">
        <v>3.7886000000000002</v>
      </c>
      <c r="P26" s="27">
        <v>3.2993999999999999</v>
      </c>
      <c r="Q26" s="27">
        <v>2.8100999999999998</v>
      </c>
      <c r="R26" s="27" t="s">
        <v>200</v>
      </c>
      <c r="S26" s="27">
        <v>2.2559</v>
      </c>
      <c r="T26" s="27" t="s">
        <v>200</v>
      </c>
      <c r="U26" s="27">
        <v>1.8396999999999999</v>
      </c>
      <c r="V26" s="27" t="s">
        <v>200</v>
      </c>
      <c r="W26" s="27">
        <v>1.4544999999999999</v>
      </c>
      <c r="X26" s="27" t="s">
        <v>200</v>
      </c>
      <c r="Y26" s="27">
        <v>1.1971000000000001</v>
      </c>
    </row>
    <row r="27" spans="1:25">
      <c r="A27" s="27" t="s">
        <v>203</v>
      </c>
      <c r="B27" s="27" t="s">
        <v>251</v>
      </c>
      <c r="C27" s="27" t="s">
        <v>198</v>
      </c>
      <c r="D27" s="27" t="s">
        <v>1164</v>
      </c>
      <c r="E27" s="27" t="s">
        <v>77</v>
      </c>
      <c r="F27" s="27">
        <v>15.650700000000001</v>
      </c>
      <c r="G27" s="27">
        <v>21.5792</v>
      </c>
      <c r="H27" s="27">
        <v>25.761099999999999</v>
      </c>
      <c r="I27" s="27">
        <v>29.943000000000001</v>
      </c>
      <c r="J27" s="27">
        <v>14.07</v>
      </c>
      <c r="K27" s="27">
        <v>7.9485999999999999</v>
      </c>
      <c r="L27" s="27">
        <v>6.7805</v>
      </c>
      <c r="M27" s="27">
        <v>5.6124000000000001</v>
      </c>
      <c r="N27" s="27">
        <v>4.7004999999999999</v>
      </c>
      <c r="O27" s="27">
        <v>3.7886000000000002</v>
      </c>
      <c r="P27" s="27">
        <v>3.2993999999999999</v>
      </c>
      <c r="Q27" s="27">
        <v>2.8100999999999998</v>
      </c>
      <c r="R27" s="27" t="s">
        <v>200</v>
      </c>
      <c r="S27" s="27">
        <v>2.2559</v>
      </c>
      <c r="T27" s="27" t="s">
        <v>200</v>
      </c>
      <c r="U27" s="27">
        <v>1.8396999999999999</v>
      </c>
      <c r="V27" s="27" t="s">
        <v>200</v>
      </c>
      <c r="W27" s="27">
        <v>1.4544999999999999</v>
      </c>
      <c r="X27" s="27" t="s">
        <v>200</v>
      </c>
      <c r="Y27" s="27">
        <v>1.1971000000000001</v>
      </c>
    </row>
    <row r="28" spans="1:25">
      <c r="A28" s="27" t="s">
        <v>205</v>
      </c>
      <c r="B28" s="27" t="s">
        <v>252</v>
      </c>
      <c r="C28" s="27" t="s">
        <v>198</v>
      </c>
      <c r="D28" s="27" t="s">
        <v>1164</v>
      </c>
      <c r="E28" s="27" t="s">
        <v>77</v>
      </c>
      <c r="F28" s="27">
        <v>8.3113600000000005</v>
      </c>
      <c r="G28" s="27">
        <v>7.9428700000000001</v>
      </c>
      <c r="H28" s="27">
        <v>8.15076</v>
      </c>
      <c r="I28" s="27">
        <v>7.7605199999999996</v>
      </c>
      <c r="J28" s="27">
        <v>6.1751699999999996</v>
      </c>
      <c r="K28" s="27">
        <v>3.8713299999999999</v>
      </c>
      <c r="L28" s="27">
        <v>2.4276200000000001</v>
      </c>
      <c r="M28" s="27">
        <v>1.5205</v>
      </c>
      <c r="N28" s="27">
        <v>0.95054300000000003</v>
      </c>
      <c r="O28" s="27">
        <v>0.59296599999999999</v>
      </c>
      <c r="P28" s="27">
        <v>0.36912499999999998</v>
      </c>
      <c r="Q28" s="27">
        <v>0.24309800000000001</v>
      </c>
      <c r="R28" s="27">
        <v>0.19745099999999999</v>
      </c>
      <c r="S28" s="27">
        <v>0.185609</v>
      </c>
      <c r="T28" s="27">
        <v>0.18110699999999999</v>
      </c>
      <c r="U28" s="27">
        <v>0.18099899999999999</v>
      </c>
      <c r="V28" s="27">
        <v>0.17973900000000001</v>
      </c>
      <c r="W28" s="27">
        <v>0.17880399999999999</v>
      </c>
      <c r="X28" s="27">
        <v>0.174064</v>
      </c>
      <c r="Y28" s="27">
        <v>0.16944899999999999</v>
      </c>
    </row>
    <row r="29" spans="1:25">
      <c r="A29" s="27" t="s">
        <v>205</v>
      </c>
      <c r="B29" s="27" t="s">
        <v>253</v>
      </c>
      <c r="C29" s="27" t="s">
        <v>198</v>
      </c>
      <c r="D29" s="27" t="s">
        <v>1164</v>
      </c>
      <c r="E29" s="27" t="s">
        <v>77</v>
      </c>
      <c r="F29" s="27">
        <v>8.3113600000000005</v>
      </c>
      <c r="G29" s="27">
        <v>7.9428700000000001</v>
      </c>
      <c r="H29" s="27">
        <v>8.15076</v>
      </c>
      <c r="I29" s="27">
        <v>7.7605199999999996</v>
      </c>
      <c r="J29" s="27">
        <v>5.8575300000000006</v>
      </c>
      <c r="K29" s="27">
        <v>3.2202599999999988</v>
      </c>
      <c r="L29" s="27">
        <v>1.7724299999999999</v>
      </c>
      <c r="M29" s="27">
        <v>0.97511800000000004</v>
      </c>
      <c r="N29" s="27">
        <v>0.53577700000000006</v>
      </c>
      <c r="O29" s="27">
        <v>0.29389199999999999</v>
      </c>
      <c r="P29" s="27">
        <v>0.20857300000000001</v>
      </c>
      <c r="Q29" s="27">
        <v>0.17644299999999999</v>
      </c>
      <c r="R29" s="27">
        <v>0.17498900000000001</v>
      </c>
      <c r="S29" s="27">
        <v>0.17865799999999901</v>
      </c>
      <c r="T29" s="27">
        <v>0.17948699999999901</v>
      </c>
      <c r="U29" s="27">
        <v>0.18041499999999999</v>
      </c>
      <c r="V29" s="27">
        <v>0.179508</v>
      </c>
      <c r="W29" s="27">
        <v>0.17870800000000001</v>
      </c>
      <c r="X29" s="27">
        <v>0.17402599999999999</v>
      </c>
      <c r="Y29" s="27">
        <v>0.16944100000000001</v>
      </c>
    </row>
    <row r="30" spans="1:25">
      <c r="A30" s="27" t="s">
        <v>255</v>
      </c>
      <c r="B30" s="27" t="s">
        <v>256</v>
      </c>
      <c r="C30" s="27" t="s">
        <v>198</v>
      </c>
      <c r="D30" s="27" t="s">
        <v>1164</v>
      </c>
      <c r="E30" s="27" t="s">
        <v>77</v>
      </c>
      <c r="F30" s="27">
        <v>6.6384392833814596</v>
      </c>
      <c r="G30" s="27">
        <v>4.84521323226073</v>
      </c>
      <c r="H30" s="27">
        <v>6.3338737194031909</v>
      </c>
      <c r="I30" s="27">
        <v>7.6899956597222197</v>
      </c>
      <c r="J30" s="27">
        <v>2.10877458595469</v>
      </c>
      <c r="K30" s="27">
        <v>0.62069759222016008</v>
      </c>
      <c r="L30" s="27">
        <v>6.9618300636216005E-2</v>
      </c>
      <c r="M30" s="27">
        <v>7.0186766067353801E-2</v>
      </c>
      <c r="N30" s="27">
        <v>6.9775995772795099E-2</v>
      </c>
      <c r="O30" s="27">
        <v>6.9777624048415601E-2</v>
      </c>
      <c r="P30" s="27">
        <v>6.9606201876901599E-2</v>
      </c>
      <c r="Q30" s="27">
        <v>6.9152735509756993E-2</v>
      </c>
      <c r="R30" s="27">
        <v>6.8691522243655004E-2</v>
      </c>
      <c r="S30" s="27">
        <v>6.8166877570325399E-2</v>
      </c>
      <c r="T30" s="27">
        <v>6.7616499427652701E-2</v>
      </c>
      <c r="U30" s="27">
        <v>6.7048487227873196E-2</v>
      </c>
      <c r="V30" s="27">
        <v>6.6493392121804995E-2</v>
      </c>
      <c r="W30" s="27">
        <v>6.5976817484604905E-2</v>
      </c>
      <c r="X30" s="27">
        <v>6.5524500982202694E-2</v>
      </c>
      <c r="Y30" s="27">
        <v>6.5147853133701999E-2</v>
      </c>
    </row>
    <row r="31" spans="1:25">
      <c r="A31" s="27" t="s">
        <v>257</v>
      </c>
      <c r="B31" s="27" t="s">
        <v>197</v>
      </c>
      <c r="C31" s="27" t="s">
        <v>198</v>
      </c>
      <c r="D31" s="27" t="s">
        <v>1164</v>
      </c>
      <c r="E31" s="27" t="s">
        <v>77</v>
      </c>
      <c r="F31" s="27" t="s">
        <v>200</v>
      </c>
      <c r="G31" s="27">
        <v>19.668299999999999</v>
      </c>
      <c r="H31" s="27">
        <v>24.502800000000001</v>
      </c>
      <c r="I31" s="27">
        <v>29.337399999999999</v>
      </c>
      <c r="J31" s="27">
        <v>18.0488</v>
      </c>
      <c r="K31" s="27">
        <v>7.1106999999999996</v>
      </c>
      <c r="L31" s="27">
        <v>5.9981</v>
      </c>
      <c r="M31" s="27">
        <v>4.9424999999999999</v>
      </c>
      <c r="N31" s="27">
        <v>4.1185999999999998</v>
      </c>
      <c r="O31" s="27">
        <v>3.2728999999999999</v>
      </c>
      <c r="P31" s="27">
        <v>2.8256999999999999</v>
      </c>
      <c r="Q31" s="27">
        <v>2.3809</v>
      </c>
      <c r="R31" s="27">
        <v>2.1372</v>
      </c>
      <c r="S31" s="27">
        <v>1.8953</v>
      </c>
      <c r="T31" s="27">
        <v>1.7235</v>
      </c>
      <c r="U31" s="27">
        <v>1.5517000000000001</v>
      </c>
      <c r="V31" s="27">
        <v>1.3801000000000001</v>
      </c>
      <c r="W31" s="27">
        <v>1.2355</v>
      </c>
      <c r="X31" s="27">
        <v>1.1392</v>
      </c>
      <c r="Y31" s="27">
        <v>1.0425</v>
      </c>
    </row>
    <row r="32" spans="1:25">
      <c r="A32" s="27" t="s">
        <v>196</v>
      </c>
      <c r="B32" s="27" t="s">
        <v>258</v>
      </c>
      <c r="C32" s="27" t="s">
        <v>198</v>
      </c>
      <c r="D32" s="27" t="s">
        <v>1164</v>
      </c>
      <c r="E32" s="27" t="s">
        <v>77</v>
      </c>
      <c r="F32" s="27">
        <v>15.650700000000001</v>
      </c>
      <c r="G32" s="27">
        <v>21.5792</v>
      </c>
      <c r="H32" s="27">
        <v>25.761099999999999</v>
      </c>
      <c r="I32" s="27">
        <v>29.943000000000001</v>
      </c>
      <c r="J32" s="27">
        <v>14.07</v>
      </c>
      <c r="K32" s="27">
        <v>7.9485999999999999</v>
      </c>
      <c r="L32" s="27">
        <v>6.7805</v>
      </c>
      <c r="M32" s="27">
        <v>5.6124000000000001</v>
      </c>
      <c r="N32" s="27">
        <v>4.7004999999999999</v>
      </c>
      <c r="O32" s="27">
        <v>3.7886000000000002</v>
      </c>
      <c r="P32" s="27">
        <v>3.2993999999999999</v>
      </c>
      <c r="Q32" s="27">
        <v>2.8100999999999998</v>
      </c>
      <c r="R32" s="27" t="s">
        <v>200</v>
      </c>
      <c r="S32" s="27">
        <v>2.2559</v>
      </c>
      <c r="T32" s="27" t="s">
        <v>200</v>
      </c>
      <c r="U32" s="27">
        <v>1.8396999999999999</v>
      </c>
      <c r="V32" s="27" t="s">
        <v>200</v>
      </c>
      <c r="W32" s="27">
        <v>1.4544999999999999</v>
      </c>
      <c r="X32" s="27" t="s">
        <v>200</v>
      </c>
      <c r="Y32" s="27">
        <v>1.1971000000000001</v>
      </c>
    </row>
    <row r="33" spans="1:25">
      <c r="A33" s="27" t="s">
        <v>247</v>
      </c>
      <c r="B33" s="27" t="s">
        <v>259</v>
      </c>
      <c r="C33" s="27" t="s">
        <v>198</v>
      </c>
      <c r="D33" s="27" t="s">
        <v>1164</v>
      </c>
      <c r="E33" s="27" t="s">
        <v>77</v>
      </c>
      <c r="F33" s="27" t="s">
        <v>200</v>
      </c>
      <c r="G33" s="27">
        <v>10.9180439148973</v>
      </c>
      <c r="H33" s="27" t="s">
        <v>200</v>
      </c>
      <c r="I33" s="27">
        <v>12.0791297677002</v>
      </c>
      <c r="J33" s="27" t="s">
        <v>200</v>
      </c>
      <c r="K33" s="27">
        <v>0.92705586533466322</v>
      </c>
      <c r="L33" s="27" t="s">
        <v>200</v>
      </c>
      <c r="M33" s="27">
        <v>0.76302224659995999</v>
      </c>
      <c r="N33" s="27" t="s">
        <v>200</v>
      </c>
      <c r="O33" s="27">
        <v>0.51859269993774404</v>
      </c>
      <c r="P33" s="27" t="s">
        <v>200</v>
      </c>
      <c r="Q33" s="27">
        <v>0.41504643898315402</v>
      </c>
      <c r="R33" s="27" t="s">
        <v>200</v>
      </c>
      <c r="S33" s="27">
        <v>0.38514937937283211</v>
      </c>
      <c r="T33" s="27" t="s">
        <v>200</v>
      </c>
      <c r="U33" s="27">
        <v>0.261768848691879</v>
      </c>
      <c r="V33" s="27" t="s">
        <v>200</v>
      </c>
      <c r="W33" s="27">
        <v>0.22769529910327099</v>
      </c>
      <c r="X33" s="27" t="s">
        <v>200</v>
      </c>
      <c r="Y33" s="27">
        <v>0.22588213995767101</v>
      </c>
    </row>
    <row r="34" spans="1:25">
      <c r="A34" s="27" t="s">
        <v>233</v>
      </c>
      <c r="B34" s="27" t="s">
        <v>260</v>
      </c>
      <c r="C34" s="27" t="s">
        <v>198</v>
      </c>
      <c r="D34" s="27" t="s">
        <v>1164</v>
      </c>
      <c r="E34" s="27" t="s">
        <v>77</v>
      </c>
      <c r="F34" s="27" t="s">
        <v>200</v>
      </c>
      <c r="G34" s="27">
        <v>24.47084461538461</v>
      </c>
      <c r="H34" s="27">
        <v>27.37233123076923</v>
      </c>
      <c r="I34" s="27">
        <v>26.932970252644139</v>
      </c>
      <c r="J34" s="27">
        <v>19.57699528013703</v>
      </c>
      <c r="K34" s="27">
        <v>15.922822133131801</v>
      </c>
      <c r="L34" s="27">
        <v>13.94511047088454</v>
      </c>
      <c r="M34" s="27">
        <v>12.45750610399833</v>
      </c>
      <c r="N34" s="27">
        <v>10.446710629977019</v>
      </c>
      <c r="O34" s="27">
        <v>8.4002195916702309</v>
      </c>
      <c r="P34" s="27">
        <v>7.0523269481494504</v>
      </c>
      <c r="Q34" s="27">
        <v>6.1786546441564401</v>
      </c>
      <c r="R34" s="27">
        <v>5.6996511424145684</v>
      </c>
      <c r="S34" s="27">
        <v>5.3220133121020918</v>
      </c>
      <c r="T34" s="27">
        <v>4.7196345116124627</v>
      </c>
      <c r="U34" s="27">
        <v>4.0392859733057627</v>
      </c>
      <c r="V34" s="27">
        <v>3.5102966098577961</v>
      </c>
      <c r="W34" s="27">
        <v>3.21382691914829</v>
      </c>
      <c r="X34" s="27">
        <v>3.1371689982651332</v>
      </c>
      <c r="Y34" s="27">
        <v>3.3442313569407101</v>
      </c>
    </row>
    <row r="35" spans="1:25">
      <c r="A35" s="27" t="s">
        <v>261</v>
      </c>
      <c r="B35" s="27" t="s">
        <v>262</v>
      </c>
      <c r="C35" s="27" t="s">
        <v>198</v>
      </c>
      <c r="D35" s="27" t="s">
        <v>1164</v>
      </c>
      <c r="E35" s="27" t="s">
        <v>77</v>
      </c>
      <c r="F35" s="27">
        <v>15.615990486145019</v>
      </c>
      <c r="G35" s="27">
        <v>21.531364974975592</v>
      </c>
      <c r="H35" s="27">
        <v>25.815995864868171</v>
      </c>
      <c r="I35" s="27">
        <v>32.175522537231437</v>
      </c>
      <c r="J35" s="27">
        <v>19.71962608337402</v>
      </c>
      <c r="K35" s="27">
        <v>9.2378450775146472</v>
      </c>
      <c r="L35" s="27">
        <v>6.7562544822692878</v>
      </c>
      <c r="M35" s="27">
        <v>5.5999055099487309</v>
      </c>
      <c r="N35" s="27">
        <v>4.621979999542237</v>
      </c>
      <c r="O35" s="27">
        <v>3.780183591842651</v>
      </c>
      <c r="P35" s="27">
        <v>3.1624047660827639</v>
      </c>
      <c r="Q35" s="27">
        <v>2.803890581130982</v>
      </c>
      <c r="R35" s="27">
        <v>2.504923753738403</v>
      </c>
      <c r="S35" s="27">
        <v>2.2508874893188482</v>
      </c>
      <c r="T35" s="27">
        <v>2.0306322526931759</v>
      </c>
      <c r="U35" s="27">
        <v>1.835669302940369</v>
      </c>
      <c r="V35" s="27">
        <v>1.65955361366272</v>
      </c>
      <c r="W35" s="27">
        <v>1.4512851476669311</v>
      </c>
      <c r="X35" s="27">
        <v>1.322841153144837</v>
      </c>
      <c r="Y35" s="27">
        <v>1.194398188591004</v>
      </c>
    </row>
    <row r="36" spans="1:25">
      <c r="A36" s="27" t="s">
        <v>218</v>
      </c>
      <c r="B36" s="27" t="s">
        <v>263</v>
      </c>
      <c r="C36" s="27" t="s">
        <v>198</v>
      </c>
      <c r="D36" s="27" t="s">
        <v>1164</v>
      </c>
      <c r="E36" s="27" t="s">
        <v>77</v>
      </c>
      <c r="F36" s="27">
        <v>15.650700000000001</v>
      </c>
      <c r="G36" s="27">
        <v>21.5792</v>
      </c>
      <c r="H36" s="27">
        <v>26.9131</v>
      </c>
      <c r="I36" s="27">
        <v>32.247</v>
      </c>
      <c r="J36" s="27">
        <v>14.07</v>
      </c>
      <c r="K36" s="27">
        <v>7.9485999999999999</v>
      </c>
      <c r="L36" s="27">
        <v>6.7805</v>
      </c>
      <c r="M36" s="27">
        <v>5.6124000000000001</v>
      </c>
      <c r="N36" s="27">
        <v>4.7004999999999999</v>
      </c>
      <c r="O36" s="27">
        <v>3.7886000000000002</v>
      </c>
      <c r="P36" s="27">
        <v>3.2993999999999999</v>
      </c>
      <c r="Q36" s="27">
        <v>2.8100999999999998</v>
      </c>
      <c r="R36" s="27" t="s">
        <v>200</v>
      </c>
      <c r="S36" s="27">
        <v>2.2559</v>
      </c>
      <c r="T36" s="27" t="s">
        <v>200</v>
      </c>
      <c r="U36" s="27">
        <v>1.8396999999999999</v>
      </c>
      <c r="V36" s="27" t="s">
        <v>200</v>
      </c>
      <c r="W36" s="27">
        <v>1.4544999999999999</v>
      </c>
      <c r="X36" s="27" t="s">
        <v>200</v>
      </c>
      <c r="Y36" s="27">
        <v>1.1971000000000001</v>
      </c>
    </row>
    <row r="37" spans="1:25">
      <c r="A37" s="27" t="s">
        <v>196</v>
      </c>
      <c r="B37" s="27" t="s">
        <v>264</v>
      </c>
      <c r="C37" s="27" t="s">
        <v>198</v>
      </c>
      <c r="D37" s="27" t="s">
        <v>1164</v>
      </c>
      <c r="E37" s="27" t="s">
        <v>77</v>
      </c>
      <c r="F37" s="27">
        <v>15.650700000000001</v>
      </c>
      <c r="G37" s="27">
        <v>21.5792</v>
      </c>
      <c r="H37" s="27">
        <v>26.9131</v>
      </c>
      <c r="I37" s="27">
        <v>32.247</v>
      </c>
      <c r="J37" s="27">
        <v>22.208600000000001</v>
      </c>
      <c r="K37" s="27">
        <v>14.4992</v>
      </c>
      <c r="L37" s="27">
        <v>10.7035</v>
      </c>
      <c r="M37" s="27">
        <v>6.9077000000000002</v>
      </c>
      <c r="N37" s="27">
        <v>5.5425000000000004</v>
      </c>
      <c r="O37" s="27">
        <v>4.1772999999999998</v>
      </c>
      <c r="P37" s="27">
        <v>3.4937</v>
      </c>
      <c r="Q37" s="27">
        <v>2.8100999999999998</v>
      </c>
      <c r="R37" s="27" t="s">
        <v>200</v>
      </c>
      <c r="S37" s="27">
        <v>2.2559</v>
      </c>
      <c r="T37" s="27" t="s">
        <v>200</v>
      </c>
      <c r="U37" s="27">
        <v>2.15</v>
      </c>
      <c r="V37" s="27" t="s">
        <v>200</v>
      </c>
      <c r="W37" s="27">
        <v>5.7888000000000002</v>
      </c>
      <c r="X37" s="27" t="s">
        <v>200</v>
      </c>
      <c r="Y37" s="27">
        <v>6.5301999999999998</v>
      </c>
    </row>
    <row r="38" spans="1:25">
      <c r="A38" s="27" t="s">
        <v>218</v>
      </c>
      <c r="B38" s="27" t="s">
        <v>265</v>
      </c>
      <c r="C38" s="27" t="s">
        <v>198</v>
      </c>
      <c r="D38" s="27" t="s">
        <v>1164</v>
      </c>
      <c r="E38" s="27" t="s">
        <v>77</v>
      </c>
      <c r="F38" s="27">
        <v>15.650700000000001</v>
      </c>
      <c r="G38" s="27">
        <v>21.5792</v>
      </c>
      <c r="H38" s="27">
        <v>26.9131</v>
      </c>
      <c r="I38" s="27">
        <v>32.247</v>
      </c>
      <c r="J38" s="27">
        <v>14.07</v>
      </c>
      <c r="K38" s="27">
        <v>7.9485999999999999</v>
      </c>
      <c r="L38" s="27">
        <v>6.7805</v>
      </c>
      <c r="M38" s="27">
        <v>5.6124000000000001</v>
      </c>
      <c r="N38" s="27">
        <v>4.7004999999999999</v>
      </c>
      <c r="O38" s="27">
        <v>3.7886000000000002</v>
      </c>
      <c r="P38" s="27">
        <v>3.2993999999999999</v>
      </c>
      <c r="Q38" s="27">
        <v>2.8100999999999998</v>
      </c>
      <c r="R38" s="27" t="s">
        <v>200</v>
      </c>
      <c r="S38" s="27">
        <v>2.2559</v>
      </c>
      <c r="T38" s="27" t="s">
        <v>200</v>
      </c>
      <c r="U38" s="27">
        <v>1.8396999999999999</v>
      </c>
      <c r="V38" s="27" t="s">
        <v>200</v>
      </c>
      <c r="W38" s="27">
        <v>1.4544999999999999</v>
      </c>
      <c r="X38" s="27" t="s">
        <v>200</v>
      </c>
      <c r="Y38" s="27">
        <v>1.1971000000000001</v>
      </c>
    </row>
    <row r="39" spans="1:25">
      <c r="A39" s="27" t="s">
        <v>226</v>
      </c>
      <c r="B39" s="27" t="s">
        <v>243</v>
      </c>
      <c r="C39" s="27" t="s">
        <v>198</v>
      </c>
      <c r="D39" s="27" t="s">
        <v>1164</v>
      </c>
      <c r="E39" s="27" t="s">
        <v>77</v>
      </c>
      <c r="F39" s="27">
        <v>15.650700000000001</v>
      </c>
      <c r="G39" s="27">
        <v>21.5792</v>
      </c>
      <c r="H39" s="27">
        <v>26.838999999999999</v>
      </c>
      <c r="I39" s="27">
        <v>32.098799999999997</v>
      </c>
      <c r="J39" s="27">
        <v>14.07</v>
      </c>
      <c r="K39" s="27">
        <v>7.9485999999999999</v>
      </c>
      <c r="L39" s="27">
        <v>6.7805</v>
      </c>
      <c r="M39" s="27">
        <v>5.6124000000000001</v>
      </c>
      <c r="N39" s="27">
        <v>4.7004999999999999</v>
      </c>
      <c r="O39" s="27">
        <v>3.7886000000000002</v>
      </c>
      <c r="P39" s="27">
        <v>3.2993999999999999</v>
      </c>
      <c r="Q39" s="27">
        <v>2.8100999999999998</v>
      </c>
      <c r="R39" s="27" t="s">
        <v>200</v>
      </c>
      <c r="S39" s="27">
        <v>2.2559</v>
      </c>
      <c r="T39" s="27" t="s">
        <v>200</v>
      </c>
      <c r="U39" s="27">
        <v>1.8396999999999999</v>
      </c>
      <c r="V39" s="27" t="s">
        <v>200</v>
      </c>
      <c r="W39" s="27">
        <v>1.4544999999999999</v>
      </c>
      <c r="X39" s="27" t="s">
        <v>200</v>
      </c>
      <c r="Y39" s="27">
        <v>1.1971000000000001</v>
      </c>
    </row>
    <row r="40" spans="1:25">
      <c r="A40" s="27" t="s">
        <v>231</v>
      </c>
      <c r="B40" s="27" t="s">
        <v>266</v>
      </c>
      <c r="C40" s="27" t="s">
        <v>198</v>
      </c>
      <c r="D40" s="27" t="s">
        <v>1164</v>
      </c>
      <c r="E40" s="27" t="s">
        <v>77</v>
      </c>
      <c r="F40" s="27">
        <v>4.5595095224</v>
      </c>
      <c r="G40" s="27">
        <v>3.4908554510999998</v>
      </c>
      <c r="H40" s="27">
        <v>4.5419844717000002</v>
      </c>
      <c r="I40" s="27">
        <v>4.9338698189999999</v>
      </c>
      <c r="J40" s="27">
        <v>3.71979614373</v>
      </c>
      <c r="K40" s="27">
        <v>3.4692607836449998</v>
      </c>
      <c r="L40" s="27">
        <v>3.110895441102</v>
      </c>
      <c r="M40" s="27">
        <v>2.876884349634</v>
      </c>
      <c r="N40" s="27">
        <v>2.8729602804919998</v>
      </c>
      <c r="O40" s="27">
        <v>2.8542438477009999</v>
      </c>
      <c r="P40" s="27">
        <v>2.7708267453339999</v>
      </c>
      <c r="Q40" s="27">
        <v>2.6676823689860001</v>
      </c>
      <c r="R40" s="27">
        <v>2.5348483524369998</v>
      </c>
      <c r="S40" s="27">
        <v>2.3764932653790001</v>
      </c>
      <c r="T40" s="27">
        <v>2.1877675516680002</v>
      </c>
      <c r="U40" s="27">
        <v>1.951861736403</v>
      </c>
      <c r="V40" s="27">
        <v>1.697560050136</v>
      </c>
      <c r="W40" s="27">
        <v>1.4221162391511</v>
      </c>
      <c r="X40" s="27">
        <v>1.1224681464477</v>
      </c>
      <c r="Y40" s="27">
        <v>0.90638829449960001</v>
      </c>
    </row>
    <row r="41" spans="1:25">
      <c r="A41" s="27" t="s">
        <v>233</v>
      </c>
      <c r="B41" s="27" t="s">
        <v>267</v>
      </c>
      <c r="C41" s="27" t="s">
        <v>198</v>
      </c>
      <c r="D41" s="27" t="s">
        <v>1164</v>
      </c>
      <c r="E41" s="27" t="s">
        <v>77</v>
      </c>
      <c r="F41" s="27" t="s">
        <v>200</v>
      </c>
      <c r="G41" s="27">
        <v>24.47084461538461</v>
      </c>
      <c r="H41" s="27">
        <v>27.37233123076923</v>
      </c>
      <c r="I41" s="27">
        <v>26.932970252644139</v>
      </c>
      <c r="J41" s="27">
        <v>19.2508577010904</v>
      </c>
      <c r="K41" s="27">
        <v>15.69916909437606</v>
      </c>
      <c r="L41" s="27">
        <v>13.800146112391079</v>
      </c>
      <c r="M41" s="27">
        <v>12.30763696205654</v>
      </c>
      <c r="N41" s="27">
        <v>10.391331171163539</v>
      </c>
      <c r="O41" s="27">
        <v>8.3876850192946684</v>
      </c>
      <c r="P41" s="27">
        <v>7.0470919300967347</v>
      </c>
      <c r="Q41" s="27">
        <v>6.1772214881613419</v>
      </c>
      <c r="R41" s="27">
        <v>5.6994070783732846</v>
      </c>
      <c r="S41" s="27">
        <v>5.3220133121020918</v>
      </c>
      <c r="T41" s="27">
        <v>4.7199041101524823</v>
      </c>
      <c r="U41" s="27">
        <v>4.0412767166932841</v>
      </c>
      <c r="V41" s="27">
        <v>3.5126618052920082</v>
      </c>
      <c r="W41" s="27">
        <v>3.219627416842735</v>
      </c>
      <c r="X41" s="27">
        <v>3.1453098848795218</v>
      </c>
      <c r="Y41" s="27">
        <v>3.3524690867918059</v>
      </c>
    </row>
    <row r="42" spans="1:25">
      <c r="A42" s="27" t="s">
        <v>196</v>
      </c>
      <c r="B42" s="27" t="s">
        <v>268</v>
      </c>
      <c r="C42" s="27" t="s">
        <v>198</v>
      </c>
      <c r="D42" s="27" t="s">
        <v>1164</v>
      </c>
      <c r="E42" s="27" t="s">
        <v>77</v>
      </c>
      <c r="F42" s="27">
        <v>15.650700000000001</v>
      </c>
      <c r="G42" s="27">
        <v>21.5792</v>
      </c>
      <c r="H42" s="27">
        <v>25.761099999999999</v>
      </c>
      <c r="I42" s="27">
        <v>29.943000000000001</v>
      </c>
      <c r="J42" s="27">
        <v>14.07</v>
      </c>
      <c r="K42" s="27">
        <v>7.9485999999999999</v>
      </c>
      <c r="L42" s="27">
        <v>6.7805</v>
      </c>
      <c r="M42" s="27">
        <v>5.6124000000000001</v>
      </c>
      <c r="N42" s="27">
        <v>4.7004999999999999</v>
      </c>
      <c r="O42" s="27">
        <v>3.7886000000000002</v>
      </c>
      <c r="P42" s="27">
        <v>3.2993999999999999</v>
      </c>
      <c r="Q42" s="27">
        <v>2.8100999999999998</v>
      </c>
      <c r="R42" s="27" t="s">
        <v>200</v>
      </c>
      <c r="S42" s="27">
        <v>2.2559</v>
      </c>
      <c r="T42" s="27" t="s">
        <v>200</v>
      </c>
      <c r="U42" s="27">
        <v>1.8396999999999999</v>
      </c>
      <c r="V42" s="27" t="s">
        <v>200</v>
      </c>
      <c r="W42" s="27">
        <v>1.4544999999999999</v>
      </c>
      <c r="X42" s="27" t="s">
        <v>200</v>
      </c>
      <c r="Y42" s="27">
        <v>1.1971000000000001</v>
      </c>
    </row>
    <row r="43" spans="1:25">
      <c r="A43" s="27" t="s">
        <v>222</v>
      </c>
      <c r="B43" s="27" t="s">
        <v>269</v>
      </c>
      <c r="C43" s="27" t="s">
        <v>198</v>
      </c>
      <c r="D43" s="27" t="s">
        <v>1164</v>
      </c>
      <c r="E43" s="27" t="s">
        <v>77</v>
      </c>
      <c r="F43" s="27">
        <v>15.650700000000001</v>
      </c>
      <c r="G43" s="27">
        <v>21.5792</v>
      </c>
      <c r="H43" s="27">
        <v>25.761099999999999</v>
      </c>
      <c r="I43" s="27">
        <v>29.943000000000001</v>
      </c>
      <c r="J43" s="27">
        <v>14.07</v>
      </c>
      <c r="K43" s="27">
        <v>7.9485999999999999</v>
      </c>
      <c r="L43" s="27">
        <v>6.7805</v>
      </c>
      <c r="M43" s="27">
        <v>5.6124000000000001</v>
      </c>
      <c r="N43" s="27">
        <v>4.7004999999999999</v>
      </c>
      <c r="O43" s="27">
        <v>3.7886000000000002</v>
      </c>
      <c r="P43" s="27">
        <v>3.2993999999999999</v>
      </c>
      <c r="Q43" s="27">
        <v>2.8100999999999998</v>
      </c>
      <c r="R43" s="27" t="s">
        <v>200</v>
      </c>
      <c r="S43" s="27">
        <v>2.2559</v>
      </c>
      <c r="T43" s="27" t="s">
        <v>200</v>
      </c>
      <c r="U43" s="27">
        <v>1.8396999999999999</v>
      </c>
      <c r="V43" s="27" t="s">
        <v>200</v>
      </c>
      <c r="W43" s="27">
        <v>1.4544999999999999</v>
      </c>
      <c r="X43" s="27" t="s">
        <v>200</v>
      </c>
      <c r="Y43" s="27">
        <v>1.1971000000000001</v>
      </c>
    </row>
    <row r="44" spans="1:25">
      <c r="A44" s="27" t="s">
        <v>231</v>
      </c>
      <c r="B44" s="27" t="s">
        <v>270</v>
      </c>
      <c r="C44" s="27" t="s">
        <v>198</v>
      </c>
      <c r="D44" s="27" t="s">
        <v>1164</v>
      </c>
      <c r="E44" s="27" t="s">
        <v>77</v>
      </c>
      <c r="F44" s="27">
        <v>4.5595095224</v>
      </c>
      <c r="G44" s="27">
        <v>3.4908554510999998</v>
      </c>
      <c r="H44" s="27">
        <v>4.5419844717000002</v>
      </c>
      <c r="I44" s="27">
        <v>4.9338698189999999</v>
      </c>
      <c r="J44" s="27">
        <v>3.8824557708</v>
      </c>
      <c r="K44" s="27">
        <v>3.8700454824800001</v>
      </c>
      <c r="L44" s="27">
        <v>3.605312586842</v>
      </c>
      <c r="M44" s="27">
        <v>3.35799182483</v>
      </c>
      <c r="N44" s="27">
        <v>2.9366060464469999</v>
      </c>
      <c r="O44" s="27">
        <v>2.8707116952759999</v>
      </c>
      <c r="P44" s="27">
        <v>2.7796589192819998</v>
      </c>
      <c r="Q44" s="27">
        <v>2.6747444660120001</v>
      </c>
      <c r="R44" s="27">
        <v>2.5418001392899998</v>
      </c>
      <c r="S44" s="27">
        <v>2.3745948079270001</v>
      </c>
      <c r="T44" s="27">
        <v>2.1867209973950001</v>
      </c>
      <c r="U44" s="27">
        <v>1.95051663959</v>
      </c>
      <c r="V44" s="27">
        <v>1.6937198954020001</v>
      </c>
      <c r="W44" s="27">
        <v>1.4169831626756999</v>
      </c>
      <c r="X44" s="27">
        <v>1.1166566158730999</v>
      </c>
      <c r="Y44" s="27">
        <v>0.89747736754069996</v>
      </c>
    </row>
    <row r="45" spans="1:25">
      <c r="A45" s="27" t="s">
        <v>231</v>
      </c>
      <c r="B45" s="27" t="s">
        <v>271</v>
      </c>
      <c r="C45" s="27" t="s">
        <v>198</v>
      </c>
      <c r="D45" s="27" t="s">
        <v>1164</v>
      </c>
      <c r="E45" s="27" t="s">
        <v>77</v>
      </c>
      <c r="F45" s="27">
        <v>4.5595095224</v>
      </c>
      <c r="G45" s="27">
        <v>3.4908554510999998</v>
      </c>
      <c r="H45" s="27">
        <v>4.5419844717000002</v>
      </c>
      <c r="I45" s="27">
        <v>4.9338698189999999</v>
      </c>
      <c r="J45" s="27">
        <v>3.3729778614320001</v>
      </c>
      <c r="K45" s="27">
        <v>2.8381423624519999</v>
      </c>
      <c r="L45" s="27">
        <v>3.083895939839</v>
      </c>
      <c r="M45" s="27">
        <v>3.024662471803</v>
      </c>
      <c r="N45" s="27">
        <v>2.945644232042</v>
      </c>
      <c r="O45" s="27">
        <v>2.9133726111249998</v>
      </c>
      <c r="P45" s="27">
        <v>2.8227239730929998</v>
      </c>
      <c r="Q45" s="27">
        <v>2.711798431204</v>
      </c>
      <c r="R45" s="27">
        <v>2.56668792353</v>
      </c>
      <c r="S45" s="27">
        <v>2.3872232827130002</v>
      </c>
      <c r="T45" s="27">
        <v>2.1914453835079999</v>
      </c>
      <c r="U45" s="27">
        <v>1.972310462019</v>
      </c>
      <c r="V45" s="27">
        <v>1.7313825093520001</v>
      </c>
      <c r="W45" s="27">
        <v>1.4628398413764001</v>
      </c>
      <c r="X45" s="27">
        <v>1.1665888037136001</v>
      </c>
      <c r="Y45" s="27">
        <v>0.95527066914210002</v>
      </c>
    </row>
    <row r="46" spans="1:25">
      <c r="A46" s="27" t="s">
        <v>196</v>
      </c>
      <c r="B46" s="27" t="s">
        <v>273</v>
      </c>
      <c r="C46" s="27" t="s">
        <v>198</v>
      </c>
      <c r="D46" s="27" t="s">
        <v>1164</v>
      </c>
      <c r="E46" s="27" t="s">
        <v>77</v>
      </c>
      <c r="F46" s="27" t="s">
        <v>200</v>
      </c>
      <c r="G46" s="27">
        <v>21.5792</v>
      </c>
      <c r="H46" s="27">
        <v>25.761099999999999</v>
      </c>
      <c r="I46" s="27">
        <v>29.943000000000001</v>
      </c>
      <c r="J46" s="27">
        <v>14.07</v>
      </c>
      <c r="K46" s="27">
        <v>7.9485999999999999</v>
      </c>
      <c r="L46" s="27">
        <v>6.7805</v>
      </c>
      <c r="M46" s="27">
        <v>5.6124000000000001</v>
      </c>
      <c r="N46" s="27">
        <v>4.7004999999999999</v>
      </c>
      <c r="O46" s="27">
        <v>3.7886000000000002</v>
      </c>
      <c r="P46" s="27">
        <v>3.2993999999999999</v>
      </c>
      <c r="Q46" s="27">
        <v>2.8100999999999998</v>
      </c>
      <c r="R46" s="27" t="s">
        <v>200</v>
      </c>
      <c r="S46" s="27">
        <v>2.2559</v>
      </c>
      <c r="T46" s="27" t="s">
        <v>200</v>
      </c>
      <c r="U46" s="27">
        <v>1.8396999999999999</v>
      </c>
      <c r="V46" s="27" t="s">
        <v>200</v>
      </c>
      <c r="W46" s="27">
        <v>1.4544999999999999</v>
      </c>
      <c r="X46" s="27" t="s">
        <v>200</v>
      </c>
      <c r="Y46" s="27">
        <v>1.1971000000000001</v>
      </c>
    </row>
    <row r="47" spans="1:25">
      <c r="A47" s="27" t="s">
        <v>226</v>
      </c>
      <c r="B47" s="27" t="s">
        <v>274</v>
      </c>
      <c r="C47" s="27" t="s">
        <v>198</v>
      </c>
      <c r="D47" s="27" t="s">
        <v>1164</v>
      </c>
      <c r="E47" s="27" t="s">
        <v>77</v>
      </c>
      <c r="F47" s="27">
        <v>15.650700000000001</v>
      </c>
      <c r="G47" s="27">
        <v>21.5792</v>
      </c>
      <c r="H47" s="27">
        <v>26.838999999999999</v>
      </c>
      <c r="I47" s="27">
        <v>20.191400000000002</v>
      </c>
      <c r="J47" s="27">
        <v>14.07</v>
      </c>
      <c r="K47" s="27">
        <v>7.9485999999999999</v>
      </c>
      <c r="L47" s="27">
        <v>6.7805</v>
      </c>
      <c r="M47" s="27">
        <v>5.6124000000000001</v>
      </c>
      <c r="N47" s="27">
        <v>4.7004999999999999</v>
      </c>
      <c r="O47" s="27">
        <v>3.7886000000000002</v>
      </c>
      <c r="P47" s="27">
        <v>3.2993999999999999</v>
      </c>
      <c r="Q47" s="27">
        <v>2.8100999999999998</v>
      </c>
      <c r="R47" s="27" t="s">
        <v>200</v>
      </c>
      <c r="S47" s="27">
        <v>2.2559</v>
      </c>
      <c r="T47" s="27" t="s">
        <v>200</v>
      </c>
      <c r="U47" s="27">
        <v>1.8396999999999999</v>
      </c>
      <c r="V47" s="27" t="s">
        <v>200</v>
      </c>
      <c r="W47" s="27">
        <v>1.4544999999999999</v>
      </c>
      <c r="X47" s="27" t="s">
        <v>200</v>
      </c>
      <c r="Y47" s="27">
        <v>1.1971000000000001</v>
      </c>
    </row>
    <row r="48" spans="1:25">
      <c r="A48" s="27" t="s">
        <v>196</v>
      </c>
      <c r="B48" s="27" t="s">
        <v>275</v>
      </c>
      <c r="C48" s="27" t="s">
        <v>198</v>
      </c>
      <c r="D48" s="27" t="s">
        <v>1164</v>
      </c>
      <c r="E48" s="27" t="s">
        <v>77</v>
      </c>
      <c r="F48" s="27">
        <v>15.650700000000001</v>
      </c>
      <c r="G48" s="27">
        <v>21.5792</v>
      </c>
      <c r="H48" s="27">
        <v>25.761099999999999</v>
      </c>
      <c r="I48" s="27">
        <v>29.943000000000001</v>
      </c>
      <c r="J48" s="27">
        <v>14.07</v>
      </c>
      <c r="K48" s="27">
        <v>7.9485999999999999</v>
      </c>
      <c r="L48" s="27">
        <v>6.7805</v>
      </c>
      <c r="M48" s="27">
        <v>5.6124000000000001</v>
      </c>
      <c r="N48" s="27">
        <v>4.7004999999999999</v>
      </c>
      <c r="O48" s="27">
        <v>3.7886000000000002</v>
      </c>
      <c r="P48" s="27">
        <v>3.2993999999999999</v>
      </c>
      <c r="Q48" s="27">
        <v>2.8100999999999998</v>
      </c>
      <c r="R48" s="27" t="s">
        <v>200</v>
      </c>
      <c r="S48" s="27">
        <v>2.2559</v>
      </c>
      <c r="T48" s="27" t="s">
        <v>200</v>
      </c>
      <c r="U48" s="27">
        <v>1.8396999999999999</v>
      </c>
      <c r="V48" s="27" t="s">
        <v>200</v>
      </c>
      <c r="W48" s="27">
        <v>1.4544999999999999</v>
      </c>
      <c r="X48" s="27" t="s">
        <v>200</v>
      </c>
      <c r="Y48" s="27">
        <v>1.1971000000000001</v>
      </c>
    </row>
    <row r="49" spans="1:25">
      <c r="A49" s="27" t="s">
        <v>261</v>
      </c>
      <c r="B49" s="27" t="s">
        <v>276</v>
      </c>
      <c r="C49" s="27" t="s">
        <v>198</v>
      </c>
      <c r="D49" s="27" t="s">
        <v>1164</v>
      </c>
      <c r="E49" s="27" t="s">
        <v>77</v>
      </c>
      <c r="F49" s="27">
        <v>15.615990486145019</v>
      </c>
      <c r="G49" s="27">
        <v>21.531364974975592</v>
      </c>
      <c r="H49" s="27">
        <v>25.815995864868171</v>
      </c>
      <c r="I49" s="27">
        <v>32.175522537231437</v>
      </c>
      <c r="J49" s="27">
        <v>19.839640045166021</v>
      </c>
      <c r="K49" s="27">
        <v>9.3234086608886724</v>
      </c>
      <c r="L49" s="27">
        <v>6.7562544822692878</v>
      </c>
      <c r="M49" s="27">
        <v>5.5999055099487309</v>
      </c>
      <c r="N49" s="27">
        <v>4.621979999542237</v>
      </c>
      <c r="O49" s="27">
        <v>3.780183591842651</v>
      </c>
      <c r="P49" s="27">
        <v>3.1624047660827639</v>
      </c>
      <c r="Q49" s="27">
        <v>2.803890581130982</v>
      </c>
      <c r="R49" s="27">
        <v>2.504923753738403</v>
      </c>
      <c r="S49" s="27">
        <v>2.2508874893188482</v>
      </c>
      <c r="T49" s="27">
        <v>2.0306322526931759</v>
      </c>
      <c r="U49" s="27">
        <v>1.835669302940369</v>
      </c>
      <c r="V49" s="27">
        <v>1.65955361366272</v>
      </c>
      <c r="W49" s="27">
        <v>1.4512851476669311</v>
      </c>
      <c r="X49" s="27">
        <v>1.322841153144837</v>
      </c>
      <c r="Y49" s="27">
        <v>1.194398188591004</v>
      </c>
    </row>
    <row r="50" spans="1:25">
      <c r="A50" s="27" t="s">
        <v>218</v>
      </c>
      <c r="B50" s="27" t="s">
        <v>256</v>
      </c>
      <c r="C50" s="27" t="s">
        <v>198</v>
      </c>
      <c r="D50" s="27" t="s">
        <v>1164</v>
      </c>
      <c r="E50" s="27" t="s">
        <v>77</v>
      </c>
      <c r="F50" s="27">
        <v>15.650700000000001</v>
      </c>
      <c r="G50" s="27">
        <v>21.5792</v>
      </c>
      <c r="H50" s="27">
        <v>25.761099999999999</v>
      </c>
      <c r="I50" s="27">
        <v>29.943000000000001</v>
      </c>
      <c r="J50" s="27">
        <v>14.07</v>
      </c>
      <c r="K50" s="27">
        <v>7.9485999999999999</v>
      </c>
      <c r="L50" s="27">
        <v>6.7805</v>
      </c>
      <c r="M50" s="27">
        <v>5.6124000000000001</v>
      </c>
      <c r="N50" s="27">
        <v>4.7004999999999999</v>
      </c>
      <c r="O50" s="27">
        <v>3.7886000000000002</v>
      </c>
      <c r="P50" s="27">
        <v>3.2993999999999999</v>
      </c>
      <c r="Q50" s="27">
        <v>2.8100999999999998</v>
      </c>
      <c r="R50" s="27" t="s">
        <v>200</v>
      </c>
      <c r="S50" s="27">
        <v>2.2559</v>
      </c>
      <c r="T50" s="27" t="s">
        <v>200</v>
      </c>
      <c r="U50" s="27">
        <v>1.8396999999999999</v>
      </c>
      <c r="V50" s="27" t="s">
        <v>200</v>
      </c>
      <c r="W50" s="27">
        <v>1.4544999999999999</v>
      </c>
      <c r="X50" s="27" t="s">
        <v>200</v>
      </c>
      <c r="Y50" s="27">
        <v>1.1971000000000001</v>
      </c>
    </row>
    <row r="51" spans="1:25">
      <c r="A51" s="27" t="s">
        <v>203</v>
      </c>
      <c r="B51" s="27" t="s">
        <v>277</v>
      </c>
      <c r="C51" s="27" t="s">
        <v>198</v>
      </c>
      <c r="D51" s="27" t="s">
        <v>1164</v>
      </c>
      <c r="E51" s="27" t="s">
        <v>77</v>
      </c>
      <c r="F51" s="27">
        <v>15.650700000000001</v>
      </c>
      <c r="G51" s="27">
        <v>21.5792</v>
      </c>
      <c r="H51" s="27">
        <v>25.761099999999999</v>
      </c>
      <c r="I51" s="27">
        <v>29.943000000000001</v>
      </c>
      <c r="J51" s="27">
        <v>14.07</v>
      </c>
      <c r="K51" s="27">
        <v>7.9485999999999999</v>
      </c>
      <c r="L51" s="27">
        <v>6.7805</v>
      </c>
      <c r="M51" s="27">
        <v>5.6124000000000001</v>
      </c>
      <c r="N51" s="27">
        <v>4.7004999999999999</v>
      </c>
      <c r="O51" s="27">
        <v>3.7886000000000002</v>
      </c>
      <c r="P51" s="27">
        <v>3.2993999999999999</v>
      </c>
      <c r="Q51" s="27">
        <v>2.8100999999999998</v>
      </c>
      <c r="R51" s="27" t="s">
        <v>200</v>
      </c>
      <c r="S51" s="27">
        <v>2.2559</v>
      </c>
      <c r="T51" s="27" t="s">
        <v>200</v>
      </c>
      <c r="U51" s="27">
        <v>1.8396999999999999</v>
      </c>
      <c r="V51" s="27" t="s">
        <v>200</v>
      </c>
      <c r="W51" s="27">
        <v>1.4544999999999999</v>
      </c>
      <c r="X51" s="27" t="s">
        <v>200</v>
      </c>
      <c r="Y51" s="27">
        <v>1.1971000000000001</v>
      </c>
    </row>
    <row r="52" spans="1:25">
      <c r="A52" s="27" t="s">
        <v>203</v>
      </c>
      <c r="B52" s="27" t="s">
        <v>278</v>
      </c>
      <c r="C52" s="27" t="s">
        <v>198</v>
      </c>
      <c r="D52" s="27" t="s">
        <v>1164</v>
      </c>
      <c r="E52" s="27" t="s">
        <v>77</v>
      </c>
      <c r="F52" s="27">
        <v>15.650700000000001</v>
      </c>
      <c r="G52" s="27">
        <v>21.5792</v>
      </c>
      <c r="H52" s="27">
        <v>25.761099999999999</v>
      </c>
      <c r="I52" s="27">
        <v>29.943000000000001</v>
      </c>
      <c r="J52" s="27">
        <v>14.7677</v>
      </c>
      <c r="K52" s="27">
        <v>8.8404000000000007</v>
      </c>
      <c r="L52" s="27">
        <v>7.8204000000000002</v>
      </c>
      <c r="M52" s="27">
        <v>6.8003999999999998</v>
      </c>
      <c r="N52" s="27">
        <v>5.7873000000000001</v>
      </c>
      <c r="O52" s="27">
        <v>4.7740999999999998</v>
      </c>
      <c r="P52" s="27">
        <v>4.2087000000000003</v>
      </c>
      <c r="Q52" s="27">
        <v>3.6432000000000002</v>
      </c>
      <c r="R52" s="27" t="s">
        <v>200</v>
      </c>
      <c r="S52" s="27">
        <v>2.9735999999999998</v>
      </c>
      <c r="T52" s="27" t="s">
        <v>200</v>
      </c>
      <c r="U52" s="27">
        <v>2.4102000000000001</v>
      </c>
      <c r="V52" s="27" t="s">
        <v>200</v>
      </c>
      <c r="W52" s="27">
        <v>1.9034</v>
      </c>
      <c r="X52" s="27" t="s">
        <v>200</v>
      </c>
      <c r="Y52" s="27">
        <v>1.5923</v>
      </c>
    </row>
    <row r="53" spans="1:25">
      <c r="A53" s="27" t="s">
        <v>196</v>
      </c>
      <c r="B53" s="27" t="s">
        <v>279</v>
      </c>
      <c r="C53" s="27" t="s">
        <v>198</v>
      </c>
      <c r="D53" s="27" t="s">
        <v>1164</v>
      </c>
      <c r="E53" s="27" t="s">
        <v>77</v>
      </c>
      <c r="F53" s="27">
        <v>15.650700000000001</v>
      </c>
      <c r="G53" s="27">
        <v>21.5792</v>
      </c>
      <c r="H53" s="27">
        <v>25.761099999999999</v>
      </c>
      <c r="I53" s="27">
        <v>29.943000000000001</v>
      </c>
      <c r="J53" s="27">
        <v>22.208600000000001</v>
      </c>
      <c r="K53" s="27">
        <v>14.4992</v>
      </c>
      <c r="L53" s="27">
        <v>10.7035</v>
      </c>
      <c r="M53" s="27">
        <v>6.9077000000000002</v>
      </c>
      <c r="N53" s="27">
        <v>5.5425000000000004</v>
      </c>
      <c r="O53" s="27">
        <v>4.1772999999999998</v>
      </c>
      <c r="P53" s="27">
        <v>3.4937</v>
      </c>
      <c r="Q53" s="27">
        <v>2.8100999999999998</v>
      </c>
      <c r="R53" s="27" t="s">
        <v>200</v>
      </c>
      <c r="S53" s="27">
        <v>2.2559</v>
      </c>
      <c r="T53" s="27" t="s">
        <v>200</v>
      </c>
      <c r="U53" s="27">
        <v>2.15</v>
      </c>
      <c r="V53" s="27" t="s">
        <v>200</v>
      </c>
      <c r="W53" s="27">
        <v>5.7888000000000002</v>
      </c>
      <c r="X53" s="27" t="s">
        <v>200</v>
      </c>
      <c r="Y53" s="27">
        <v>6.5301999999999998</v>
      </c>
    </row>
    <row r="54" spans="1:25">
      <c r="A54" s="27" t="s">
        <v>257</v>
      </c>
      <c r="B54" s="27" t="s">
        <v>280</v>
      </c>
      <c r="C54" s="27" t="s">
        <v>198</v>
      </c>
      <c r="D54" s="27" t="s">
        <v>1164</v>
      </c>
      <c r="E54" s="27" t="s">
        <v>77</v>
      </c>
      <c r="F54" s="27" t="s">
        <v>200</v>
      </c>
      <c r="G54" s="27">
        <v>19.668299999999999</v>
      </c>
      <c r="H54" s="27">
        <v>24.502800000000001</v>
      </c>
      <c r="I54" s="27">
        <v>29.337399999999999</v>
      </c>
      <c r="J54" s="27">
        <v>18.0488</v>
      </c>
      <c r="K54" s="27">
        <v>7.1106999999999996</v>
      </c>
      <c r="L54" s="27">
        <v>5.9861000000000004</v>
      </c>
      <c r="M54" s="27">
        <v>4.9161999999999999</v>
      </c>
      <c r="N54" s="27">
        <v>4.0999999999999996</v>
      </c>
      <c r="O54" s="27">
        <v>3.2633999999999999</v>
      </c>
      <c r="P54" s="27">
        <v>2.8279999999999998</v>
      </c>
      <c r="Q54" s="27">
        <v>2.3896999999999999</v>
      </c>
      <c r="R54" s="27">
        <v>2.1496</v>
      </c>
      <c r="S54" s="27">
        <v>1.9081999999999999</v>
      </c>
      <c r="T54" s="27">
        <v>1.7344999999999999</v>
      </c>
      <c r="U54" s="27">
        <v>1.5605</v>
      </c>
      <c r="V54" s="27">
        <v>1.387</v>
      </c>
      <c r="W54" s="27">
        <v>1.2412000000000001</v>
      </c>
      <c r="X54" s="27">
        <v>1.1439999999999999</v>
      </c>
      <c r="Y54" s="27">
        <v>1.0465</v>
      </c>
    </row>
    <row r="55" spans="1:25">
      <c r="A55" s="27" t="s">
        <v>211</v>
      </c>
      <c r="B55" s="27" t="s">
        <v>240</v>
      </c>
      <c r="C55" s="27" t="s">
        <v>198</v>
      </c>
      <c r="D55" s="27" t="s">
        <v>1164</v>
      </c>
      <c r="E55" s="27" t="s">
        <v>77</v>
      </c>
      <c r="F55" s="27" t="s">
        <v>200</v>
      </c>
      <c r="G55" s="27">
        <v>14.523603384928</v>
      </c>
      <c r="H55" s="27" t="s">
        <v>200</v>
      </c>
      <c r="I55" s="27">
        <v>22.26050665894001</v>
      </c>
      <c r="J55" s="27" t="s">
        <v>200</v>
      </c>
      <c r="K55" s="27">
        <v>7.4468444785350014</v>
      </c>
      <c r="L55" s="27" t="s">
        <v>200</v>
      </c>
      <c r="M55" s="27">
        <v>5.2705817167849993</v>
      </c>
      <c r="N55" s="27" t="s">
        <v>200</v>
      </c>
      <c r="O55" s="27">
        <v>3.3353286015829999</v>
      </c>
      <c r="P55" s="27" t="s">
        <v>200</v>
      </c>
      <c r="Q55" s="27">
        <v>2.5448969105779988</v>
      </c>
      <c r="R55" s="27" t="s">
        <v>200</v>
      </c>
      <c r="S55" s="27">
        <v>2.2258122933419999</v>
      </c>
      <c r="T55" s="27" t="s">
        <v>200</v>
      </c>
      <c r="U55" s="27">
        <v>1.446721019205</v>
      </c>
      <c r="V55" s="27" t="s">
        <v>200</v>
      </c>
      <c r="W55" s="27">
        <v>1.2268716599039999</v>
      </c>
      <c r="X55" s="27" t="s">
        <v>200</v>
      </c>
      <c r="Y55" s="27">
        <v>1.2354622232479999</v>
      </c>
    </row>
    <row r="56" spans="1:25">
      <c r="A56" s="27" t="s">
        <v>203</v>
      </c>
      <c r="B56" s="27" t="s">
        <v>281</v>
      </c>
      <c r="C56" s="27" t="s">
        <v>198</v>
      </c>
      <c r="D56" s="27" t="s">
        <v>1164</v>
      </c>
      <c r="E56" s="27" t="s">
        <v>77</v>
      </c>
      <c r="F56" s="27">
        <v>15.650700000000001</v>
      </c>
      <c r="G56" s="27">
        <v>21.5792</v>
      </c>
      <c r="H56" s="27">
        <v>25.761099999999999</v>
      </c>
      <c r="I56" s="27">
        <v>29.943000000000001</v>
      </c>
      <c r="J56" s="27">
        <v>14.07</v>
      </c>
      <c r="K56" s="27">
        <v>7.9485999999999999</v>
      </c>
      <c r="L56" s="27">
        <v>6.7805</v>
      </c>
      <c r="M56" s="27">
        <v>5.6124000000000001</v>
      </c>
      <c r="N56" s="27">
        <v>4.7004999999999999</v>
      </c>
      <c r="O56" s="27">
        <v>3.7886000000000002</v>
      </c>
      <c r="P56" s="27">
        <v>3.2993999999999999</v>
      </c>
      <c r="Q56" s="27">
        <v>2.8100999999999998</v>
      </c>
      <c r="R56" s="27" t="s">
        <v>200</v>
      </c>
      <c r="S56" s="27">
        <v>2.2559</v>
      </c>
      <c r="T56" s="27" t="s">
        <v>200</v>
      </c>
      <c r="U56" s="27">
        <v>1.8396999999999999</v>
      </c>
      <c r="V56" s="27" t="s">
        <v>200</v>
      </c>
      <c r="W56" s="27">
        <v>1.4544999999999999</v>
      </c>
      <c r="X56" s="27" t="s">
        <v>200</v>
      </c>
      <c r="Y56" s="27">
        <v>1.1971000000000001</v>
      </c>
    </row>
    <row r="57" spans="1:25">
      <c r="A57" s="27" t="s">
        <v>282</v>
      </c>
      <c r="B57" s="27" t="s">
        <v>283</v>
      </c>
      <c r="C57" s="27" t="s">
        <v>198</v>
      </c>
      <c r="D57" s="27" t="s">
        <v>1164</v>
      </c>
      <c r="E57" s="27" t="s">
        <v>77</v>
      </c>
      <c r="F57" s="27" t="s">
        <v>200</v>
      </c>
      <c r="G57" s="27">
        <v>14.522819342495479</v>
      </c>
      <c r="H57" s="27">
        <v>17.06398929508439</v>
      </c>
      <c r="I57" s="27">
        <v>20.392277441946572</v>
      </c>
      <c r="J57" s="27" t="s">
        <v>200</v>
      </c>
      <c r="K57" s="27">
        <v>5.151626359146201</v>
      </c>
      <c r="L57" s="27" t="s">
        <v>200</v>
      </c>
      <c r="M57" s="27">
        <v>3.9205657128854048</v>
      </c>
      <c r="N57" s="27" t="s">
        <v>200</v>
      </c>
      <c r="O57" s="27">
        <v>2.460308478553499</v>
      </c>
      <c r="P57" s="27" t="s">
        <v>200</v>
      </c>
      <c r="Q57" s="27">
        <v>1.755357796140685</v>
      </c>
      <c r="R57" s="27" t="s">
        <v>200</v>
      </c>
      <c r="S57" s="27">
        <v>1.4768329603860371</v>
      </c>
      <c r="T57" s="27" t="s">
        <v>200</v>
      </c>
      <c r="U57" s="27">
        <v>0.95031399900421798</v>
      </c>
      <c r="V57" s="27" t="s">
        <v>200</v>
      </c>
      <c r="W57" s="27">
        <v>0.8022334406681314</v>
      </c>
      <c r="X57" s="27" t="s">
        <v>200</v>
      </c>
      <c r="Y57" s="27">
        <v>0.78650949920732116</v>
      </c>
    </row>
    <row r="58" spans="1:25">
      <c r="A58" s="27" t="s">
        <v>203</v>
      </c>
      <c r="B58" s="27" t="s">
        <v>284</v>
      </c>
      <c r="C58" s="27" t="s">
        <v>198</v>
      </c>
      <c r="D58" s="27" t="s">
        <v>1164</v>
      </c>
      <c r="E58" s="27" t="s">
        <v>77</v>
      </c>
      <c r="F58" s="27">
        <v>15.650700000000001</v>
      </c>
      <c r="G58" s="27">
        <v>21.5792</v>
      </c>
      <c r="H58" s="27">
        <v>25.761099999999999</v>
      </c>
      <c r="I58" s="27">
        <v>29.943000000000001</v>
      </c>
      <c r="J58" s="27">
        <v>22.208600000000001</v>
      </c>
      <c r="K58" s="27">
        <v>14.4992</v>
      </c>
      <c r="L58" s="27">
        <v>10.7035</v>
      </c>
      <c r="M58" s="27">
        <v>6.9077000000000002</v>
      </c>
      <c r="N58" s="27">
        <v>5.5425000000000004</v>
      </c>
      <c r="O58" s="27">
        <v>4.1772999999999998</v>
      </c>
      <c r="P58" s="27">
        <v>3.4937</v>
      </c>
      <c r="Q58" s="27">
        <v>2.8100999999999998</v>
      </c>
      <c r="R58" s="27" t="s">
        <v>200</v>
      </c>
      <c r="S58" s="27">
        <v>2.2559</v>
      </c>
      <c r="T58" s="27" t="s">
        <v>200</v>
      </c>
      <c r="U58" s="27">
        <v>2.15</v>
      </c>
      <c r="V58" s="27" t="s">
        <v>200</v>
      </c>
      <c r="W58" s="27">
        <v>5.7888000000000002</v>
      </c>
      <c r="X58" s="27" t="s">
        <v>200</v>
      </c>
      <c r="Y58" s="27">
        <v>6.5301999999999998</v>
      </c>
    </row>
    <row r="59" spans="1:25">
      <c r="A59" s="27" t="s">
        <v>203</v>
      </c>
      <c r="B59" s="27" t="s">
        <v>285</v>
      </c>
      <c r="C59" s="27" t="s">
        <v>198</v>
      </c>
      <c r="D59" s="27" t="s">
        <v>1164</v>
      </c>
      <c r="E59" s="27" t="s">
        <v>77</v>
      </c>
      <c r="F59" s="27">
        <v>15.650700000000001</v>
      </c>
      <c r="G59" s="27">
        <v>21.5792</v>
      </c>
      <c r="H59" s="27">
        <v>25.761099999999999</v>
      </c>
      <c r="I59" s="27">
        <v>29.943000000000001</v>
      </c>
      <c r="J59" s="27">
        <v>22.208600000000001</v>
      </c>
      <c r="K59" s="27">
        <v>14.4992</v>
      </c>
      <c r="L59" s="27">
        <v>10.7035</v>
      </c>
      <c r="M59" s="27">
        <v>6.9077000000000002</v>
      </c>
      <c r="N59" s="27">
        <v>5.5425000000000004</v>
      </c>
      <c r="O59" s="27">
        <v>4.1772999999999998</v>
      </c>
      <c r="P59" s="27">
        <v>3.4937</v>
      </c>
      <c r="Q59" s="27">
        <v>2.8100999999999998</v>
      </c>
      <c r="R59" s="27" t="s">
        <v>200</v>
      </c>
      <c r="S59" s="27">
        <v>2.2559</v>
      </c>
      <c r="T59" s="27" t="s">
        <v>200</v>
      </c>
      <c r="U59" s="27">
        <v>2.15</v>
      </c>
      <c r="V59" s="27" t="s">
        <v>200</v>
      </c>
      <c r="W59" s="27">
        <v>5.7888000000000002</v>
      </c>
      <c r="X59" s="27" t="s">
        <v>200</v>
      </c>
      <c r="Y59" s="27">
        <v>6.5301999999999998</v>
      </c>
    </row>
    <row r="60" spans="1:25">
      <c r="A60" s="27" t="s">
        <v>196</v>
      </c>
      <c r="B60" s="27" t="s">
        <v>286</v>
      </c>
      <c r="C60" s="27" t="s">
        <v>198</v>
      </c>
      <c r="D60" s="27" t="s">
        <v>1164</v>
      </c>
      <c r="E60" s="27" t="s">
        <v>77</v>
      </c>
      <c r="F60" s="27">
        <v>15.650700000000001</v>
      </c>
      <c r="G60" s="27">
        <v>21.5792</v>
      </c>
      <c r="H60" s="27">
        <v>25.761099999999999</v>
      </c>
      <c r="I60" s="27">
        <v>29.943000000000001</v>
      </c>
      <c r="J60" s="27">
        <v>14.07</v>
      </c>
      <c r="K60" s="27">
        <v>7.9485999999999999</v>
      </c>
      <c r="L60" s="27">
        <v>6.7805</v>
      </c>
      <c r="M60" s="27">
        <v>5.6124000000000001</v>
      </c>
      <c r="N60" s="27">
        <v>4.7004999999999999</v>
      </c>
      <c r="O60" s="27">
        <v>3.7886000000000002</v>
      </c>
      <c r="P60" s="27">
        <v>3.2993999999999999</v>
      </c>
      <c r="Q60" s="27">
        <v>2.8100999999999998</v>
      </c>
      <c r="R60" s="27" t="s">
        <v>200</v>
      </c>
      <c r="S60" s="27">
        <v>2.2559</v>
      </c>
      <c r="T60" s="27" t="s">
        <v>200</v>
      </c>
      <c r="U60" s="27">
        <v>1.8396999999999999</v>
      </c>
      <c r="V60" s="27" t="s">
        <v>200</v>
      </c>
      <c r="W60" s="27">
        <v>1.4544999999999999</v>
      </c>
      <c r="X60" s="27" t="s">
        <v>200</v>
      </c>
      <c r="Y60" s="27">
        <v>1.1971000000000001</v>
      </c>
    </row>
    <row r="61" spans="1:25">
      <c r="A61" s="27" t="s">
        <v>247</v>
      </c>
      <c r="B61" s="27" t="s">
        <v>288</v>
      </c>
      <c r="C61" s="27" t="s">
        <v>198</v>
      </c>
      <c r="D61" s="27" t="s">
        <v>1164</v>
      </c>
      <c r="E61" s="27" t="s">
        <v>77</v>
      </c>
      <c r="F61" s="27" t="s">
        <v>200</v>
      </c>
      <c r="G61" s="27">
        <v>10.9180439148973</v>
      </c>
      <c r="H61" s="27" t="s">
        <v>200</v>
      </c>
      <c r="I61" s="27">
        <v>12.079135192540299</v>
      </c>
      <c r="J61" s="27" t="s">
        <v>200</v>
      </c>
      <c r="K61" s="27">
        <v>0.91832803875377722</v>
      </c>
      <c r="L61" s="27" t="s">
        <v>200</v>
      </c>
      <c r="M61" s="27">
        <v>0.76027801630817415</v>
      </c>
      <c r="N61" s="27" t="s">
        <v>200</v>
      </c>
      <c r="O61" s="27">
        <v>0.517281368967896</v>
      </c>
      <c r="P61" s="27" t="s">
        <v>200</v>
      </c>
      <c r="Q61" s="27">
        <v>0.41192452507195998</v>
      </c>
      <c r="R61" s="27" t="s">
        <v>200</v>
      </c>
      <c r="S61" s="27">
        <v>0.38007230099826</v>
      </c>
      <c r="T61" s="27" t="s">
        <v>200</v>
      </c>
      <c r="U61" s="27">
        <v>0.25632996506410199</v>
      </c>
      <c r="V61" s="27" t="s">
        <v>200</v>
      </c>
      <c r="W61" s="27">
        <v>0.22027734461389101</v>
      </c>
      <c r="X61" s="27" t="s">
        <v>200</v>
      </c>
      <c r="Y61" s="27">
        <v>0.21419201355230699</v>
      </c>
    </row>
    <row r="62" spans="1:25">
      <c r="A62" s="27" t="s">
        <v>211</v>
      </c>
      <c r="B62" s="27" t="s">
        <v>256</v>
      </c>
      <c r="C62" s="27" t="s">
        <v>198</v>
      </c>
      <c r="D62" s="27" t="s">
        <v>1164</v>
      </c>
      <c r="E62" s="27" t="s">
        <v>77</v>
      </c>
      <c r="F62" s="27" t="s">
        <v>200</v>
      </c>
      <c r="G62" s="27">
        <v>14.523603384928</v>
      </c>
      <c r="H62" s="27" t="s">
        <v>200</v>
      </c>
      <c r="I62" s="27">
        <v>21.381403655589999</v>
      </c>
      <c r="J62" s="27" t="s">
        <v>200</v>
      </c>
      <c r="K62" s="27">
        <v>6.1447777579649996</v>
      </c>
      <c r="L62" s="27" t="s">
        <v>200</v>
      </c>
      <c r="M62" s="27">
        <v>4.9607187518350004</v>
      </c>
      <c r="N62" s="27" t="s">
        <v>200</v>
      </c>
      <c r="O62" s="27">
        <v>3.1654050825906701</v>
      </c>
      <c r="P62" s="27" t="s">
        <v>200</v>
      </c>
      <c r="Q62" s="27">
        <v>2.4061806578259999</v>
      </c>
      <c r="R62" s="27" t="s">
        <v>200</v>
      </c>
      <c r="S62" s="27">
        <v>2.1029959059779988</v>
      </c>
      <c r="T62" s="27" t="s">
        <v>200</v>
      </c>
      <c r="U62" s="27">
        <v>1.3659099453229999</v>
      </c>
      <c r="V62" s="27" t="s">
        <v>200</v>
      </c>
      <c r="W62" s="27">
        <v>1.1543474461200001</v>
      </c>
      <c r="X62" s="27" t="s">
        <v>200</v>
      </c>
      <c r="Y62" s="27">
        <v>1.1592425454719999</v>
      </c>
    </row>
    <row r="63" spans="1:25">
      <c r="A63" s="27" t="s">
        <v>196</v>
      </c>
      <c r="B63" s="27" t="s">
        <v>267</v>
      </c>
      <c r="C63" s="27" t="s">
        <v>198</v>
      </c>
      <c r="D63" s="27" t="s">
        <v>1164</v>
      </c>
      <c r="E63" s="27" t="s">
        <v>77</v>
      </c>
      <c r="F63" s="27">
        <v>15.650700000000001</v>
      </c>
      <c r="G63" s="27">
        <v>21.5792</v>
      </c>
      <c r="H63" s="27">
        <v>25.761099999999999</v>
      </c>
      <c r="I63" s="27">
        <v>29.943000000000001</v>
      </c>
      <c r="J63" s="27">
        <v>14.07</v>
      </c>
      <c r="K63" s="27">
        <v>7.9485999999999999</v>
      </c>
      <c r="L63" s="27">
        <v>6.7805</v>
      </c>
      <c r="M63" s="27">
        <v>5.6124000000000001</v>
      </c>
      <c r="N63" s="27">
        <v>4.7004999999999999</v>
      </c>
      <c r="O63" s="27">
        <v>3.7886000000000002</v>
      </c>
      <c r="P63" s="27">
        <v>3.2993999999999999</v>
      </c>
      <c r="Q63" s="27">
        <v>2.8100999999999998</v>
      </c>
      <c r="R63" s="27" t="s">
        <v>200</v>
      </c>
      <c r="S63" s="27">
        <v>2.2559</v>
      </c>
      <c r="T63" s="27" t="s">
        <v>200</v>
      </c>
      <c r="U63" s="27">
        <v>1.8396999999999999</v>
      </c>
      <c r="V63" s="27" t="s">
        <v>200</v>
      </c>
      <c r="W63" s="27">
        <v>1.4544999999999999</v>
      </c>
      <c r="X63" s="27" t="s">
        <v>200</v>
      </c>
      <c r="Y63" s="27">
        <v>1.1971000000000001</v>
      </c>
    </row>
    <row r="64" spans="1:25">
      <c r="A64" s="27" t="s">
        <v>196</v>
      </c>
      <c r="B64" s="27" t="s">
        <v>289</v>
      </c>
      <c r="C64" s="27" t="s">
        <v>198</v>
      </c>
      <c r="D64" s="27" t="s">
        <v>1164</v>
      </c>
      <c r="E64" s="27" t="s">
        <v>77</v>
      </c>
      <c r="F64" s="27">
        <v>15.650700000000001</v>
      </c>
      <c r="G64" s="27">
        <v>21.5792</v>
      </c>
      <c r="H64" s="27">
        <v>26.9131</v>
      </c>
      <c r="I64" s="27">
        <v>32.247</v>
      </c>
      <c r="J64" s="27">
        <v>22.208600000000001</v>
      </c>
      <c r="K64" s="27">
        <v>14.4992</v>
      </c>
      <c r="L64" s="27">
        <v>10.7035</v>
      </c>
      <c r="M64" s="27">
        <v>6.9077000000000002</v>
      </c>
      <c r="N64" s="27">
        <v>5.5425000000000004</v>
      </c>
      <c r="O64" s="27">
        <v>4.1772999999999998</v>
      </c>
      <c r="P64" s="27">
        <v>3.4937</v>
      </c>
      <c r="Q64" s="27">
        <v>2.8100999999999998</v>
      </c>
      <c r="R64" s="27" t="s">
        <v>200</v>
      </c>
      <c r="S64" s="27">
        <v>2.2559</v>
      </c>
      <c r="T64" s="27" t="s">
        <v>200</v>
      </c>
      <c r="U64" s="27">
        <v>2.15</v>
      </c>
      <c r="V64" s="27" t="s">
        <v>200</v>
      </c>
      <c r="W64" s="27">
        <v>5.7888000000000002</v>
      </c>
      <c r="X64" s="27" t="s">
        <v>200</v>
      </c>
      <c r="Y64" s="27">
        <v>6.5301999999999998</v>
      </c>
    </row>
    <row r="65" spans="1:25">
      <c r="A65" s="27" t="s">
        <v>233</v>
      </c>
      <c r="B65" s="27" t="s">
        <v>230</v>
      </c>
      <c r="C65" s="27" t="s">
        <v>198</v>
      </c>
      <c r="D65" s="27" t="s">
        <v>1164</v>
      </c>
      <c r="E65" s="27" t="s">
        <v>77</v>
      </c>
      <c r="F65" s="27" t="s">
        <v>200</v>
      </c>
      <c r="G65" s="27">
        <v>24.47084461538461</v>
      </c>
      <c r="H65" s="27">
        <v>27.37233123076923</v>
      </c>
      <c r="I65" s="27">
        <v>26.932970252644139</v>
      </c>
      <c r="J65" s="27">
        <v>19.23522742166141</v>
      </c>
      <c r="K65" s="27">
        <v>15.64632297030494</v>
      </c>
      <c r="L65" s="27">
        <v>13.7908169487549</v>
      </c>
      <c r="M65" s="27">
        <v>12.30621254033229</v>
      </c>
      <c r="N65" s="27">
        <v>10.39125564821366</v>
      </c>
      <c r="O65" s="27">
        <v>8.3876850192946684</v>
      </c>
      <c r="P65" s="27">
        <v>7.0470919300967347</v>
      </c>
      <c r="Q65" s="27">
        <v>6.1772214881613419</v>
      </c>
      <c r="R65" s="27">
        <v>5.6994992307245136</v>
      </c>
      <c r="S65" s="27">
        <v>5.3221729728150624</v>
      </c>
      <c r="T65" s="27">
        <v>4.7212983612309696</v>
      </c>
      <c r="U65" s="27">
        <v>4.0427420885891392</v>
      </c>
      <c r="V65" s="27">
        <v>3.5126618052920082</v>
      </c>
      <c r="W65" s="27">
        <v>3.219627416842735</v>
      </c>
      <c r="X65" s="27">
        <v>3.1453098848795218</v>
      </c>
      <c r="Y65" s="27">
        <v>3.3524690867918059</v>
      </c>
    </row>
    <row r="66" spans="1:25">
      <c r="A66" s="27" t="s">
        <v>261</v>
      </c>
      <c r="B66" s="27" t="s">
        <v>292</v>
      </c>
      <c r="C66" s="27" t="s">
        <v>198</v>
      </c>
      <c r="D66" s="27" t="s">
        <v>1164</v>
      </c>
      <c r="E66" s="27" t="s">
        <v>77</v>
      </c>
      <c r="F66" s="27">
        <v>15.615990486145019</v>
      </c>
      <c r="G66" s="27">
        <v>21.531364974975592</v>
      </c>
      <c r="H66" s="27">
        <v>25.815995864868171</v>
      </c>
      <c r="I66" s="27">
        <v>32.175522537231437</v>
      </c>
      <c r="J66" s="27">
        <v>20.73163993835449</v>
      </c>
      <c r="K66" s="27">
        <v>9.4261129760742204</v>
      </c>
      <c r="L66" s="27">
        <v>6.7562544822692878</v>
      </c>
      <c r="M66" s="27">
        <v>5.5999055099487309</v>
      </c>
      <c r="N66" s="27">
        <v>4.621979999542237</v>
      </c>
      <c r="O66" s="27">
        <v>3.780183591842651</v>
      </c>
      <c r="P66" s="27">
        <v>3.1624047660827639</v>
      </c>
      <c r="Q66" s="27">
        <v>2.803890581130982</v>
      </c>
      <c r="R66" s="27">
        <v>2.504923753738403</v>
      </c>
      <c r="S66" s="27">
        <v>2.2508874893188482</v>
      </c>
      <c r="T66" s="27">
        <v>2.0306322526931759</v>
      </c>
      <c r="U66" s="27">
        <v>1.835669302940369</v>
      </c>
      <c r="V66" s="27">
        <v>1.65955361366272</v>
      </c>
      <c r="W66" s="27">
        <v>1.4512851476669311</v>
      </c>
      <c r="X66" s="27">
        <v>1.322841153144837</v>
      </c>
      <c r="Y66" s="27">
        <v>1.194398188591004</v>
      </c>
    </row>
    <row r="67" spans="1:25">
      <c r="A67" s="27" t="s">
        <v>261</v>
      </c>
      <c r="B67" s="27" t="s">
        <v>293</v>
      </c>
      <c r="C67" s="27" t="s">
        <v>198</v>
      </c>
      <c r="D67" s="27" t="s">
        <v>1164</v>
      </c>
      <c r="E67" s="27" t="s">
        <v>77</v>
      </c>
      <c r="F67" s="27">
        <v>15.615990486145019</v>
      </c>
      <c r="G67" s="27">
        <v>21.531364974975592</v>
      </c>
      <c r="H67" s="27">
        <v>25.815995864868171</v>
      </c>
      <c r="I67" s="27">
        <v>32.175522537231437</v>
      </c>
      <c r="J67" s="27">
        <v>20.73163993835449</v>
      </c>
      <c r="K67" s="27">
        <v>9.4261129760742204</v>
      </c>
      <c r="L67" s="27">
        <v>6.7562544822692878</v>
      </c>
      <c r="M67" s="27">
        <v>5.5999055099487309</v>
      </c>
      <c r="N67" s="27">
        <v>4.621979999542237</v>
      </c>
      <c r="O67" s="27">
        <v>3.780183591842651</v>
      </c>
      <c r="P67" s="27">
        <v>3.1624047660827639</v>
      </c>
      <c r="Q67" s="27">
        <v>2.803890581130982</v>
      </c>
      <c r="R67" s="27">
        <v>2.504923753738403</v>
      </c>
      <c r="S67" s="27">
        <v>2.2508874893188482</v>
      </c>
      <c r="T67" s="27">
        <v>2.0306322526931759</v>
      </c>
      <c r="U67" s="27">
        <v>1.835669302940369</v>
      </c>
      <c r="V67" s="27">
        <v>1.65955361366272</v>
      </c>
      <c r="W67" s="27">
        <v>1.4512851476669311</v>
      </c>
      <c r="X67" s="27">
        <v>1.322841153144837</v>
      </c>
      <c r="Y67" s="27">
        <v>1.194398188591004</v>
      </c>
    </row>
    <row r="68" spans="1:25">
      <c r="A68" s="27" t="s">
        <v>196</v>
      </c>
      <c r="B68" s="27" t="s">
        <v>280</v>
      </c>
      <c r="C68" s="27" t="s">
        <v>198</v>
      </c>
      <c r="D68" s="27" t="s">
        <v>1164</v>
      </c>
      <c r="E68" s="27" t="s">
        <v>77</v>
      </c>
      <c r="F68" s="27">
        <v>15.650700000000001</v>
      </c>
      <c r="G68" s="27">
        <v>21.5792</v>
      </c>
      <c r="H68" s="27">
        <v>25.761099999999999</v>
      </c>
      <c r="I68" s="27">
        <v>29.943000000000001</v>
      </c>
      <c r="J68" s="27">
        <v>14.07</v>
      </c>
      <c r="K68" s="27">
        <v>7.9485999999999999</v>
      </c>
      <c r="L68" s="27">
        <v>6.7805</v>
      </c>
      <c r="M68" s="27">
        <v>5.6124000000000001</v>
      </c>
      <c r="N68" s="27">
        <v>4.7004999999999999</v>
      </c>
      <c r="O68" s="27">
        <v>3.7886000000000002</v>
      </c>
      <c r="P68" s="27">
        <v>3.2993999999999999</v>
      </c>
      <c r="Q68" s="27">
        <v>2.8100999999999998</v>
      </c>
      <c r="R68" s="27" t="s">
        <v>200</v>
      </c>
      <c r="S68" s="27">
        <v>2.2559</v>
      </c>
      <c r="T68" s="27" t="s">
        <v>200</v>
      </c>
      <c r="U68" s="27">
        <v>1.8396999999999999</v>
      </c>
      <c r="V68" s="27" t="s">
        <v>200</v>
      </c>
      <c r="W68" s="27">
        <v>1.4544999999999999</v>
      </c>
      <c r="X68" s="27" t="s">
        <v>200</v>
      </c>
      <c r="Y68" s="27">
        <v>1.1971000000000001</v>
      </c>
    </row>
    <row r="69" spans="1:25">
      <c r="A69" s="27" t="s">
        <v>218</v>
      </c>
      <c r="B69" s="27" t="s">
        <v>294</v>
      </c>
      <c r="C69" s="27" t="s">
        <v>198</v>
      </c>
      <c r="D69" s="27" t="s">
        <v>1164</v>
      </c>
      <c r="E69" s="27" t="s">
        <v>77</v>
      </c>
      <c r="F69" s="27">
        <v>15.650700000000001</v>
      </c>
      <c r="G69" s="27">
        <v>21.5792</v>
      </c>
      <c r="H69" s="27">
        <v>26.9131</v>
      </c>
      <c r="I69" s="27">
        <v>32.247</v>
      </c>
      <c r="J69" s="27">
        <v>14.07</v>
      </c>
      <c r="K69" s="27">
        <v>7.9485999999999999</v>
      </c>
      <c r="L69" s="27">
        <v>6.7805</v>
      </c>
      <c r="M69" s="27">
        <v>5.6124000000000001</v>
      </c>
      <c r="N69" s="27">
        <v>4.7004999999999999</v>
      </c>
      <c r="O69" s="27">
        <v>3.7886000000000002</v>
      </c>
      <c r="P69" s="27">
        <v>3.2993999999999999</v>
      </c>
      <c r="Q69" s="27">
        <v>2.8100999999999998</v>
      </c>
      <c r="R69" s="27" t="s">
        <v>200</v>
      </c>
      <c r="S69" s="27">
        <v>2.2559</v>
      </c>
      <c r="T69" s="27" t="s">
        <v>200</v>
      </c>
      <c r="U69" s="27">
        <v>1.8396999999999999</v>
      </c>
      <c r="V69" s="27" t="s">
        <v>200</v>
      </c>
      <c r="W69" s="27">
        <v>1.4544999999999999</v>
      </c>
      <c r="X69" s="27" t="s">
        <v>200</v>
      </c>
      <c r="Y69" s="27">
        <v>1.1971000000000001</v>
      </c>
    </row>
    <row r="70" spans="1:25">
      <c r="A70" s="27" t="s">
        <v>261</v>
      </c>
      <c r="B70" s="27" t="s">
        <v>295</v>
      </c>
      <c r="C70" s="27" t="s">
        <v>198</v>
      </c>
      <c r="D70" s="27" t="s">
        <v>1164</v>
      </c>
      <c r="E70" s="27" t="s">
        <v>77</v>
      </c>
      <c r="F70" s="27">
        <v>15.615990486145019</v>
      </c>
      <c r="G70" s="27">
        <v>21.531364974975592</v>
      </c>
      <c r="H70" s="27">
        <v>25.815995864868171</v>
      </c>
      <c r="I70" s="27">
        <v>32.175522537231437</v>
      </c>
      <c r="J70" s="27">
        <v>19.21418563842774</v>
      </c>
      <c r="K70" s="27">
        <v>9.0414054107666022</v>
      </c>
      <c r="L70" s="27">
        <v>6.7562544822692878</v>
      </c>
      <c r="M70" s="27">
        <v>5.5999055099487309</v>
      </c>
      <c r="N70" s="27">
        <v>4.621979999542237</v>
      </c>
      <c r="O70" s="27">
        <v>3.780183591842651</v>
      </c>
      <c r="P70" s="27">
        <v>3.1624047660827639</v>
      </c>
      <c r="Q70" s="27">
        <v>2.803890581130982</v>
      </c>
      <c r="R70" s="27">
        <v>2.504923753738403</v>
      </c>
      <c r="S70" s="27">
        <v>2.2508874893188482</v>
      </c>
      <c r="T70" s="27">
        <v>2.0306322526931759</v>
      </c>
      <c r="U70" s="27">
        <v>1.835669302940369</v>
      </c>
      <c r="V70" s="27">
        <v>1.65955361366272</v>
      </c>
      <c r="W70" s="27">
        <v>1.4512851476669311</v>
      </c>
      <c r="X70" s="27">
        <v>1.322841153144837</v>
      </c>
      <c r="Y70" s="27">
        <v>1.194398188591004</v>
      </c>
    </row>
    <row r="71" spans="1:25">
      <c r="A71" s="27" t="s">
        <v>196</v>
      </c>
      <c r="B71" s="27" t="s">
        <v>296</v>
      </c>
      <c r="C71" s="27" t="s">
        <v>198</v>
      </c>
      <c r="D71" s="27" t="s">
        <v>1164</v>
      </c>
      <c r="E71" s="27" t="s">
        <v>77</v>
      </c>
      <c r="F71" s="27">
        <v>15.650700000000001</v>
      </c>
      <c r="G71" s="27">
        <v>21.5792</v>
      </c>
      <c r="H71" s="27">
        <v>25.761099999999999</v>
      </c>
      <c r="I71" s="27">
        <v>29.943000000000001</v>
      </c>
      <c r="J71" s="27">
        <v>14.07</v>
      </c>
      <c r="K71" s="27">
        <v>7.9485999999999999</v>
      </c>
      <c r="L71" s="27">
        <v>6.7805</v>
      </c>
      <c r="M71" s="27">
        <v>5.6124000000000001</v>
      </c>
      <c r="N71" s="27">
        <v>4.7004999999999999</v>
      </c>
      <c r="O71" s="27">
        <v>3.7886000000000002</v>
      </c>
      <c r="P71" s="27">
        <v>3.2993999999999999</v>
      </c>
      <c r="Q71" s="27">
        <v>2.8100999999999998</v>
      </c>
      <c r="R71" s="27" t="s">
        <v>200</v>
      </c>
      <c r="S71" s="27">
        <v>2.2559</v>
      </c>
      <c r="T71" s="27" t="s">
        <v>200</v>
      </c>
      <c r="U71" s="27">
        <v>1.8396999999999999</v>
      </c>
      <c r="V71" s="27" t="s">
        <v>200</v>
      </c>
      <c r="W71" s="27">
        <v>1.4544999999999999</v>
      </c>
      <c r="X71" s="27" t="s">
        <v>200</v>
      </c>
      <c r="Y71" s="27">
        <v>1.1971000000000001</v>
      </c>
    </row>
    <row r="72" spans="1:25">
      <c r="A72" s="27" t="s">
        <v>196</v>
      </c>
      <c r="B72" s="27" t="s">
        <v>297</v>
      </c>
      <c r="C72" s="27" t="s">
        <v>198</v>
      </c>
      <c r="D72" s="27" t="s">
        <v>1164</v>
      </c>
      <c r="E72" s="27" t="s">
        <v>77</v>
      </c>
      <c r="F72" s="27" t="s">
        <v>200</v>
      </c>
      <c r="G72" s="27">
        <v>21.5792</v>
      </c>
      <c r="H72" s="27">
        <v>25.761099999999999</v>
      </c>
      <c r="I72" s="27">
        <v>29.943000000000001</v>
      </c>
      <c r="J72" s="27">
        <v>14.07</v>
      </c>
      <c r="K72" s="27">
        <v>7.9485999999999999</v>
      </c>
      <c r="L72" s="27">
        <v>6.7805</v>
      </c>
      <c r="M72" s="27">
        <v>5.6124000000000001</v>
      </c>
      <c r="N72" s="27">
        <v>4.7004999999999999</v>
      </c>
      <c r="O72" s="27">
        <v>3.7886000000000002</v>
      </c>
      <c r="P72" s="27">
        <v>3.2993999999999999</v>
      </c>
      <c r="Q72" s="27">
        <v>2.8100999999999998</v>
      </c>
      <c r="R72" s="27" t="s">
        <v>200</v>
      </c>
      <c r="S72" s="27">
        <v>2.2559</v>
      </c>
      <c r="T72" s="27" t="s">
        <v>200</v>
      </c>
      <c r="U72" s="27">
        <v>1.8396999999999999</v>
      </c>
      <c r="V72" s="27" t="s">
        <v>200</v>
      </c>
      <c r="W72" s="27">
        <v>1.4544999999999999</v>
      </c>
      <c r="X72" s="27" t="s">
        <v>200</v>
      </c>
      <c r="Y72" s="27">
        <v>1.1971000000000001</v>
      </c>
    </row>
    <row r="73" spans="1:25">
      <c r="A73" s="27" t="s">
        <v>244</v>
      </c>
      <c r="B73" s="27" t="s">
        <v>267</v>
      </c>
      <c r="C73" s="27" t="s">
        <v>198</v>
      </c>
      <c r="D73" s="27" t="s">
        <v>1164</v>
      </c>
      <c r="E73" s="27" t="s">
        <v>77</v>
      </c>
      <c r="F73" s="27" t="s">
        <v>200</v>
      </c>
      <c r="G73" s="27" t="s">
        <v>200</v>
      </c>
      <c r="H73" s="27">
        <v>7.2290182889530321</v>
      </c>
      <c r="I73" s="27">
        <v>8.554488578863749</v>
      </c>
      <c r="J73" s="27">
        <v>7.7775260004729967</v>
      </c>
      <c r="K73" s="27">
        <v>8.5854469404323979</v>
      </c>
      <c r="L73" s="27">
        <v>8.705087425902553</v>
      </c>
      <c r="M73" s="27">
        <v>8.6596725575122733</v>
      </c>
      <c r="N73" s="27">
        <v>8.4066466950124124</v>
      </c>
      <c r="O73" s="27">
        <v>8.4091280011048735</v>
      </c>
      <c r="P73" s="27">
        <v>8.137708975904637</v>
      </c>
      <c r="Q73" s="27">
        <v>7.8584779812209833</v>
      </c>
      <c r="R73" s="27">
        <v>7.9425416936709254</v>
      </c>
      <c r="S73" s="27">
        <v>8.047203170800481</v>
      </c>
      <c r="T73" s="27">
        <v>8.1664339394525651</v>
      </c>
      <c r="U73" s="27">
        <v>8.2166893451238678</v>
      </c>
      <c r="V73" s="27">
        <v>8.278509742112611</v>
      </c>
      <c r="W73" s="27">
        <v>8.393953355167568</v>
      </c>
      <c r="X73" s="27">
        <v>8.6929984457611535</v>
      </c>
      <c r="Y73" s="27">
        <v>9.0506587356898436</v>
      </c>
    </row>
    <row r="74" spans="1:25">
      <c r="A74" s="27" t="s">
        <v>261</v>
      </c>
      <c r="B74" s="27" t="s">
        <v>298</v>
      </c>
      <c r="C74" s="27" t="s">
        <v>198</v>
      </c>
      <c r="D74" s="27" t="s">
        <v>1164</v>
      </c>
      <c r="E74" s="27" t="s">
        <v>77</v>
      </c>
      <c r="F74" s="27">
        <v>15.615990486145019</v>
      </c>
      <c r="G74" s="27">
        <v>21.531364974975592</v>
      </c>
      <c r="H74" s="27">
        <v>25.815995864868171</v>
      </c>
      <c r="I74" s="27">
        <v>32.175522537231437</v>
      </c>
      <c r="J74" s="27">
        <v>20.73163993835449</v>
      </c>
      <c r="K74" s="27">
        <v>9.4261129760742204</v>
      </c>
      <c r="L74" s="27">
        <v>6.7562544822692878</v>
      </c>
      <c r="M74" s="27">
        <v>5.5999055099487309</v>
      </c>
      <c r="N74" s="27">
        <v>4.621979999542237</v>
      </c>
      <c r="O74" s="27">
        <v>3.780183591842651</v>
      </c>
      <c r="P74" s="27">
        <v>3.1624047660827639</v>
      </c>
      <c r="Q74" s="27">
        <v>2.803890581130982</v>
      </c>
      <c r="R74" s="27">
        <v>2.504923753738403</v>
      </c>
      <c r="S74" s="27">
        <v>2.2508874893188482</v>
      </c>
      <c r="T74" s="27">
        <v>2.0306322526931759</v>
      </c>
      <c r="U74" s="27">
        <v>1.835669302940369</v>
      </c>
      <c r="V74" s="27">
        <v>1.65955361366272</v>
      </c>
      <c r="W74" s="27">
        <v>1.4512851476669311</v>
      </c>
      <c r="X74" s="27">
        <v>1.322841153144837</v>
      </c>
      <c r="Y74" s="27">
        <v>1.194398188591004</v>
      </c>
    </row>
    <row r="75" spans="1:25">
      <c r="A75" s="27" t="s">
        <v>261</v>
      </c>
      <c r="B75" s="27" t="s">
        <v>299</v>
      </c>
      <c r="C75" s="27" t="s">
        <v>198</v>
      </c>
      <c r="D75" s="27" t="s">
        <v>1164</v>
      </c>
      <c r="E75" s="27" t="s">
        <v>77</v>
      </c>
      <c r="F75" s="27">
        <v>15.615990486145019</v>
      </c>
      <c r="G75" s="27">
        <v>21.531364974975592</v>
      </c>
      <c r="H75" s="27">
        <v>25.815995864868171</v>
      </c>
      <c r="I75" s="27">
        <v>32.175522537231437</v>
      </c>
      <c r="J75" s="27">
        <v>20.13282051086426</v>
      </c>
      <c r="K75" s="27">
        <v>14.70560359954834</v>
      </c>
      <c r="L75" s="27">
        <v>13.23218250274658</v>
      </c>
      <c r="M75" s="27">
        <v>7.1269107055664067</v>
      </c>
      <c r="N75" s="27">
        <v>4.621979999542237</v>
      </c>
      <c r="O75" s="27">
        <v>3.780183591842651</v>
      </c>
      <c r="P75" s="27">
        <v>3.1624047660827639</v>
      </c>
      <c r="Q75" s="27">
        <v>2.803890581130982</v>
      </c>
      <c r="R75" s="27">
        <v>2.504923753738403</v>
      </c>
      <c r="S75" s="27">
        <v>2.2508874893188482</v>
      </c>
      <c r="T75" s="27">
        <v>2.0306322526931759</v>
      </c>
      <c r="U75" s="27">
        <v>1.835669302940369</v>
      </c>
      <c r="V75" s="27">
        <v>1.65955361366272</v>
      </c>
      <c r="W75" s="27">
        <v>1.4512851476669311</v>
      </c>
      <c r="X75" s="27">
        <v>1.3228411531448361</v>
      </c>
      <c r="Y75" s="27">
        <v>1.194398188591004</v>
      </c>
    </row>
    <row r="100" spans="3:30">
      <c r="C100" s="3" t="s">
        <v>69</v>
      </c>
      <c r="F100" s="27">
        <f>MEDIAN(F2:F98)</f>
        <v>15.650700000000001</v>
      </c>
      <c r="G100" s="27">
        <f t="shared" ref="G100:Y100" si="0">MEDIAN(G2:G98)</f>
        <v>21.5792</v>
      </c>
      <c r="H100" s="27">
        <f t="shared" si="0"/>
        <v>25.761099999999999</v>
      </c>
      <c r="I100" s="27">
        <f t="shared" si="0"/>
        <v>29.943000000000001</v>
      </c>
      <c r="J100" s="27">
        <f t="shared" si="0"/>
        <v>14.07</v>
      </c>
      <c r="K100" s="27">
        <f t="shared" si="0"/>
        <v>7.9485999999999999</v>
      </c>
      <c r="L100" s="27">
        <f t="shared" si="0"/>
        <v>6.7805</v>
      </c>
      <c r="M100" s="27">
        <f t="shared" si="0"/>
        <v>5.6124000000000001</v>
      </c>
      <c r="N100" s="27">
        <f t="shared" si="0"/>
        <v>4.7004999999999999</v>
      </c>
      <c r="O100" s="27">
        <f t="shared" si="0"/>
        <v>3.7886000000000002</v>
      </c>
      <c r="P100" s="27">
        <f t="shared" si="0"/>
        <v>3.2993999999999999</v>
      </c>
      <c r="Q100" s="27">
        <f t="shared" si="0"/>
        <v>2.8100999999999998</v>
      </c>
      <c r="R100" s="27">
        <f t="shared" si="0"/>
        <v>2.504923753738403</v>
      </c>
      <c r="S100" s="27">
        <f t="shared" si="0"/>
        <v>2.2559</v>
      </c>
      <c r="T100" s="27">
        <f t="shared" si="0"/>
        <v>2.0306322526931759</v>
      </c>
      <c r="U100" s="27">
        <f t="shared" si="0"/>
        <v>1.8396999999999999</v>
      </c>
      <c r="V100" s="27">
        <f t="shared" si="0"/>
        <v>1.65955361366272</v>
      </c>
      <c r="W100" s="27">
        <f t="shared" si="0"/>
        <v>1.4544999999999999</v>
      </c>
      <c r="X100" s="27">
        <f t="shared" si="0"/>
        <v>1.3228411531448365</v>
      </c>
      <c r="Y100" s="27">
        <f t="shared" si="0"/>
        <v>1.1971000000000001</v>
      </c>
    </row>
    <row r="101" spans="3:30">
      <c r="C101" s="3" t="s">
        <v>72</v>
      </c>
      <c r="F101" s="27">
        <f>_xlfn.PERCENTILE.INC(F2:F98,0.25)</f>
        <v>15.615990486145019</v>
      </c>
      <c r="G101" s="27">
        <f t="shared" ref="G101:Y101" si="1">_xlfn.PERCENTILE.INC(G2:G98,0.25)</f>
        <v>19.668274999999998</v>
      </c>
      <c r="H101" s="27">
        <f t="shared" si="1"/>
        <v>25.761099999999999</v>
      </c>
      <c r="I101" s="27">
        <f t="shared" si="1"/>
        <v>21.601179406427502</v>
      </c>
      <c r="J101" s="27">
        <f t="shared" si="1"/>
        <v>14.07</v>
      </c>
      <c r="K101" s="27">
        <f t="shared" si="1"/>
        <v>7.5722833589012506</v>
      </c>
      <c r="L101" s="27">
        <f t="shared" si="1"/>
        <v>6.7562544822692878</v>
      </c>
      <c r="M101" s="27">
        <f t="shared" si="1"/>
        <v>5.5999055099487309</v>
      </c>
      <c r="N101" s="27">
        <f t="shared" si="1"/>
        <v>4.621979999542237</v>
      </c>
      <c r="O101" s="27">
        <f t="shared" si="1"/>
        <v>3.4465423491479128</v>
      </c>
      <c r="P101" s="27">
        <f t="shared" si="1"/>
        <v>3.1624047660827639</v>
      </c>
      <c r="Q101" s="27">
        <f t="shared" si="1"/>
        <v>2.7348214686857455</v>
      </c>
      <c r="R101" s="27">
        <f t="shared" si="1"/>
        <v>2.2384309384346008</v>
      </c>
      <c r="S101" s="27">
        <f t="shared" si="1"/>
        <v>2.2508874893188482</v>
      </c>
      <c r="T101" s="27">
        <f t="shared" si="1"/>
        <v>1.8085330631732939</v>
      </c>
      <c r="U101" s="27">
        <f t="shared" si="1"/>
        <v>1.835669302940369</v>
      </c>
      <c r="V101" s="27">
        <f t="shared" si="1"/>
        <v>1.45513840341568</v>
      </c>
      <c r="W101" s="27">
        <f t="shared" si="1"/>
        <v>1.4512851476669311</v>
      </c>
      <c r="X101" s="27">
        <f t="shared" si="1"/>
        <v>1.1236719469709751</v>
      </c>
      <c r="Y101" s="27">
        <f t="shared" si="1"/>
        <v>1.194398188591004</v>
      </c>
    </row>
    <row r="102" spans="3:30">
      <c r="C102" s="3" t="s">
        <v>73</v>
      </c>
      <c r="F102" s="27">
        <f>_xlfn.PERCENTILE.INC(F2:F98,0.75)</f>
        <v>15.650700000000001</v>
      </c>
      <c r="G102" s="27">
        <f t="shared" ref="G102:Y102" si="2">_xlfn.PERCENTILE.INC(G2:G98,0.75)</f>
        <v>21.5792</v>
      </c>
      <c r="H102" s="27">
        <f t="shared" si="2"/>
        <v>25.815995864868171</v>
      </c>
      <c r="I102" s="27">
        <f t="shared" si="2"/>
        <v>29.943000000000001</v>
      </c>
      <c r="J102" s="27">
        <f t="shared" si="2"/>
        <v>19.23522742166141</v>
      </c>
      <c r="K102" s="27">
        <f t="shared" si="2"/>
        <v>8.9911540580749509</v>
      </c>
      <c r="L102" s="27">
        <f t="shared" si="2"/>
        <v>6.7805</v>
      </c>
      <c r="M102" s="27">
        <f t="shared" si="2"/>
        <v>5.6124000000000001</v>
      </c>
      <c r="N102" s="27">
        <f t="shared" si="2"/>
        <v>4.7004999999999999</v>
      </c>
      <c r="O102" s="27">
        <f t="shared" si="2"/>
        <v>3.7886000000000002</v>
      </c>
      <c r="P102" s="27">
        <f t="shared" si="2"/>
        <v>3.2993999999999999</v>
      </c>
      <c r="Q102" s="27">
        <f t="shared" si="2"/>
        <v>2.8100999999999998</v>
      </c>
      <c r="R102" s="27">
        <f t="shared" si="2"/>
        <v>4.9162272896624639</v>
      </c>
      <c r="S102" s="27">
        <f t="shared" si="2"/>
        <v>2.2559</v>
      </c>
      <c r="T102" s="27">
        <f t="shared" si="2"/>
        <v>4.0863710287091122</v>
      </c>
      <c r="U102" s="27">
        <f t="shared" si="2"/>
        <v>1.9513568975525</v>
      </c>
      <c r="V102" s="27">
        <f t="shared" si="2"/>
        <v>3.0598477673658557</v>
      </c>
      <c r="W102" s="27">
        <f t="shared" si="2"/>
        <v>1.4544999999999999</v>
      </c>
      <c r="X102" s="27">
        <f t="shared" si="2"/>
        <v>2.6821532673140194</v>
      </c>
      <c r="Y102" s="27">
        <f t="shared" si="2"/>
        <v>1.1971000000000001</v>
      </c>
    </row>
    <row r="104" spans="3:30">
      <c r="F104" s="27">
        <f>MAX(F$2:F$98)</f>
        <v>15.650700000000001</v>
      </c>
      <c r="G104" s="27">
        <f t="shared" ref="G104:AD104" si="3">MAX(G$2:G$98)</f>
        <v>24.47084461538461</v>
      </c>
      <c r="H104" s="27">
        <f t="shared" si="3"/>
        <v>27.37233123076923</v>
      </c>
      <c r="I104" s="27">
        <f t="shared" si="3"/>
        <v>32.247</v>
      </c>
      <c r="J104" s="27">
        <f t="shared" si="3"/>
        <v>22.208600000000001</v>
      </c>
      <c r="K104" s="27">
        <f t="shared" si="3"/>
        <v>15.922822133131801</v>
      </c>
      <c r="L104" s="27">
        <f t="shared" si="3"/>
        <v>13.94511047088454</v>
      </c>
      <c r="M104" s="27">
        <f t="shared" si="3"/>
        <v>12.45750610399833</v>
      </c>
      <c r="N104" s="27">
        <f t="shared" si="3"/>
        <v>10.446710629977019</v>
      </c>
      <c r="O104" s="27">
        <f t="shared" si="3"/>
        <v>8.4091280011048735</v>
      </c>
      <c r="P104" s="27">
        <f t="shared" si="3"/>
        <v>8.137708975904637</v>
      </c>
      <c r="Q104" s="27">
        <f t="shared" si="3"/>
        <v>7.8584779812209833</v>
      </c>
      <c r="R104" s="27">
        <f t="shared" si="3"/>
        <v>7.9425416936709254</v>
      </c>
      <c r="S104" s="27">
        <f t="shared" si="3"/>
        <v>8.047203170800481</v>
      </c>
      <c r="T104" s="27">
        <f t="shared" si="3"/>
        <v>8.1664339394525651</v>
      </c>
      <c r="U104" s="27">
        <f t="shared" si="3"/>
        <v>8.2166893451238678</v>
      </c>
      <c r="V104" s="27">
        <f t="shared" si="3"/>
        <v>8.278509742112611</v>
      </c>
      <c r="W104" s="27">
        <f t="shared" si="3"/>
        <v>8.393953355167568</v>
      </c>
      <c r="X104" s="27">
        <f t="shared" si="3"/>
        <v>8.6929984457611535</v>
      </c>
      <c r="Y104" s="27">
        <f t="shared" si="3"/>
        <v>9.0506587356898436</v>
      </c>
      <c r="Z104" s="27">
        <f t="shared" si="3"/>
        <v>0</v>
      </c>
      <c r="AA104" s="27">
        <f t="shared" si="3"/>
        <v>0</v>
      </c>
      <c r="AB104" s="27">
        <f t="shared" si="3"/>
        <v>0</v>
      </c>
      <c r="AC104" s="27">
        <f t="shared" si="3"/>
        <v>0</v>
      </c>
      <c r="AD104" s="27">
        <f t="shared" si="3"/>
        <v>0</v>
      </c>
    </row>
    <row r="105" spans="3:30">
      <c r="F105" s="27">
        <f>MEDIAN(F$2:F$98)</f>
        <v>15.650700000000001</v>
      </c>
      <c r="G105" s="27">
        <f t="shared" ref="G105:AD105" si="4">MEDIAN(G$2:G$98)</f>
        <v>21.5792</v>
      </c>
      <c r="H105" s="27">
        <f t="shared" si="4"/>
        <v>25.761099999999999</v>
      </c>
      <c r="I105" s="27">
        <f t="shared" si="4"/>
        <v>29.943000000000001</v>
      </c>
      <c r="J105" s="27">
        <f t="shared" si="4"/>
        <v>14.07</v>
      </c>
      <c r="K105" s="27">
        <f t="shared" si="4"/>
        <v>7.9485999999999999</v>
      </c>
      <c r="L105" s="27">
        <f t="shared" si="4"/>
        <v>6.7805</v>
      </c>
      <c r="M105" s="27">
        <f t="shared" si="4"/>
        <v>5.6124000000000001</v>
      </c>
      <c r="N105" s="27">
        <f t="shared" si="4"/>
        <v>4.7004999999999999</v>
      </c>
      <c r="O105" s="27">
        <f t="shared" si="4"/>
        <v>3.7886000000000002</v>
      </c>
      <c r="P105" s="27">
        <f t="shared" si="4"/>
        <v>3.2993999999999999</v>
      </c>
      <c r="Q105" s="27">
        <f t="shared" si="4"/>
        <v>2.8100999999999998</v>
      </c>
      <c r="R105" s="27">
        <f t="shared" si="4"/>
        <v>2.504923753738403</v>
      </c>
      <c r="S105" s="27">
        <f t="shared" si="4"/>
        <v>2.2559</v>
      </c>
      <c r="T105" s="27">
        <f t="shared" si="4"/>
        <v>2.0306322526931759</v>
      </c>
      <c r="U105" s="27">
        <f t="shared" si="4"/>
        <v>1.8396999999999999</v>
      </c>
      <c r="V105" s="27">
        <f t="shared" si="4"/>
        <v>1.65955361366272</v>
      </c>
      <c r="W105" s="27">
        <f t="shared" si="4"/>
        <v>1.4544999999999999</v>
      </c>
      <c r="X105" s="27">
        <f t="shared" si="4"/>
        <v>1.3228411531448365</v>
      </c>
      <c r="Y105" s="27">
        <f t="shared" si="4"/>
        <v>1.1971000000000001</v>
      </c>
      <c r="Z105" s="27" t="e">
        <f t="shared" si="4"/>
        <v>#NUM!</v>
      </c>
      <c r="AA105" s="27" t="e">
        <f t="shared" si="4"/>
        <v>#NUM!</v>
      </c>
      <c r="AB105" s="27" t="e">
        <f t="shared" si="4"/>
        <v>#NUM!</v>
      </c>
      <c r="AC105" s="27" t="e">
        <f t="shared" si="4"/>
        <v>#NUM!</v>
      </c>
      <c r="AD105" s="27" t="e">
        <f t="shared" si="4"/>
        <v>#NUM!</v>
      </c>
    </row>
    <row r="106" spans="3:30">
      <c r="F106" s="27">
        <f>MIN(F$2:F$98)</f>
        <v>4.5595095224</v>
      </c>
      <c r="G106" s="27">
        <f t="shared" ref="G106:AD106" si="5">MIN(G$2:G$98)</f>
        <v>3.4908554510999998</v>
      </c>
      <c r="H106" s="27">
        <f t="shared" si="5"/>
        <v>4.5419844717000002</v>
      </c>
      <c r="I106" s="27">
        <f t="shared" si="5"/>
        <v>4.9338698189999999</v>
      </c>
      <c r="J106" s="27">
        <f t="shared" si="5"/>
        <v>2.10877458595469</v>
      </c>
      <c r="K106" s="27">
        <f t="shared" si="5"/>
        <v>0.62069759222016008</v>
      </c>
      <c r="L106" s="27">
        <f t="shared" si="5"/>
        <v>6.9618300636216005E-2</v>
      </c>
      <c r="M106" s="27">
        <f t="shared" si="5"/>
        <v>7.0186766067353801E-2</v>
      </c>
      <c r="N106" s="27">
        <f t="shared" si="5"/>
        <v>6.9775995772795099E-2</v>
      </c>
      <c r="O106" s="27">
        <f t="shared" si="5"/>
        <v>6.9777624048415601E-2</v>
      </c>
      <c r="P106" s="27">
        <f t="shared" si="5"/>
        <v>6.9606201876901599E-2</v>
      </c>
      <c r="Q106" s="27">
        <f t="shared" si="5"/>
        <v>6.9152735509756993E-2</v>
      </c>
      <c r="R106" s="27">
        <f t="shared" si="5"/>
        <v>6.8691522243655004E-2</v>
      </c>
      <c r="S106" s="27">
        <f t="shared" si="5"/>
        <v>6.8166877570325399E-2</v>
      </c>
      <c r="T106" s="27">
        <f t="shared" si="5"/>
        <v>6.7616499427652701E-2</v>
      </c>
      <c r="U106" s="27">
        <f t="shared" si="5"/>
        <v>6.7048487227873196E-2</v>
      </c>
      <c r="V106" s="27">
        <f t="shared" si="5"/>
        <v>6.6493392121804995E-2</v>
      </c>
      <c r="W106" s="27">
        <f t="shared" si="5"/>
        <v>6.5976817484604905E-2</v>
      </c>
      <c r="X106" s="27">
        <f t="shared" si="5"/>
        <v>6.5524500982202694E-2</v>
      </c>
      <c r="Y106" s="27">
        <f t="shared" si="5"/>
        <v>6.5147853133701999E-2</v>
      </c>
      <c r="Z106" s="27">
        <f t="shared" si="5"/>
        <v>0</v>
      </c>
      <c r="AA106" s="27">
        <f t="shared" si="5"/>
        <v>0</v>
      </c>
      <c r="AB106" s="27">
        <f t="shared" si="5"/>
        <v>0</v>
      </c>
      <c r="AC106" s="27">
        <f t="shared" si="5"/>
        <v>0</v>
      </c>
      <c r="AD106" s="27">
        <f t="shared" si="5"/>
        <v>0</v>
      </c>
    </row>
  </sheetData>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FBAAD-8466-49D8-B301-C54C362B6B39}">
  <sheetPr codeName="Sheet44">
    <tabColor theme="7" tint="0.79998168889431442"/>
  </sheetPr>
  <dimension ref="A1:AD106"/>
  <sheetViews>
    <sheetView workbookViewId="0">
      <pane ySplit="1" topLeftCell="A80" activePane="bottomLeft" state="frozen"/>
      <selection pane="bottomLeft" activeCell="F92" sqref="F92"/>
      <selection activeCell="P95" sqref="P95"/>
    </sheetView>
  </sheetViews>
  <sheetFormatPr defaultColWidth="9.140625" defaultRowHeight="15.75"/>
  <cols>
    <col min="1" max="3" width="9.140625" style="27"/>
    <col min="4" max="4" width="11.7109375" style="27" customWidth="1"/>
    <col min="5" max="5" width="14.140625" style="27" customWidth="1"/>
    <col min="6" max="16384" width="9.140625" style="27"/>
  </cols>
  <sheetData>
    <row r="1" spans="1:26">
      <c r="A1" s="27" t="s">
        <v>193</v>
      </c>
      <c r="B1" s="27" t="s">
        <v>194</v>
      </c>
      <c r="C1" s="27" t="s">
        <v>195</v>
      </c>
      <c r="D1" s="27" t="s">
        <v>64</v>
      </c>
      <c r="E1" s="27" t="s">
        <v>65</v>
      </c>
      <c r="F1" s="27">
        <v>2000</v>
      </c>
      <c r="G1" s="27">
        <v>2005</v>
      </c>
      <c r="H1" s="27">
        <v>2010</v>
      </c>
      <c r="I1" s="27">
        <v>2015</v>
      </c>
      <c r="J1" s="27">
        <v>2020</v>
      </c>
      <c r="K1" s="27">
        <v>2025</v>
      </c>
      <c r="L1" s="27">
        <v>2030</v>
      </c>
      <c r="M1" s="27">
        <v>2035</v>
      </c>
      <c r="N1" s="27">
        <v>2040</v>
      </c>
      <c r="O1" s="27">
        <v>2045</v>
      </c>
      <c r="P1" s="27">
        <v>2050</v>
      </c>
      <c r="Q1" s="27">
        <v>2055</v>
      </c>
      <c r="R1" s="27">
        <v>2060</v>
      </c>
      <c r="S1" s="27">
        <v>2065</v>
      </c>
      <c r="T1" s="27">
        <v>2070</v>
      </c>
      <c r="U1" s="27">
        <v>2075</v>
      </c>
      <c r="V1" s="27">
        <v>2080</v>
      </c>
      <c r="W1" s="27">
        <v>2085</v>
      </c>
      <c r="X1" s="27">
        <v>2090</v>
      </c>
      <c r="Y1" s="27">
        <v>2095</v>
      </c>
      <c r="Z1" s="27">
        <v>2100</v>
      </c>
    </row>
    <row r="2" spans="1:26">
      <c r="A2" s="27" t="s">
        <v>196</v>
      </c>
      <c r="B2" s="27" t="s">
        <v>197</v>
      </c>
      <c r="C2" s="27" t="s">
        <v>198</v>
      </c>
      <c r="D2" s="27" t="s">
        <v>1165</v>
      </c>
      <c r="E2" s="27" t="s">
        <v>78</v>
      </c>
      <c r="F2" s="27" t="s">
        <v>200</v>
      </c>
      <c r="G2" s="27">
        <v>6.2130999999999998</v>
      </c>
      <c r="H2" s="27">
        <v>6.5861000000000001</v>
      </c>
      <c r="I2" s="27">
        <v>6.0472000000000001</v>
      </c>
      <c r="J2" s="27">
        <v>5.5083000000000002</v>
      </c>
      <c r="K2" s="27">
        <v>2.5024999999999999</v>
      </c>
      <c r="L2" s="27">
        <v>2.1962999999999999</v>
      </c>
      <c r="M2" s="27">
        <v>2.0865999999999998</v>
      </c>
      <c r="N2" s="27">
        <v>1.9769000000000001</v>
      </c>
      <c r="O2" s="27">
        <v>1.8208</v>
      </c>
      <c r="P2" s="27">
        <v>1.6646000000000001</v>
      </c>
      <c r="Q2" s="27">
        <v>1.6034999999999999</v>
      </c>
      <c r="R2" s="27">
        <v>1.5424</v>
      </c>
      <c r="S2" s="27" t="s">
        <v>200</v>
      </c>
      <c r="T2" s="27">
        <v>1.4859</v>
      </c>
      <c r="U2" s="27" t="s">
        <v>200</v>
      </c>
      <c r="V2" s="27">
        <v>1.3451</v>
      </c>
      <c r="W2" s="27" t="s">
        <v>200</v>
      </c>
      <c r="X2" s="27">
        <v>1.1746000000000001</v>
      </c>
      <c r="Y2" s="27" t="s">
        <v>200</v>
      </c>
      <c r="Z2" s="27">
        <v>0.99319999999999997</v>
      </c>
    </row>
    <row r="3" spans="1:26">
      <c r="A3" s="27" t="s">
        <v>196</v>
      </c>
      <c r="B3" s="27" t="s">
        <v>201</v>
      </c>
      <c r="C3" s="27" t="s">
        <v>198</v>
      </c>
      <c r="D3" s="27" t="s">
        <v>1165</v>
      </c>
      <c r="E3" s="27" t="s">
        <v>78</v>
      </c>
      <c r="F3" s="27" t="s">
        <v>200</v>
      </c>
      <c r="G3" s="27" t="s">
        <v>200</v>
      </c>
      <c r="H3" s="27">
        <v>6.5861000000000001</v>
      </c>
      <c r="I3" s="27">
        <v>6.0472000000000001</v>
      </c>
      <c r="J3" s="27">
        <v>5.5083000000000002</v>
      </c>
      <c r="K3" s="27">
        <v>2.5024999999999999</v>
      </c>
      <c r="L3" s="27">
        <v>2.1962999999999999</v>
      </c>
      <c r="M3" s="27">
        <v>2.0865999999999998</v>
      </c>
      <c r="N3" s="27">
        <v>1.9769000000000001</v>
      </c>
      <c r="O3" s="27">
        <v>1.8208</v>
      </c>
      <c r="P3" s="27">
        <v>1.6646000000000001</v>
      </c>
      <c r="Q3" s="27">
        <v>1.6034999999999999</v>
      </c>
      <c r="R3" s="27">
        <v>1.5424</v>
      </c>
      <c r="S3" s="27" t="s">
        <v>200</v>
      </c>
      <c r="T3" s="27">
        <v>1.4859</v>
      </c>
      <c r="U3" s="27" t="s">
        <v>200</v>
      </c>
      <c r="V3" s="27">
        <v>1.3451</v>
      </c>
      <c r="W3" s="27" t="s">
        <v>200</v>
      </c>
      <c r="X3" s="27">
        <v>1.1746000000000001</v>
      </c>
      <c r="Y3" s="27" t="s">
        <v>200</v>
      </c>
      <c r="Z3" s="27">
        <v>0.99319999999999997</v>
      </c>
    </row>
    <row r="4" spans="1:26">
      <c r="A4" s="27" t="s">
        <v>196</v>
      </c>
      <c r="B4" s="27" t="s">
        <v>202</v>
      </c>
      <c r="C4" s="27" t="s">
        <v>198</v>
      </c>
      <c r="D4" s="27" t="s">
        <v>1165</v>
      </c>
      <c r="E4" s="27" t="s">
        <v>78</v>
      </c>
      <c r="F4" s="27" t="s">
        <v>200</v>
      </c>
      <c r="G4" s="27">
        <v>6.2130999999999998</v>
      </c>
      <c r="H4" s="27">
        <v>6.5861000000000001</v>
      </c>
      <c r="I4" s="27">
        <v>6.0472000000000001</v>
      </c>
      <c r="J4" s="27">
        <v>5.5083000000000002</v>
      </c>
      <c r="K4" s="27">
        <v>2.5024999999999999</v>
      </c>
      <c r="L4" s="27">
        <v>2.1962999999999999</v>
      </c>
      <c r="M4" s="27">
        <v>2.0865999999999998</v>
      </c>
      <c r="N4" s="27">
        <v>1.9769000000000001</v>
      </c>
      <c r="O4" s="27">
        <v>1.8208</v>
      </c>
      <c r="P4" s="27">
        <v>1.6646000000000001</v>
      </c>
      <c r="Q4" s="27">
        <v>1.6034999999999999</v>
      </c>
      <c r="R4" s="27">
        <v>1.5424</v>
      </c>
      <c r="S4" s="27" t="s">
        <v>200</v>
      </c>
      <c r="T4" s="27">
        <v>1.4859</v>
      </c>
      <c r="U4" s="27" t="s">
        <v>200</v>
      </c>
      <c r="V4" s="27">
        <v>1.3451</v>
      </c>
      <c r="W4" s="27" t="s">
        <v>200</v>
      </c>
      <c r="X4" s="27">
        <v>1.1746000000000001</v>
      </c>
      <c r="Y4" s="27" t="s">
        <v>200</v>
      </c>
      <c r="Z4" s="27">
        <v>0.99319999999999997</v>
      </c>
    </row>
    <row r="5" spans="1:26">
      <c r="A5" s="27" t="s">
        <v>203</v>
      </c>
      <c r="B5" s="27" t="s">
        <v>204</v>
      </c>
      <c r="C5" s="27" t="s">
        <v>198</v>
      </c>
      <c r="D5" s="27" t="s">
        <v>1165</v>
      </c>
      <c r="E5" s="27" t="s">
        <v>78</v>
      </c>
      <c r="F5" s="27" t="s">
        <v>200</v>
      </c>
      <c r="G5" s="27">
        <v>6.2130999999999998</v>
      </c>
      <c r="H5" s="27">
        <v>6.5861000000000001</v>
      </c>
      <c r="I5" s="27">
        <v>6.0472000000000001</v>
      </c>
      <c r="J5" s="27">
        <v>5.5083000000000002</v>
      </c>
      <c r="K5" s="27">
        <v>2.5024999999999999</v>
      </c>
      <c r="L5" s="27">
        <v>2.1962999999999999</v>
      </c>
      <c r="M5" s="27">
        <v>2.0865999999999998</v>
      </c>
      <c r="N5" s="27">
        <v>1.9769000000000001</v>
      </c>
      <c r="O5" s="27">
        <v>1.8208</v>
      </c>
      <c r="P5" s="27">
        <v>1.6646000000000001</v>
      </c>
      <c r="Q5" s="27">
        <v>1.6034999999999999</v>
      </c>
      <c r="R5" s="27">
        <v>1.5424</v>
      </c>
      <c r="S5" s="27" t="s">
        <v>200</v>
      </c>
      <c r="T5" s="27">
        <v>1.4859</v>
      </c>
      <c r="U5" s="27" t="s">
        <v>200</v>
      </c>
      <c r="V5" s="27">
        <v>1.3451</v>
      </c>
      <c r="W5" s="27" t="s">
        <v>200</v>
      </c>
      <c r="X5" s="27">
        <v>1.1746000000000001</v>
      </c>
      <c r="Y5" s="27" t="s">
        <v>200</v>
      </c>
      <c r="Z5" s="27">
        <v>0.99319999999999997</v>
      </c>
    </row>
    <row r="6" spans="1:26">
      <c r="A6" s="27" t="s">
        <v>205</v>
      </c>
      <c r="B6" s="27" t="s">
        <v>206</v>
      </c>
      <c r="C6" s="27" t="s">
        <v>198</v>
      </c>
      <c r="D6" s="27" t="s">
        <v>1165</v>
      </c>
      <c r="E6" s="27" t="s">
        <v>78</v>
      </c>
      <c r="F6" s="27" t="s">
        <v>200</v>
      </c>
      <c r="G6" s="27">
        <v>2.1541700000000001</v>
      </c>
      <c r="H6" s="27">
        <v>2.1362899999999998</v>
      </c>
      <c r="I6" s="27">
        <v>2.3376399999999999</v>
      </c>
      <c r="J6" s="27">
        <v>2.3596599999999999</v>
      </c>
      <c r="K6" s="27">
        <v>2.3615900000000001</v>
      </c>
      <c r="L6" s="27">
        <v>1.5750500000000001</v>
      </c>
      <c r="M6" s="27">
        <v>1.04752</v>
      </c>
      <c r="N6" s="27">
        <v>0.69519900000000001</v>
      </c>
      <c r="O6" s="27">
        <v>0.46059699999999998</v>
      </c>
      <c r="P6" s="27">
        <v>0.30474099999999998</v>
      </c>
      <c r="Q6" s="27">
        <v>0.20138900000000001</v>
      </c>
      <c r="R6" s="27">
        <v>0.13295799999999999</v>
      </c>
      <c r="S6" s="27">
        <v>8.7706999999999993E-2</v>
      </c>
      <c r="T6" s="27">
        <v>7.1488599999999999E-2</v>
      </c>
      <c r="U6" s="27">
        <v>6.3549399999999895E-2</v>
      </c>
      <c r="V6" s="27">
        <v>6.0174800000000001E-2</v>
      </c>
      <c r="W6" s="27">
        <v>5.8323E-2</v>
      </c>
      <c r="X6" s="27">
        <v>5.7029199999999003E-2</v>
      </c>
      <c r="Y6" s="27">
        <v>5.5036599999999998E-2</v>
      </c>
      <c r="Z6" s="27">
        <v>5.3174300000000001E-2</v>
      </c>
    </row>
    <row r="7" spans="1:26">
      <c r="A7" s="27" t="s">
        <v>207</v>
      </c>
      <c r="B7" s="27" t="s">
        <v>208</v>
      </c>
      <c r="C7" s="27" t="s">
        <v>198</v>
      </c>
      <c r="D7" s="27" t="s">
        <v>1165</v>
      </c>
      <c r="E7" s="27" t="s">
        <v>78</v>
      </c>
      <c r="F7" s="27">
        <v>5.3232708460200229</v>
      </c>
      <c r="G7" s="27">
        <v>5.9622831950036934</v>
      </c>
      <c r="H7" s="27">
        <v>7.5824262366950279</v>
      </c>
      <c r="I7" s="27">
        <v>8.4461867936383541</v>
      </c>
      <c r="J7" s="27">
        <v>9.5028213692007881</v>
      </c>
      <c r="K7" s="27">
        <v>3.9567293903829421</v>
      </c>
      <c r="L7" s="27">
        <v>4.2511021412400556</v>
      </c>
      <c r="M7" s="27">
        <v>4.5711436280073476</v>
      </c>
      <c r="N7" s="27">
        <v>4.7489987720610118</v>
      </c>
      <c r="O7" s="27">
        <v>4.6395703805130157</v>
      </c>
      <c r="P7" s="27">
        <v>4.3906381199648026</v>
      </c>
      <c r="Q7" s="27">
        <v>3.998195058852446</v>
      </c>
      <c r="R7" s="27">
        <v>3.5873993984995329</v>
      </c>
      <c r="S7" s="27" t="s">
        <v>200</v>
      </c>
      <c r="T7" s="27">
        <v>2.3681134953541321</v>
      </c>
      <c r="U7" s="27" t="s">
        <v>200</v>
      </c>
      <c r="V7" s="27">
        <v>1.8474447648201719</v>
      </c>
      <c r="W7" s="27" t="s">
        <v>200</v>
      </c>
      <c r="X7" s="27">
        <v>1.38177804005126</v>
      </c>
      <c r="Y7" s="27" t="s">
        <v>200</v>
      </c>
      <c r="Z7" s="27">
        <v>1.026243443452018</v>
      </c>
    </row>
    <row r="8" spans="1:26">
      <c r="A8" s="27" t="s">
        <v>209</v>
      </c>
      <c r="B8" s="27" t="s">
        <v>210</v>
      </c>
      <c r="C8" s="27" t="s">
        <v>198</v>
      </c>
      <c r="D8" s="27" t="s">
        <v>1165</v>
      </c>
      <c r="E8" s="27" t="s">
        <v>78</v>
      </c>
      <c r="F8" s="27" t="s">
        <v>200</v>
      </c>
      <c r="G8" s="27" t="s">
        <v>200</v>
      </c>
      <c r="H8" s="27">
        <v>6.563299999999999</v>
      </c>
      <c r="I8" s="27">
        <v>6.5554000000000006</v>
      </c>
      <c r="J8" s="27">
        <v>6.5467999999999993</v>
      </c>
      <c r="K8" s="27">
        <v>4.3295000000000003</v>
      </c>
      <c r="L8" s="27">
        <v>2.1541999999999999</v>
      </c>
      <c r="M8" s="27">
        <v>2.0251000000000001</v>
      </c>
      <c r="N8" s="27">
        <v>1.9075</v>
      </c>
      <c r="O8" s="27">
        <v>1.7656000000000009</v>
      </c>
      <c r="P8" s="27">
        <v>1.6222000000000001</v>
      </c>
      <c r="Q8" s="27">
        <v>1.5665</v>
      </c>
      <c r="R8" s="27">
        <v>1.5063</v>
      </c>
      <c r="S8" s="27">
        <v>1.4802</v>
      </c>
      <c r="T8" s="27">
        <v>1.4590000000000001</v>
      </c>
      <c r="U8" s="27">
        <v>1.3960999999999999</v>
      </c>
      <c r="V8" s="27">
        <v>1.3317000000000001</v>
      </c>
      <c r="W8" s="27">
        <v>1.252</v>
      </c>
      <c r="X8" s="27">
        <v>1.1727000000000001</v>
      </c>
      <c r="Y8" s="27">
        <v>1.0729</v>
      </c>
      <c r="Z8" s="27">
        <v>0.97189999999999999</v>
      </c>
    </row>
    <row r="9" spans="1:26">
      <c r="A9" s="27" t="s">
        <v>196</v>
      </c>
      <c r="B9" s="27" t="s">
        <v>213</v>
      </c>
      <c r="C9" s="27" t="s">
        <v>198</v>
      </c>
      <c r="D9" s="27" t="s">
        <v>1165</v>
      </c>
      <c r="E9" s="27" t="s">
        <v>78</v>
      </c>
      <c r="F9" s="27" t="s">
        <v>200</v>
      </c>
      <c r="G9" s="27">
        <v>6.2130999999999998</v>
      </c>
      <c r="H9" s="27">
        <v>6.5861000000000001</v>
      </c>
      <c r="I9" s="27">
        <v>6.0472000000000001</v>
      </c>
      <c r="J9" s="27">
        <v>5.5083000000000002</v>
      </c>
      <c r="K9" s="27">
        <v>4.2992999999999997</v>
      </c>
      <c r="L9" s="27">
        <v>3.0001000000000002</v>
      </c>
      <c r="M9" s="27">
        <v>2.5377999999999998</v>
      </c>
      <c r="N9" s="27">
        <v>2.0754999999999999</v>
      </c>
      <c r="O9" s="27">
        <v>1.9309000000000001</v>
      </c>
      <c r="P9" s="27">
        <v>1.7864</v>
      </c>
      <c r="Q9" s="27">
        <v>1.7093</v>
      </c>
      <c r="R9" s="27">
        <v>1.6322000000000001</v>
      </c>
      <c r="S9" s="27" t="s">
        <v>200</v>
      </c>
      <c r="T9" s="27">
        <v>1.4718</v>
      </c>
      <c r="U9" s="27" t="s">
        <v>200</v>
      </c>
      <c r="V9" s="27">
        <v>1.3017000000000001</v>
      </c>
      <c r="W9" s="27" t="s">
        <v>200</v>
      </c>
      <c r="X9" s="27">
        <v>1.6983999999999999</v>
      </c>
      <c r="Y9" s="27" t="s">
        <v>200</v>
      </c>
      <c r="Z9" s="27">
        <v>2.7949999999999999</v>
      </c>
    </row>
    <row r="10" spans="1:26">
      <c r="A10" s="27" t="s">
        <v>214</v>
      </c>
      <c r="B10" s="27" t="s">
        <v>215</v>
      </c>
      <c r="C10" s="27" t="s">
        <v>198</v>
      </c>
      <c r="D10" s="27" t="s">
        <v>1165</v>
      </c>
      <c r="E10" s="27" t="s">
        <v>78</v>
      </c>
      <c r="F10" s="27" t="s">
        <v>200</v>
      </c>
      <c r="G10" s="27" t="s">
        <v>200</v>
      </c>
      <c r="H10" s="27">
        <v>6.3185758349999999</v>
      </c>
      <c r="I10" s="27" t="s">
        <v>200</v>
      </c>
      <c r="J10" s="27">
        <v>6.516377909</v>
      </c>
      <c r="K10" s="27" t="s">
        <v>200</v>
      </c>
      <c r="L10" s="27">
        <v>4.3573351049999998</v>
      </c>
      <c r="M10" s="27" t="s">
        <v>200</v>
      </c>
      <c r="N10" s="27">
        <v>4.7942587689999998</v>
      </c>
      <c r="O10" s="27" t="s">
        <v>200</v>
      </c>
      <c r="P10" s="27">
        <v>5.2816026819999999</v>
      </c>
      <c r="Q10" s="27" t="s">
        <v>200</v>
      </c>
      <c r="R10" s="27">
        <v>5.9608068469999997</v>
      </c>
      <c r="S10" s="27" t="s">
        <v>200</v>
      </c>
      <c r="T10" s="27">
        <v>6.6823502340000003</v>
      </c>
      <c r="U10" s="27" t="s">
        <v>200</v>
      </c>
      <c r="V10" s="27">
        <v>7.2850423920000003</v>
      </c>
      <c r="W10" s="27" t="s">
        <v>200</v>
      </c>
      <c r="X10" s="27">
        <v>7.8429105110000004</v>
      </c>
      <c r="Y10" s="27" t="s">
        <v>200</v>
      </c>
      <c r="Z10" s="27">
        <v>8.1880824810000004</v>
      </c>
    </row>
    <row r="11" spans="1:26">
      <c r="A11" s="27" t="s">
        <v>218</v>
      </c>
      <c r="B11" s="27" t="s">
        <v>219</v>
      </c>
      <c r="C11" s="27" t="s">
        <v>198</v>
      </c>
      <c r="D11" s="27" t="s">
        <v>1165</v>
      </c>
      <c r="E11" s="27" t="s">
        <v>78</v>
      </c>
      <c r="F11" s="27" t="s">
        <v>200</v>
      </c>
      <c r="G11" s="27">
        <v>6.23</v>
      </c>
      <c r="H11" s="27">
        <v>6.6060999999999996</v>
      </c>
      <c r="I11" s="27">
        <v>7.0209000000000001</v>
      </c>
      <c r="J11" s="27">
        <v>7.4358000000000004</v>
      </c>
      <c r="K11" s="27">
        <v>2.5164</v>
      </c>
      <c r="L11" s="27">
        <v>2.2103999999999999</v>
      </c>
      <c r="M11" s="27">
        <v>2.1038999999999999</v>
      </c>
      <c r="N11" s="27">
        <v>1.9973000000000001</v>
      </c>
      <c r="O11" s="27">
        <v>1.8446</v>
      </c>
      <c r="P11" s="27">
        <v>1.6919</v>
      </c>
      <c r="Q11" s="27">
        <v>1.6359999999999999</v>
      </c>
      <c r="R11" s="27">
        <v>1.5802</v>
      </c>
      <c r="S11" s="27" t="s">
        <v>200</v>
      </c>
      <c r="T11" s="27">
        <v>1.5381</v>
      </c>
      <c r="U11" s="27" t="s">
        <v>200</v>
      </c>
      <c r="V11" s="27">
        <v>1.4132</v>
      </c>
      <c r="W11" s="27" t="s">
        <v>200</v>
      </c>
      <c r="X11" s="27">
        <v>1.2579</v>
      </c>
      <c r="Y11" s="27" t="s">
        <v>200</v>
      </c>
      <c r="Z11" s="27">
        <v>1.0623</v>
      </c>
    </row>
    <row r="12" spans="1:26">
      <c r="A12" s="27" t="s">
        <v>222</v>
      </c>
      <c r="B12" s="27" t="s">
        <v>223</v>
      </c>
      <c r="C12" s="27" t="s">
        <v>198</v>
      </c>
      <c r="D12" s="27" t="s">
        <v>1165</v>
      </c>
      <c r="E12" s="27" t="s">
        <v>78</v>
      </c>
      <c r="F12" s="27" t="s">
        <v>200</v>
      </c>
      <c r="G12" s="27">
        <v>6.2130999999999998</v>
      </c>
      <c r="H12" s="27">
        <v>6.5861000000000001</v>
      </c>
      <c r="I12" s="27">
        <v>6.0472000000000001</v>
      </c>
      <c r="J12" s="27">
        <v>5.5083000000000002</v>
      </c>
      <c r="K12" s="27">
        <v>2.5024999999999999</v>
      </c>
      <c r="L12" s="27">
        <v>2.1962999999999999</v>
      </c>
      <c r="M12" s="27">
        <v>2.0865999999999998</v>
      </c>
      <c r="N12" s="27">
        <v>1.9769000000000001</v>
      </c>
      <c r="O12" s="27">
        <v>1.8208</v>
      </c>
      <c r="P12" s="27">
        <v>1.6646000000000001</v>
      </c>
      <c r="Q12" s="27">
        <v>1.6034999999999999</v>
      </c>
      <c r="R12" s="27">
        <v>1.5424</v>
      </c>
      <c r="S12" s="27" t="s">
        <v>200</v>
      </c>
      <c r="T12" s="27">
        <v>1.4859</v>
      </c>
      <c r="U12" s="27" t="s">
        <v>200</v>
      </c>
      <c r="V12" s="27">
        <v>1.3451</v>
      </c>
      <c r="W12" s="27" t="s">
        <v>200</v>
      </c>
      <c r="X12" s="27">
        <v>1.1746000000000001</v>
      </c>
      <c r="Y12" s="27" t="s">
        <v>200</v>
      </c>
      <c r="Z12" s="27">
        <v>0.99319999999999997</v>
      </c>
    </row>
    <row r="13" spans="1:26">
      <c r="A13" s="27" t="s">
        <v>196</v>
      </c>
      <c r="B13" s="27" t="s">
        <v>224</v>
      </c>
      <c r="C13" s="27" t="s">
        <v>198</v>
      </c>
      <c r="D13" s="27" t="s">
        <v>1165</v>
      </c>
      <c r="E13" s="27" t="s">
        <v>78</v>
      </c>
      <c r="F13" s="27" t="s">
        <v>200</v>
      </c>
      <c r="G13" s="27">
        <v>6.2130999999999998</v>
      </c>
      <c r="H13" s="27">
        <v>6.5861000000000001</v>
      </c>
      <c r="I13" s="27">
        <v>6.0472000000000001</v>
      </c>
      <c r="J13" s="27">
        <v>5.5083000000000002</v>
      </c>
      <c r="K13" s="27">
        <v>2.5024999999999999</v>
      </c>
      <c r="L13" s="27">
        <v>2.1962999999999999</v>
      </c>
      <c r="M13" s="27">
        <v>2.0865999999999998</v>
      </c>
      <c r="N13" s="27">
        <v>1.9769000000000001</v>
      </c>
      <c r="O13" s="27">
        <v>1.8208</v>
      </c>
      <c r="P13" s="27">
        <v>1.6646000000000001</v>
      </c>
      <c r="Q13" s="27">
        <v>1.6034999999999999</v>
      </c>
      <c r="R13" s="27">
        <v>1.5424</v>
      </c>
      <c r="S13" s="27" t="s">
        <v>200</v>
      </c>
      <c r="T13" s="27">
        <v>1.4859</v>
      </c>
      <c r="U13" s="27" t="s">
        <v>200</v>
      </c>
      <c r="V13" s="27">
        <v>1.3451</v>
      </c>
      <c r="W13" s="27" t="s">
        <v>200</v>
      </c>
      <c r="X13" s="27">
        <v>1.1746000000000001</v>
      </c>
      <c r="Y13" s="27" t="s">
        <v>200</v>
      </c>
      <c r="Z13" s="27">
        <v>0.99319999999999997</v>
      </c>
    </row>
    <row r="14" spans="1:26">
      <c r="A14" s="27" t="s">
        <v>207</v>
      </c>
      <c r="B14" s="27" t="s">
        <v>225</v>
      </c>
      <c r="C14" s="27" t="s">
        <v>198</v>
      </c>
      <c r="D14" s="27" t="s">
        <v>1165</v>
      </c>
      <c r="E14" s="27" t="s">
        <v>78</v>
      </c>
      <c r="F14" s="27">
        <v>5.3232708460200229</v>
      </c>
      <c r="G14" s="27">
        <v>5.9622831950036934</v>
      </c>
      <c r="H14" s="27">
        <v>7.5824262366950279</v>
      </c>
      <c r="I14" s="27">
        <v>8.4461867936383541</v>
      </c>
      <c r="J14" s="27">
        <v>8.677050885764297</v>
      </c>
      <c r="K14" s="27">
        <v>3.8707619320261579</v>
      </c>
      <c r="L14" s="27">
        <v>4.2147786144594539</v>
      </c>
      <c r="M14" s="27">
        <v>4.4885045176695444</v>
      </c>
      <c r="N14" s="27">
        <v>4.6937852931484487</v>
      </c>
      <c r="O14" s="27">
        <v>4.6305783344062688</v>
      </c>
      <c r="P14" s="27">
        <v>4.3687807536690419</v>
      </c>
      <c r="Q14" s="27">
        <v>4.0163996188615547</v>
      </c>
      <c r="R14" s="27">
        <v>3.561983176009631</v>
      </c>
      <c r="S14" s="27" t="s">
        <v>200</v>
      </c>
      <c r="T14" s="27">
        <v>2.3487381477042981</v>
      </c>
      <c r="U14" s="27" t="s">
        <v>200</v>
      </c>
      <c r="V14" s="27">
        <v>1.809220342308121</v>
      </c>
      <c r="W14" s="27" t="s">
        <v>200</v>
      </c>
      <c r="X14" s="27">
        <v>1.3344437176064641</v>
      </c>
      <c r="Y14" s="27" t="s">
        <v>200</v>
      </c>
      <c r="Z14" s="27">
        <v>1.005392513504396</v>
      </c>
    </row>
    <row r="15" spans="1:26">
      <c r="A15" s="27" t="s">
        <v>226</v>
      </c>
      <c r="B15" s="27" t="s">
        <v>227</v>
      </c>
      <c r="C15" s="27" t="s">
        <v>198</v>
      </c>
      <c r="D15" s="27" t="s">
        <v>1165</v>
      </c>
      <c r="E15" s="27" t="s">
        <v>78</v>
      </c>
      <c r="F15" s="27" t="s">
        <v>200</v>
      </c>
      <c r="G15" s="27">
        <v>6.23</v>
      </c>
      <c r="H15" s="27">
        <v>6.6060999999999996</v>
      </c>
      <c r="I15" s="27">
        <v>6.0686999999999998</v>
      </c>
      <c r="J15" s="27">
        <v>5.5313999999999997</v>
      </c>
      <c r="K15" s="27">
        <v>2.5164</v>
      </c>
      <c r="L15" s="27">
        <v>2.2103999999999999</v>
      </c>
      <c r="M15" s="27">
        <v>2.1038999999999999</v>
      </c>
      <c r="N15" s="27">
        <v>1.9973000000000001</v>
      </c>
      <c r="O15" s="27">
        <v>1.8446</v>
      </c>
      <c r="P15" s="27">
        <v>1.6919</v>
      </c>
      <c r="Q15" s="27">
        <v>1.6359999999999999</v>
      </c>
      <c r="R15" s="27">
        <v>1.5802</v>
      </c>
      <c r="S15" s="27" t="s">
        <v>200</v>
      </c>
      <c r="T15" s="27">
        <v>1.5381</v>
      </c>
      <c r="U15" s="27" t="s">
        <v>200</v>
      </c>
      <c r="V15" s="27">
        <v>1.4132</v>
      </c>
      <c r="W15" s="27" t="s">
        <v>200</v>
      </c>
      <c r="X15" s="27">
        <v>1.2579</v>
      </c>
      <c r="Y15" s="27" t="s">
        <v>200</v>
      </c>
      <c r="Z15" s="27">
        <v>1.0623</v>
      </c>
    </row>
    <row r="16" spans="1:26">
      <c r="A16" s="27" t="s">
        <v>226</v>
      </c>
      <c r="B16" s="27" t="s">
        <v>228</v>
      </c>
      <c r="C16" s="27" t="s">
        <v>198</v>
      </c>
      <c r="D16" s="27" t="s">
        <v>1165</v>
      </c>
      <c r="E16" s="27" t="s">
        <v>78</v>
      </c>
      <c r="F16" s="27" t="s">
        <v>200</v>
      </c>
      <c r="G16" s="27">
        <v>6.23</v>
      </c>
      <c r="H16" s="27">
        <v>6.6060999999999996</v>
      </c>
      <c r="I16" s="27">
        <v>6.0686999999999998</v>
      </c>
      <c r="J16" s="27">
        <v>5.5313999999999997</v>
      </c>
      <c r="K16" s="27">
        <v>2.5164</v>
      </c>
      <c r="L16" s="27">
        <v>2.2103999999999999</v>
      </c>
      <c r="M16" s="27">
        <v>2.1038999999999999</v>
      </c>
      <c r="N16" s="27">
        <v>1.9973000000000001</v>
      </c>
      <c r="O16" s="27">
        <v>1.8446</v>
      </c>
      <c r="P16" s="27">
        <v>1.6919</v>
      </c>
      <c r="Q16" s="27">
        <v>1.6359999999999999</v>
      </c>
      <c r="R16" s="27">
        <v>1.5802</v>
      </c>
      <c r="S16" s="27" t="s">
        <v>200</v>
      </c>
      <c r="T16" s="27">
        <v>1.5381</v>
      </c>
      <c r="U16" s="27" t="s">
        <v>200</v>
      </c>
      <c r="V16" s="27">
        <v>1.4132</v>
      </c>
      <c r="W16" s="27" t="s">
        <v>200</v>
      </c>
      <c r="X16" s="27">
        <v>1.2579</v>
      </c>
      <c r="Y16" s="27" t="s">
        <v>200</v>
      </c>
      <c r="Z16" s="27">
        <v>1.0623</v>
      </c>
    </row>
    <row r="17" spans="1:26">
      <c r="A17" s="27" t="s">
        <v>207</v>
      </c>
      <c r="B17" s="27" t="s">
        <v>229</v>
      </c>
      <c r="C17" s="27" t="s">
        <v>198</v>
      </c>
      <c r="D17" s="27" t="s">
        <v>1165</v>
      </c>
      <c r="E17" s="27" t="s">
        <v>78</v>
      </c>
      <c r="F17" s="27">
        <v>5.3232708460200229</v>
      </c>
      <c r="G17" s="27">
        <v>5.9622831950036934</v>
      </c>
      <c r="H17" s="27">
        <v>7.5824262366950279</v>
      </c>
      <c r="I17" s="27">
        <v>8.4461867936383541</v>
      </c>
      <c r="J17" s="27">
        <v>8.765550474883911</v>
      </c>
      <c r="K17" s="27">
        <v>3.8667211795185392</v>
      </c>
      <c r="L17" s="27">
        <v>4.1337020856734163</v>
      </c>
      <c r="M17" s="27">
        <v>4.3778050945676084</v>
      </c>
      <c r="N17" s="27">
        <v>4.5876669596689696</v>
      </c>
      <c r="O17" s="27">
        <v>4.5791105228106703</v>
      </c>
      <c r="P17" s="27">
        <v>4.334848659760838</v>
      </c>
      <c r="Q17" s="27">
        <v>3.9852247833361938</v>
      </c>
      <c r="R17" s="27">
        <v>3.501443025038582</v>
      </c>
      <c r="S17" s="27" t="s">
        <v>200</v>
      </c>
      <c r="T17" s="27">
        <v>2.3337544887458219</v>
      </c>
      <c r="U17" s="27" t="s">
        <v>200</v>
      </c>
      <c r="V17" s="27">
        <v>1.7857189285355921</v>
      </c>
      <c r="W17" s="27" t="s">
        <v>200</v>
      </c>
      <c r="X17" s="27">
        <v>1.309340776545783</v>
      </c>
      <c r="Y17" s="27" t="s">
        <v>200</v>
      </c>
      <c r="Z17" s="27">
        <v>0.9857657647967788</v>
      </c>
    </row>
    <row r="18" spans="1:26">
      <c r="A18" s="27" t="s">
        <v>207</v>
      </c>
      <c r="B18" s="27" t="s">
        <v>230</v>
      </c>
      <c r="C18" s="27" t="s">
        <v>198</v>
      </c>
      <c r="D18" s="27" t="s">
        <v>1165</v>
      </c>
      <c r="E18" s="27" t="s">
        <v>78</v>
      </c>
      <c r="F18" s="27">
        <v>5.3232708460200229</v>
      </c>
      <c r="G18" s="27">
        <v>5.9622831950036934</v>
      </c>
      <c r="H18" s="27">
        <v>7.5824262366950279</v>
      </c>
      <c r="I18" s="27">
        <v>8.4461867936383541</v>
      </c>
      <c r="J18" s="27">
        <v>8.7762703943198144</v>
      </c>
      <c r="K18" s="27">
        <v>3.508552209107775</v>
      </c>
      <c r="L18" s="27">
        <v>4.015094958810451</v>
      </c>
      <c r="M18" s="27">
        <v>4.3781684734465518</v>
      </c>
      <c r="N18" s="27">
        <v>4.5088561298602103</v>
      </c>
      <c r="O18" s="27">
        <v>4.2772933799042754</v>
      </c>
      <c r="P18" s="27">
        <v>3.872045690476678</v>
      </c>
      <c r="Q18" s="27">
        <v>3.5175279229682639</v>
      </c>
      <c r="R18" s="27">
        <v>3.1081849837255691</v>
      </c>
      <c r="S18" s="27" t="s">
        <v>200</v>
      </c>
      <c r="T18" s="27">
        <v>2.1840657468389781</v>
      </c>
      <c r="U18" s="27" t="s">
        <v>200</v>
      </c>
      <c r="V18" s="27">
        <v>1.690313923074994</v>
      </c>
      <c r="W18" s="27" t="s">
        <v>200</v>
      </c>
      <c r="X18" s="27">
        <v>1.271578446756451</v>
      </c>
      <c r="Y18" s="27" t="s">
        <v>200</v>
      </c>
      <c r="Z18" s="27">
        <v>0.97935261791064498</v>
      </c>
    </row>
    <row r="19" spans="1:26">
      <c r="A19" s="27" t="s">
        <v>231</v>
      </c>
      <c r="B19" s="27" t="s">
        <v>232</v>
      </c>
      <c r="C19" s="27" t="s">
        <v>198</v>
      </c>
      <c r="D19" s="27" t="s">
        <v>1165</v>
      </c>
      <c r="E19" s="27" t="s">
        <v>78</v>
      </c>
      <c r="F19" s="27" t="s">
        <v>200</v>
      </c>
      <c r="G19" s="27">
        <v>2.5740714933</v>
      </c>
      <c r="H19" s="27">
        <v>3.0635693356</v>
      </c>
      <c r="I19" s="27">
        <v>3.6045651991000001</v>
      </c>
      <c r="J19" s="27">
        <v>3.9640631644200002</v>
      </c>
      <c r="K19" s="27">
        <v>2.7287604336700002</v>
      </c>
      <c r="L19" s="27">
        <v>2.9197390257100002</v>
      </c>
      <c r="M19" s="27">
        <v>3.03116129014</v>
      </c>
      <c r="N19" s="27">
        <v>3.2872153815999998</v>
      </c>
      <c r="O19" s="27">
        <v>3.4425199155200001</v>
      </c>
      <c r="P19" s="27">
        <v>3.6377810690399999</v>
      </c>
      <c r="Q19" s="27">
        <v>3.80179298386</v>
      </c>
      <c r="R19" s="27">
        <v>3.9398985281200001</v>
      </c>
      <c r="S19" s="27">
        <v>4.05817662802</v>
      </c>
      <c r="T19" s="27">
        <v>4.1409517859099996</v>
      </c>
      <c r="U19" s="27">
        <v>4.2189001276500004</v>
      </c>
      <c r="V19" s="27">
        <v>4.2458992701199998</v>
      </c>
      <c r="W19" s="27">
        <v>4.2696333432499998</v>
      </c>
      <c r="X19" s="27">
        <v>4.2683758516900001</v>
      </c>
      <c r="Y19" s="27">
        <v>4.2332126629419999</v>
      </c>
      <c r="Z19" s="27">
        <v>4.2029593614799996</v>
      </c>
    </row>
    <row r="20" spans="1:26">
      <c r="A20" s="27" t="s">
        <v>233</v>
      </c>
      <c r="B20" s="27" t="s">
        <v>224</v>
      </c>
      <c r="C20" s="27" t="s">
        <v>198</v>
      </c>
      <c r="D20" s="27" t="s">
        <v>1165</v>
      </c>
      <c r="E20" s="27" t="s">
        <v>78</v>
      </c>
      <c r="F20" s="27" t="s">
        <v>200</v>
      </c>
      <c r="G20" s="27" t="s">
        <v>200</v>
      </c>
      <c r="H20" s="27">
        <v>7.0439999999999996</v>
      </c>
      <c r="I20" s="27">
        <v>6.8465999999999978</v>
      </c>
      <c r="J20" s="27">
        <v>6.5286999034755997</v>
      </c>
      <c r="K20" s="27">
        <v>4.8607679118753282</v>
      </c>
      <c r="L20" s="27">
        <v>4.9835491387141344</v>
      </c>
      <c r="M20" s="27">
        <v>4.7933017482124241</v>
      </c>
      <c r="N20" s="27">
        <v>4.4210340162295143</v>
      </c>
      <c r="O20" s="27">
        <v>3.98306554270739</v>
      </c>
      <c r="P20" s="27">
        <v>3.6120955063671838</v>
      </c>
      <c r="Q20" s="27">
        <v>3.362384508456024</v>
      </c>
      <c r="R20" s="27">
        <v>3.1854719117313279</v>
      </c>
      <c r="S20" s="27">
        <v>3.0093957635162618</v>
      </c>
      <c r="T20" s="27">
        <v>2.8650631845414258</v>
      </c>
      <c r="U20" s="27">
        <v>2.72063372580303</v>
      </c>
      <c r="V20" s="27">
        <v>2.5643773443916471</v>
      </c>
      <c r="W20" s="27">
        <v>2.391063098398321</v>
      </c>
      <c r="X20" s="27">
        <v>2.2266461168735798</v>
      </c>
      <c r="Y20" s="27">
        <v>2.0112991936953328</v>
      </c>
      <c r="Z20" s="27">
        <v>1.7943166045179499</v>
      </c>
    </row>
    <row r="21" spans="1:26">
      <c r="A21" s="27" t="s">
        <v>220</v>
      </c>
      <c r="B21" s="27" t="s">
        <v>215</v>
      </c>
      <c r="C21" s="27" t="s">
        <v>198</v>
      </c>
      <c r="D21" s="27" t="s">
        <v>1165</v>
      </c>
      <c r="E21" s="27" t="s">
        <v>78</v>
      </c>
      <c r="F21" s="27" t="s">
        <v>200</v>
      </c>
      <c r="G21" s="27" t="s">
        <v>200</v>
      </c>
      <c r="H21" s="27">
        <v>6.7386877962307823</v>
      </c>
      <c r="I21" s="27" t="s">
        <v>200</v>
      </c>
      <c r="J21" s="27">
        <v>2.8634674341511239</v>
      </c>
      <c r="K21" s="27" t="s">
        <v>200</v>
      </c>
      <c r="L21" s="27">
        <v>3.0264730138883031</v>
      </c>
      <c r="M21" s="27" t="s">
        <v>200</v>
      </c>
      <c r="N21" s="27">
        <v>2.0911739730569918</v>
      </c>
      <c r="O21" s="27" t="s">
        <v>200</v>
      </c>
      <c r="P21" s="27">
        <v>0.78366406227926888</v>
      </c>
      <c r="Q21" s="27" t="s">
        <v>200</v>
      </c>
      <c r="R21" s="27">
        <v>0.36418725065205859</v>
      </c>
      <c r="S21" s="27" t="s">
        <v>200</v>
      </c>
      <c r="T21" s="27">
        <v>0.1671406718813358</v>
      </c>
      <c r="U21" s="27" t="s">
        <v>200</v>
      </c>
      <c r="V21" s="27">
        <v>0.1195513468590166</v>
      </c>
      <c r="W21" s="27" t="s">
        <v>200</v>
      </c>
      <c r="X21" s="27">
        <v>7.1721787240747403E-2</v>
      </c>
      <c r="Y21" s="27" t="s">
        <v>200</v>
      </c>
      <c r="Z21" s="27">
        <v>1.8949712242065202E-2</v>
      </c>
    </row>
    <row r="22" spans="1:26">
      <c r="A22" s="27" t="s">
        <v>226</v>
      </c>
      <c r="B22" s="27" t="s">
        <v>234</v>
      </c>
      <c r="C22" s="27" t="s">
        <v>198</v>
      </c>
      <c r="D22" s="27" t="s">
        <v>1165</v>
      </c>
      <c r="E22" s="27" t="s">
        <v>78</v>
      </c>
      <c r="F22" s="27" t="s">
        <v>200</v>
      </c>
      <c r="G22" s="27">
        <v>6.23</v>
      </c>
      <c r="H22" s="27">
        <v>6.6060999999999996</v>
      </c>
      <c r="I22" s="27">
        <v>6.0686999999999998</v>
      </c>
      <c r="J22" s="27">
        <v>5.5313999999999997</v>
      </c>
      <c r="K22" s="27">
        <v>2.5164</v>
      </c>
      <c r="L22" s="27">
        <v>2.2103999999999999</v>
      </c>
      <c r="M22" s="27">
        <v>2.1038999999999999</v>
      </c>
      <c r="N22" s="27">
        <v>1.9973000000000001</v>
      </c>
      <c r="O22" s="27">
        <v>1.8446</v>
      </c>
      <c r="P22" s="27">
        <v>1.6919</v>
      </c>
      <c r="Q22" s="27">
        <v>1.6359999999999999</v>
      </c>
      <c r="R22" s="27">
        <v>1.5802</v>
      </c>
      <c r="S22" s="27" t="s">
        <v>200</v>
      </c>
      <c r="T22" s="27">
        <v>1.5381</v>
      </c>
      <c r="U22" s="27" t="s">
        <v>200</v>
      </c>
      <c r="V22" s="27">
        <v>1.4132</v>
      </c>
      <c r="W22" s="27" t="s">
        <v>200</v>
      </c>
      <c r="X22" s="27">
        <v>1.2579</v>
      </c>
      <c r="Y22" s="27" t="s">
        <v>200</v>
      </c>
      <c r="Z22" s="27">
        <v>1.0623</v>
      </c>
    </row>
    <row r="23" spans="1:26">
      <c r="A23" s="27" t="s">
        <v>196</v>
      </c>
      <c r="B23" s="27" t="s">
        <v>236</v>
      </c>
      <c r="C23" s="27" t="s">
        <v>198</v>
      </c>
      <c r="D23" s="27" t="s">
        <v>1165</v>
      </c>
      <c r="E23" s="27" t="s">
        <v>78</v>
      </c>
      <c r="F23" s="27" t="s">
        <v>200</v>
      </c>
      <c r="G23" s="27" t="s">
        <v>200</v>
      </c>
      <c r="H23" s="27">
        <v>6.5861000000000001</v>
      </c>
      <c r="I23" s="27">
        <v>6.0472000000000001</v>
      </c>
      <c r="J23" s="27">
        <v>5.5083000000000002</v>
      </c>
      <c r="K23" s="27">
        <v>2.5024999999999999</v>
      </c>
      <c r="L23" s="27">
        <v>2.1962999999999999</v>
      </c>
      <c r="M23" s="27">
        <v>2.0865999999999998</v>
      </c>
      <c r="N23" s="27">
        <v>1.9769000000000001</v>
      </c>
      <c r="O23" s="27">
        <v>1.8208</v>
      </c>
      <c r="P23" s="27">
        <v>1.6646000000000001</v>
      </c>
      <c r="Q23" s="27">
        <v>1.6034999999999999</v>
      </c>
      <c r="R23" s="27">
        <v>1.5424</v>
      </c>
      <c r="S23" s="27" t="s">
        <v>200</v>
      </c>
      <c r="T23" s="27">
        <v>1.4859</v>
      </c>
      <c r="U23" s="27" t="s">
        <v>200</v>
      </c>
      <c r="V23" s="27">
        <v>1.3451</v>
      </c>
      <c r="W23" s="27" t="s">
        <v>200</v>
      </c>
      <c r="X23" s="27">
        <v>1.1746000000000001</v>
      </c>
      <c r="Y23" s="27" t="s">
        <v>200</v>
      </c>
      <c r="Z23" s="27">
        <v>0.99319999999999997</v>
      </c>
    </row>
    <row r="24" spans="1:26">
      <c r="A24" s="27" t="s">
        <v>231</v>
      </c>
      <c r="B24" s="27" t="s">
        <v>237</v>
      </c>
      <c r="C24" s="27" t="s">
        <v>198</v>
      </c>
      <c r="D24" s="27" t="s">
        <v>1165</v>
      </c>
      <c r="E24" s="27" t="s">
        <v>78</v>
      </c>
      <c r="F24" s="27" t="s">
        <v>200</v>
      </c>
      <c r="G24" s="27">
        <v>2.5740714933</v>
      </c>
      <c r="H24" s="27">
        <v>3.0635693356</v>
      </c>
      <c r="I24" s="27">
        <v>3.6045651991000001</v>
      </c>
      <c r="J24" s="27">
        <v>3.9640631644200002</v>
      </c>
      <c r="K24" s="27">
        <v>2.9172815296099999</v>
      </c>
      <c r="L24" s="27">
        <v>3.0628418324500002</v>
      </c>
      <c r="M24" s="27">
        <v>3.19413329059</v>
      </c>
      <c r="N24" s="27">
        <v>3.35863232085</v>
      </c>
      <c r="O24" s="27">
        <v>3.4480939735399998</v>
      </c>
      <c r="P24" s="27">
        <v>3.64309560369</v>
      </c>
      <c r="Q24" s="27">
        <v>3.80938970971</v>
      </c>
      <c r="R24" s="27">
        <v>3.9478853819199999</v>
      </c>
      <c r="S24" s="27">
        <v>4.0593622177800004</v>
      </c>
      <c r="T24" s="27">
        <v>4.14609253327</v>
      </c>
      <c r="U24" s="27">
        <v>4.2274113505299997</v>
      </c>
      <c r="V24" s="27">
        <v>4.24823682291</v>
      </c>
      <c r="W24" s="27">
        <v>4.2657996241799996</v>
      </c>
      <c r="X24" s="27">
        <v>4.2577400266199996</v>
      </c>
      <c r="Y24" s="27">
        <v>4.2215698984700003</v>
      </c>
      <c r="Z24" s="27">
        <v>4.1829135377900002</v>
      </c>
    </row>
    <row r="25" spans="1:26">
      <c r="A25" s="27" t="s">
        <v>233</v>
      </c>
      <c r="B25" s="27" t="s">
        <v>238</v>
      </c>
      <c r="C25" s="27" t="s">
        <v>198</v>
      </c>
      <c r="D25" s="27" t="s">
        <v>1165</v>
      </c>
      <c r="E25" s="27" t="s">
        <v>78</v>
      </c>
      <c r="F25" s="27" t="s">
        <v>200</v>
      </c>
      <c r="G25" s="27" t="s">
        <v>200</v>
      </c>
      <c r="H25" s="27">
        <v>7.0439999999999996</v>
      </c>
      <c r="I25" s="27">
        <v>6.8465999999999978</v>
      </c>
      <c r="J25" s="27">
        <v>6.5286999034755997</v>
      </c>
      <c r="K25" s="27">
        <v>4.8709913569277168</v>
      </c>
      <c r="L25" s="27">
        <v>4.9836151901948451</v>
      </c>
      <c r="M25" s="27">
        <v>4.8020232201369941</v>
      </c>
      <c r="N25" s="27">
        <v>4.4210340162295143</v>
      </c>
      <c r="O25" s="27">
        <v>3.98306554270739</v>
      </c>
      <c r="P25" s="27">
        <v>3.6120955063671838</v>
      </c>
      <c r="Q25" s="27">
        <v>3.3643441643098071</v>
      </c>
      <c r="R25" s="27">
        <v>3.1854719117313279</v>
      </c>
      <c r="S25" s="27">
        <v>3.0105806583069059</v>
      </c>
      <c r="T25" s="27">
        <v>2.8650631845414249</v>
      </c>
      <c r="U25" s="27">
        <v>2.72063372580303</v>
      </c>
      <c r="V25" s="27">
        <v>2.5643773443916471</v>
      </c>
      <c r="W25" s="27">
        <v>2.3932018929959309</v>
      </c>
      <c r="X25" s="27">
        <v>2.2266461168735798</v>
      </c>
      <c r="Y25" s="27">
        <v>2.0112991936953328</v>
      </c>
      <c r="Z25" s="27">
        <v>1.7943166045179499</v>
      </c>
    </row>
    <row r="26" spans="1:26">
      <c r="A26" s="27" t="s">
        <v>239</v>
      </c>
      <c r="B26" s="27" t="s">
        <v>240</v>
      </c>
      <c r="C26" s="27" t="s">
        <v>198</v>
      </c>
      <c r="D26" s="27" t="s">
        <v>1165</v>
      </c>
      <c r="E26" s="27" t="s">
        <v>78</v>
      </c>
      <c r="F26" s="27" t="s">
        <v>200</v>
      </c>
      <c r="G26" s="27">
        <v>6.23</v>
      </c>
      <c r="H26" s="27">
        <v>6.6059999999999999</v>
      </c>
      <c r="I26" s="27" t="s">
        <v>200</v>
      </c>
      <c r="J26" s="27">
        <v>4.274</v>
      </c>
      <c r="K26" s="27" t="s">
        <v>200</v>
      </c>
      <c r="L26" s="27">
        <v>2.21</v>
      </c>
      <c r="M26" s="27" t="s">
        <v>200</v>
      </c>
      <c r="N26" s="27">
        <v>1.9970000000000001</v>
      </c>
      <c r="O26" s="27" t="s">
        <v>200</v>
      </c>
      <c r="P26" s="27">
        <v>1.6919999999999999</v>
      </c>
      <c r="Q26" s="27" t="s">
        <v>200</v>
      </c>
      <c r="R26" s="27">
        <v>1.58</v>
      </c>
      <c r="S26" s="27" t="s">
        <v>200</v>
      </c>
      <c r="T26" s="27">
        <v>1.538</v>
      </c>
      <c r="U26" s="27" t="s">
        <v>200</v>
      </c>
      <c r="V26" s="27">
        <v>1.413</v>
      </c>
      <c r="W26" s="27" t="s">
        <v>200</v>
      </c>
      <c r="X26" s="27">
        <v>1.258</v>
      </c>
      <c r="Y26" s="27" t="s">
        <v>200</v>
      </c>
      <c r="Z26" s="27">
        <v>1.0620000000000001</v>
      </c>
    </row>
    <row r="27" spans="1:26">
      <c r="A27" s="27" t="s">
        <v>207</v>
      </c>
      <c r="B27" s="27" t="s">
        <v>241</v>
      </c>
      <c r="C27" s="27" t="s">
        <v>198</v>
      </c>
      <c r="D27" s="27" t="s">
        <v>1165</v>
      </c>
      <c r="E27" s="27" t="s">
        <v>78</v>
      </c>
      <c r="F27" s="27">
        <v>5.3232708460200229</v>
      </c>
      <c r="G27" s="27">
        <v>5.9622831950036934</v>
      </c>
      <c r="H27" s="27">
        <v>7.5824262366950279</v>
      </c>
      <c r="I27" s="27">
        <v>8.4461867936383541</v>
      </c>
      <c r="J27" s="27">
        <v>8.7658219947116631</v>
      </c>
      <c r="K27" s="27">
        <v>3.812909911405824</v>
      </c>
      <c r="L27" s="27">
        <v>3.9872887159445241</v>
      </c>
      <c r="M27" s="27">
        <v>4.291906783115496</v>
      </c>
      <c r="N27" s="27">
        <v>4.4576908638155359</v>
      </c>
      <c r="O27" s="27">
        <v>4.4733146933547312</v>
      </c>
      <c r="P27" s="27">
        <v>4.2310076266882879</v>
      </c>
      <c r="Q27" s="27">
        <v>3.9150574273406802</v>
      </c>
      <c r="R27" s="27">
        <v>3.418513945419996</v>
      </c>
      <c r="S27" s="27" t="s">
        <v>200</v>
      </c>
      <c r="T27" s="27">
        <v>2.3065964482376118</v>
      </c>
      <c r="U27" s="27" t="s">
        <v>200</v>
      </c>
      <c r="V27" s="27">
        <v>1.773191092329748</v>
      </c>
      <c r="W27" s="27" t="s">
        <v>200</v>
      </c>
      <c r="X27" s="27">
        <v>1.307121899536402</v>
      </c>
      <c r="Y27" s="27" t="s">
        <v>200</v>
      </c>
      <c r="Z27" s="27">
        <v>0.98661352994271723</v>
      </c>
    </row>
    <row r="28" spans="1:26">
      <c r="A28" s="27" t="s">
        <v>244</v>
      </c>
      <c r="B28" s="27" t="s">
        <v>202</v>
      </c>
      <c r="C28" s="27" t="s">
        <v>198</v>
      </c>
      <c r="D28" s="27" t="s">
        <v>1165</v>
      </c>
      <c r="E28" s="27" t="s">
        <v>78</v>
      </c>
      <c r="F28" s="27" t="s">
        <v>200</v>
      </c>
      <c r="G28" s="27" t="s">
        <v>200</v>
      </c>
      <c r="H28" s="27" t="s">
        <v>200</v>
      </c>
      <c r="I28" s="27">
        <v>2.3806115518091442</v>
      </c>
      <c r="J28" s="27">
        <v>2.409440734985425</v>
      </c>
      <c r="K28" s="27">
        <v>0.4326788249906699</v>
      </c>
      <c r="L28" s="27">
        <v>0.55185625070913324</v>
      </c>
      <c r="M28" s="27">
        <v>0.60438112313252534</v>
      </c>
      <c r="N28" s="27">
        <v>0.66527656037306759</v>
      </c>
      <c r="O28" s="27">
        <v>0.74778187494077675</v>
      </c>
      <c r="P28" s="27">
        <v>0.83155785842859276</v>
      </c>
      <c r="Q28" s="27">
        <v>0.82073800936714059</v>
      </c>
      <c r="R28" s="27">
        <v>0.80751509261981891</v>
      </c>
      <c r="S28" s="27">
        <v>0.81441456905275256</v>
      </c>
      <c r="T28" s="27">
        <v>0.81988066021450745</v>
      </c>
      <c r="U28" s="27">
        <v>0.81831892361723979</v>
      </c>
      <c r="V28" s="27">
        <v>0.81712309658211735</v>
      </c>
      <c r="W28" s="27">
        <v>0.81010128491012279</v>
      </c>
      <c r="X28" s="27">
        <v>0.8037730427545674</v>
      </c>
      <c r="Y28" s="27">
        <v>0.79797559855037969</v>
      </c>
      <c r="Z28" s="27">
        <v>0.78993265145075964</v>
      </c>
    </row>
    <row r="29" spans="1:26">
      <c r="A29" s="27" t="s">
        <v>247</v>
      </c>
      <c r="B29" s="27" t="s">
        <v>248</v>
      </c>
      <c r="C29" s="27" t="s">
        <v>198</v>
      </c>
      <c r="D29" s="27" t="s">
        <v>1165</v>
      </c>
      <c r="E29" s="27" t="s">
        <v>78</v>
      </c>
      <c r="F29" s="27" t="s">
        <v>200</v>
      </c>
      <c r="G29" s="27" t="s">
        <v>200</v>
      </c>
      <c r="H29" s="27">
        <v>4.8475680356744402</v>
      </c>
      <c r="I29" s="27" t="s">
        <v>200</v>
      </c>
      <c r="J29" s="27">
        <v>2.2188116374113789</v>
      </c>
      <c r="K29" s="27" t="s">
        <v>200</v>
      </c>
      <c r="L29" s="27">
        <v>0.26813104019006301</v>
      </c>
      <c r="M29" s="27" t="s">
        <v>200</v>
      </c>
      <c r="N29" s="27">
        <v>0.23582662152392611</v>
      </c>
      <c r="O29" s="27" t="s">
        <v>200</v>
      </c>
      <c r="P29" s="27">
        <v>0.123896814210571</v>
      </c>
      <c r="Q29" s="27" t="s">
        <v>200</v>
      </c>
      <c r="R29" s="27">
        <v>9.4540558338775005E-2</v>
      </c>
      <c r="S29" s="27" t="s">
        <v>200</v>
      </c>
      <c r="T29" s="27">
        <v>7.4797704079650001E-2</v>
      </c>
      <c r="U29" s="27" t="s">
        <v>200</v>
      </c>
      <c r="V29" s="27">
        <v>5.6737171566268001E-2</v>
      </c>
      <c r="W29" s="27" t="s">
        <v>200</v>
      </c>
      <c r="X29" s="27">
        <v>3.4892456437301003E-2</v>
      </c>
      <c r="Y29" s="27" t="s">
        <v>200</v>
      </c>
      <c r="Z29" s="27">
        <v>8.9939845829579996E-3</v>
      </c>
    </row>
    <row r="30" spans="1:26">
      <c r="A30" s="27" t="s">
        <v>203</v>
      </c>
      <c r="B30" s="27" t="s">
        <v>249</v>
      </c>
      <c r="C30" s="27" t="s">
        <v>198</v>
      </c>
      <c r="D30" s="27" t="s">
        <v>1165</v>
      </c>
      <c r="E30" s="27" t="s">
        <v>78</v>
      </c>
      <c r="F30" s="27" t="s">
        <v>200</v>
      </c>
      <c r="G30" s="27">
        <v>6.2130999999999998</v>
      </c>
      <c r="H30" s="27">
        <v>6.5861000000000001</v>
      </c>
      <c r="I30" s="27">
        <v>6.0472000000000001</v>
      </c>
      <c r="J30" s="27">
        <v>5.5083000000000002</v>
      </c>
      <c r="K30" s="27">
        <v>2.5024999999999999</v>
      </c>
      <c r="L30" s="27">
        <v>2.1962999999999999</v>
      </c>
      <c r="M30" s="27">
        <v>2.0865999999999998</v>
      </c>
      <c r="N30" s="27">
        <v>1.9769000000000001</v>
      </c>
      <c r="O30" s="27">
        <v>1.8208</v>
      </c>
      <c r="P30" s="27">
        <v>1.6646000000000001</v>
      </c>
      <c r="Q30" s="27">
        <v>1.6034999999999999</v>
      </c>
      <c r="R30" s="27">
        <v>1.5424</v>
      </c>
      <c r="S30" s="27" t="s">
        <v>200</v>
      </c>
      <c r="T30" s="27">
        <v>1.4859</v>
      </c>
      <c r="U30" s="27" t="s">
        <v>200</v>
      </c>
      <c r="V30" s="27">
        <v>1.3451</v>
      </c>
      <c r="W30" s="27" t="s">
        <v>200</v>
      </c>
      <c r="X30" s="27">
        <v>1.1746000000000001</v>
      </c>
      <c r="Y30" s="27" t="s">
        <v>200</v>
      </c>
      <c r="Z30" s="27">
        <v>0.99319999999999997</v>
      </c>
    </row>
    <row r="31" spans="1:26">
      <c r="A31" s="27" t="s">
        <v>196</v>
      </c>
      <c r="B31" s="27" t="s">
        <v>250</v>
      </c>
      <c r="C31" s="27" t="s">
        <v>198</v>
      </c>
      <c r="D31" s="27" t="s">
        <v>1165</v>
      </c>
      <c r="E31" s="27" t="s">
        <v>78</v>
      </c>
      <c r="F31" s="27" t="s">
        <v>200</v>
      </c>
      <c r="G31" s="27">
        <v>6.2130999999999998</v>
      </c>
      <c r="H31" s="27">
        <v>6.5861000000000001</v>
      </c>
      <c r="I31" s="27">
        <v>6.0472000000000001</v>
      </c>
      <c r="J31" s="27">
        <v>5.5083000000000002</v>
      </c>
      <c r="K31" s="27">
        <v>2.5024999999999999</v>
      </c>
      <c r="L31" s="27">
        <v>2.1962999999999999</v>
      </c>
      <c r="M31" s="27">
        <v>2.0865999999999998</v>
      </c>
      <c r="N31" s="27">
        <v>1.9769000000000001</v>
      </c>
      <c r="O31" s="27">
        <v>1.8208</v>
      </c>
      <c r="P31" s="27">
        <v>1.6646000000000001</v>
      </c>
      <c r="Q31" s="27">
        <v>1.6034999999999999</v>
      </c>
      <c r="R31" s="27">
        <v>1.5424</v>
      </c>
      <c r="S31" s="27" t="s">
        <v>200</v>
      </c>
      <c r="T31" s="27">
        <v>1.4859</v>
      </c>
      <c r="U31" s="27" t="s">
        <v>200</v>
      </c>
      <c r="V31" s="27">
        <v>1.3451</v>
      </c>
      <c r="W31" s="27" t="s">
        <v>200</v>
      </c>
      <c r="X31" s="27">
        <v>1.1746000000000001</v>
      </c>
      <c r="Y31" s="27" t="s">
        <v>200</v>
      </c>
      <c r="Z31" s="27">
        <v>0.99319999999999997</v>
      </c>
    </row>
    <row r="32" spans="1:26">
      <c r="A32" s="27" t="s">
        <v>203</v>
      </c>
      <c r="B32" s="27" t="s">
        <v>251</v>
      </c>
      <c r="C32" s="27" t="s">
        <v>198</v>
      </c>
      <c r="D32" s="27" t="s">
        <v>1165</v>
      </c>
      <c r="E32" s="27" t="s">
        <v>78</v>
      </c>
      <c r="F32" s="27" t="s">
        <v>200</v>
      </c>
      <c r="G32" s="27">
        <v>6.2130999999999998</v>
      </c>
      <c r="H32" s="27">
        <v>6.5861000000000001</v>
      </c>
      <c r="I32" s="27">
        <v>6.0472000000000001</v>
      </c>
      <c r="J32" s="27">
        <v>5.5083000000000002</v>
      </c>
      <c r="K32" s="27">
        <v>2.5024999999999999</v>
      </c>
      <c r="L32" s="27">
        <v>2.1962999999999999</v>
      </c>
      <c r="M32" s="27">
        <v>2.0865999999999998</v>
      </c>
      <c r="N32" s="27">
        <v>1.9769000000000001</v>
      </c>
      <c r="O32" s="27">
        <v>1.8208</v>
      </c>
      <c r="P32" s="27">
        <v>1.6646000000000001</v>
      </c>
      <c r="Q32" s="27">
        <v>1.6034999999999999</v>
      </c>
      <c r="R32" s="27">
        <v>1.5424</v>
      </c>
      <c r="S32" s="27" t="s">
        <v>200</v>
      </c>
      <c r="T32" s="27">
        <v>1.4859</v>
      </c>
      <c r="U32" s="27" t="s">
        <v>200</v>
      </c>
      <c r="V32" s="27">
        <v>1.3451</v>
      </c>
      <c r="W32" s="27" t="s">
        <v>200</v>
      </c>
      <c r="X32" s="27">
        <v>1.1746000000000001</v>
      </c>
      <c r="Y32" s="27" t="s">
        <v>200</v>
      </c>
      <c r="Z32" s="27">
        <v>0.99319999999999997</v>
      </c>
    </row>
    <row r="33" spans="1:26">
      <c r="A33" s="27" t="s">
        <v>205</v>
      </c>
      <c r="B33" s="27" t="s">
        <v>252</v>
      </c>
      <c r="C33" s="27" t="s">
        <v>198</v>
      </c>
      <c r="D33" s="27" t="s">
        <v>1165</v>
      </c>
      <c r="E33" s="27" t="s">
        <v>78</v>
      </c>
      <c r="F33" s="27" t="s">
        <v>200</v>
      </c>
      <c r="G33" s="27">
        <v>2.1541700000000001</v>
      </c>
      <c r="H33" s="27">
        <v>2.1362899999999998</v>
      </c>
      <c r="I33" s="27">
        <v>2.3376399999999999</v>
      </c>
      <c r="J33" s="27">
        <v>2.3475799999999998</v>
      </c>
      <c r="K33" s="27">
        <v>1.9915599999999991</v>
      </c>
      <c r="L33" s="27">
        <v>1.3273200000000001</v>
      </c>
      <c r="M33" s="27">
        <v>0.88217199999999996</v>
      </c>
      <c r="N33" s="27">
        <v>0.58509899999999904</v>
      </c>
      <c r="O33" s="27">
        <v>0.38743099999999903</v>
      </c>
      <c r="P33" s="27">
        <v>0.25619999999999998</v>
      </c>
      <c r="Q33" s="27">
        <v>0.16923099999999999</v>
      </c>
      <c r="R33" s="27">
        <v>0.111679</v>
      </c>
      <c r="S33" s="27">
        <v>7.8879699999999997E-2</v>
      </c>
      <c r="T33" s="27">
        <v>6.7624399999999002E-2</v>
      </c>
      <c r="U33" s="27">
        <v>6.1726699999999003E-2</v>
      </c>
      <c r="V33" s="27">
        <v>5.9657399999999999E-2</v>
      </c>
      <c r="W33" s="27">
        <v>5.7989400000000003E-2</v>
      </c>
      <c r="X33" s="27">
        <v>5.6958500000000002E-2</v>
      </c>
      <c r="Y33" s="27">
        <v>5.5000500000000001E-2</v>
      </c>
      <c r="Z33" s="27">
        <v>5.31504E-2</v>
      </c>
    </row>
    <row r="34" spans="1:26">
      <c r="A34" s="27" t="s">
        <v>205</v>
      </c>
      <c r="B34" s="27" t="s">
        <v>253</v>
      </c>
      <c r="C34" s="27" t="s">
        <v>198</v>
      </c>
      <c r="D34" s="27" t="s">
        <v>1165</v>
      </c>
      <c r="E34" s="27" t="s">
        <v>78</v>
      </c>
      <c r="F34" s="27" t="s">
        <v>200</v>
      </c>
      <c r="G34" s="27">
        <v>2.1541700000000001</v>
      </c>
      <c r="H34" s="27">
        <v>2.1362899999999998</v>
      </c>
      <c r="I34" s="27">
        <v>2.3376399999999999</v>
      </c>
      <c r="J34" s="27">
        <v>2.3475799999999998</v>
      </c>
      <c r="K34" s="27">
        <v>1.8868400000000001</v>
      </c>
      <c r="L34" s="27">
        <v>1.0993999999999999</v>
      </c>
      <c r="M34" s="27">
        <v>0.63936000000000004</v>
      </c>
      <c r="N34" s="27">
        <v>0.3713300000000001</v>
      </c>
      <c r="O34" s="27">
        <v>0.21545000000000011</v>
      </c>
      <c r="P34" s="27">
        <v>0.124912</v>
      </c>
      <c r="Q34" s="27">
        <v>7.9730399999998994E-2</v>
      </c>
      <c r="R34" s="27">
        <v>6.3495899999999994E-2</v>
      </c>
      <c r="S34" s="27">
        <v>5.9219099999999997E-2</v>
      </c>
      <c r="T34" s="27">
        <v>5.8852599999999998E-2</v>
      </c>
      <c r="U34" s="27">
        <v>5.8270000000000002E-2</v>
      </c>
      <c r="V34" s="27">
        <v>5.8071600000000001E-2</v>
      </c>
      <c r="W34" s="27">
        <v>5.7336900000000003E-2</v>
      </c>
      <c r="X34" s="27">
        <v>5.6689499999999997E-2</v>
      </c>
      <c r="Y34" s="27">
        <v>5.4852199999999997E-2</v>
      </c>
      <c r="Z34" s="27">
        <v>5.3083499999999999E-2</v>
      </c>
    </row>
    <row r="35" spans="1:26">
      <c r="A35" s="27" t="s">
        <v>255</v>
      </c>
      <c r="B35" s="27" t="s">
        <v>256</v>
      </c>
      <c r="C35" s="27" t="s">
        <v>198</v>
      </c>
      <c r="D35" s="27" t="s">
        <v>1165</v>
      </c>
      <c r="E35" s="27" t="s">
        <v>78</v>
      </c>
      <c r="F35" s="27" t="s">
        <v>200</v>
      </c>
      <c r="G35" s="27">
        <v>2.50984440376569</v>
      </c>
      <c r="H35" s="27">
        <v>2.33910450444561</v>
      </c>
      <c r="I35" s="27">
        <v>2.59282067207113</v>
      </c>
      <c r="J35" s="27">
        <v>2.4426668736924699</v>
      </c>
      <c r="K35" s="27">
        <v>1.2097844207635999</v>
      </c>
      <c r="L35" s="27">
        <v>1.1078295796286599</v>
      </c>
      <c r="M35" s="27">
        <v>1.14189583878138</v>
      </c>
      <c r="N35" s="27">
        <v>1.2227426287918399</v>
      </c>
      <c r="O35" s="27">
        <v>1.3358585577928901</v>
      </c>
      <c r="P35" s="27">
        <v>1.4330599503138099</v>
      </c>
      <c r="Q35" s="27">
        <v>1.4818006341527199</v>
      </c>
      <c r="R35" s="27">
        <v>1.49832096626569</v>
      </c>
      <c r="S35" s="27">
        <v>1.5090262160041801</v>
      </c>
      <c r="T35" s="27">
        <v>1.51221005491632</v>
      </c>
      <c r="U35" s="27">
        <v>1.52238526412134</v>
      </c>
      <c r="V35" s="27">
        <v>1.53205053608787</v>
      </c>
      <c r="W35" s="27">
        <v>1.5338340088912099</v>
      </c>
      <c r="X35" s="27">
        <v>1.52446211427824</v>
      </c>
      <c r="Y35" s="27">
        <v>1.5048372123431</v>
      </c>
      <c r="Z35" s="27">
        <v>1.4977119835251</v>
      </c>
    </row>
    <row r="36" spans="1:26">
      <c r="A36" s="27" t="s">
        <v>257</v>
      </c>
      <c r="B36" s="27" t="s">
        <v>197</v>
      </c>
      <c r="C36" s="27" t="s">
        <v>198</v>
      </c>
      <c r="D36" s="27" t="s">
        <v>1165</v>
      </c>
      <c r="E36" s="27" t="s">
        <v>78</v>
      </c>
      <c r="F36" s="27" t="s">
        <v>200</v>
      </c>
      <c r="G36" s="27" t="s">
        <v>200</v>
      </c>
      <c r="H36" s="27">
        <v>6.5633999999999997</v>
      </c>
      <c r="I36" s="27">
        <v>6.5552000000000001</v>
      </c>
      <c r="J36" s="27">
        <v>6.5471000000000004</v>
      </c>
      <c r="K36" s="27">
        <v>4.3017000000000003</v>
      </c>
      <c r="L36" s="27">
        <v>2.1284000000000001</v>
      </c>
      <c r="M36" s="27">
        <v>2.0152000000000001</v>
      </c>
      <c r="N36" s="27">
        <v>1.9218</v>
      </c>
      <c r="O36" s="27">
        <v>1.7777000000000001</v>
      </c>
      <c r="P36" s="27">
        <v>1.6238999999999999</v>
      </c>
      <c r="Q36" s="27">
        <v>1.5643</v>
      </c>
      <c r="R36" s="27">
        <v>1.5057</v>
      </c>
      <c r="S36" s="27">
        <v>1.4793000000000001</v>
      </c>
      <c r="T36" s="27">
        <v>1.4542999999999999</v>
      </c>
      <c r="U36" s="27">
        <v>1.3911</v>
      </c>
      <c r="V36" s="27">
        <v>1.3283</v>
      </c>
      <c r="W36" s="27">
        <v>1.2491000000000001</v>
      </c>
      <c r="X36" s="27">
        <v>1.1698999999999999</v>
      </c>
      <c r="Y36" s="27">
        <v>1.0704</v>
      </c>
      <c r="Z36" s="27">
        <v>0.97030000000000005</v>
      </c>
    </row>
    <row r="37" spans="1:26">
      <c r="A37" s="27" t="s">
        <v>196</v>
      </c>
      <c r="B37" s="27" t="s">
        <v>258</v>
      </c>
      <c r="C37" s="27" t="s">
        <v>198</v>
      </c>
      <c r="D37" s="27" t="s">
        <v>1165</v>
      </c>
      <c r="E37" s="27" t="s">
        <v>78</v>
      </c>
      <c r="F37" s="27" t="s">
        <v>200</v>
      </c>
      <c r="G37" s="27">
        <v>6.2130999999999998</v>
      </c>
      <c r="H37" s="27">
        <v>6.5861000000000001</v>
      </c>
      <c r="I37" s="27">
        <v>6.0472000000000001</v>
      </c>
      <c r="J37" s="27">
        <v>5.5083000000000002</v>
      </c>
      <c r="K37" s="27">
        <v>2.5024999999999999</v>
      </c>
      <c r="L37" s="27">
        <v>2.1962999999999999</v>
      </c>
      <c r="M37" s="27">
        <v>2.0865999999999998</v>
      </c>
      <c r="N37" s="27">
        <v>1.9769000000000001</v>
      </c>
      <c r="O37" s="27">
        <v>1.8208</v>
      </c>
      <c r="P37" s="27">
        <v>1.6646000000000001</v>
      </c>
      <c r="Q37" s="27">
        <v>1.6034999999999999</v>
      </c>
      <c r="R37" s="27">
        <v>1.5424</v>
      </c>
      <c r="S37" s="27" t="s">
        <v>200</v>
      </c>
      <c r="T37" s="27">
        <v>1.4859</v>
      </c>
      <c r="U37" s="27" t="s">
        <v>200</v>
      </c>
      <c r="V37" s="27">
        <v>1.3451</v>
      </c>
      <c r="W37" s="27" t="s">
        <v>200</v>
      </c>
      <c r="X37" s="27">
        <v>1.1746000000000001</v>
      </c>
      <c r="Y37" s="27" t="s">
        <v>200</v>
      </c>
      <c r="Z37" s="27">
        <v>0.99319999999999997</v>
      </c>
    </row>
    <row r="38" spans="1:26">
      <c r="A38" s="27" t="s">
        <v>247</v>
      </c>
      <c r="B38" s="27" t="s">
        <v>259</v>
      </c>
      <c r="C38" s="27" t="s">
        <v>198</v>
      </c>
      <c r="D38" s="27" t="s">
        <v>1165</v>
      </c>
      <c r="E38" s="27" t="s">
        <v>78</v>
      </c>
      <c r="F38" s="27" t="s">
        <v>200</v>
      </c>
      <c r="G38" s="27" t="s">
        <v>200</v>
      </c>
      <c r="H38" s="27">
        <v>4.8475680356744402</v>
      </c>
      <c r="I38" s="27" t="s">
        <v>200</v>
      </c>
      <c r="J38" s="27">
        <v>2.2188113052490199</v>
      </c>
      <c r="K38" s="27" t="s">
        <v>200</v>
      </c>
      <c r="L38" s="27">
        <v>0.27032497820486501</v>
      </c>
      <c r="M38" s="27" t="s">
        <v>200</v>
      </c>
      <c r="N38" s="27">
        <v>0.23675105731567311</v>
      </c>
      <c r="O38" s="27" t="s">
        <v>200</v>
      </c>
      <c r="P38" s="27">
        <v>0.124277533857422</v>
      </c>
      <c r="Q38" s="27" t="s">
        <v>200</v>
      </c>
      <c r="R38" s="27">
        <v>9.5082964151000995E-2</v>
      </c>
      <c r="S38" s="27" t="s">
        <v>200</v>
      </c>
      <c r="T38" s="27">
        <v>7.5368635814482998E-2</v>
      </c>
      <c r="U38" s="27" t="s">
        <v>200</v>
      </c>
      <c r="V38" s="27">
        <v>5.7252294767806002E-2</v>
      </c>
      <c r="W38" s="27" t="s">
        <v>200</v>
      </c>
      <c r="X38" s="27">
        <v>3.5286465956878003E-2</v>
      </c>
      <c r="Y38" s="27" t="s">
        <v>200</v>
      </c>
      <c r="Z38" s="27">
        <v>9.1428556268669994E-3</v>
      </c>
    </row>
    <row r="39" spans="1:26">
      <c r="A39" s="27" t="s">
        <v>233</v>
      </c>
      <c r="B39" s="27" t="s">
        <v>260</v>
      </c>
      <c r="C39" s="27" t="s">
        <v>198</v>
      </c>
      <c r="D39" s="27" t="s">
        <v>1165</v>
      </c>
      <c r="E39" s="27" t="s">
        <v>78</v>
      </c>
      <c r="F39" s="27" t="s">
        <v>200</v>
      </c>
      <c r="G39" s="27" t="s">
        <v>200</v>
      </c>
      <c r="H39" s="27">
        <v>7.0439999999999996</v>
      </c>
      <c r="I39" s="27">
        <v>6.8465999999999978</v>
      </c>
      <c r="J39" s="27">
        <v>6.5286999034755997</v>
      </c>
      <c r="K39" s="27">
        <v>4.8709913569277168</v>
      </c>
      <c r="L39" s="27">
        <v>4.9836151901948451</v>
      </c>
      <c r="M39" s="27">
        <v>4.8020232201369941</v>
      </c>
      <c r="N39" s="27">
        <v>4.454402788575373</v>
      </c>
      <c r="O39" s="27">
        <v>3.98306554270739</v>
      </c>
      <c r="P39" s="27">
        <v>3.6124192551923038</v>
      </c>
      <c r="Q39" s="27">
        <v>3.3643441643098071</v>
      </c>
      <c r="R39" s="27">
        <v>3.1875274190747098</v>
      </c>
      <c r="S39" s="27">
        <v>3.0105806583069059</v>
      </c>
      <c r="T39" s="27">
        <v>2.8655905623898441</v>
      </c>
      <c r="U39" s="27">
        <v>2.72063372580303</v>
      </c>
      <c r="V39" s="27">
        <v>2.5643773443916471</v>
      </c>
      <c r="W39" s="27">
        <v>2.3932018929959309</v>
      </c>
      <c r="X39" s="27">
        <v>2.2288940114907669</v>
      </c>
      <c r="Y39" s="27">
        <v>2.0121492397763818</v>
      </c>
      <c r="Z39" s="27">
        <v>1.7943166045179499</v>
      </c>
    </row>
    <row r="40" spans="1:26">
      <c r="A40" s="27" t="s">
        <v>261</v>
      </c>
      <c r="B40" s="27" t="s">
        <v>262</v>
      </c>
      <c r="C40" s="27" t="s">
        <v>198</v>
      </c>
      <c r="D40" s="27" t="s">
        <v>1165</v>
      </c>
      <c r="E40" s="27" t="s">
        <v>78</v>
      </c>
      <c r="F40" s="27" t="s">
        <v>200</v>
      </c>
      <c r="G40" s="27">
        <v>6.2299561500549316</v>
      </c>
      <c r="H40" s="27">
        <v>6.6060690879821777</v>
      </c>
      <c r="I40" s="27">
        <v>6.9869890213012704</v>
      </c>
      <c r="J40" s="27">
        <v>7.4358057975769043</v>
      </c>
      <c r="K40" s="27">
        <v>4.7805972099304199</v>
      </c>
      <c r="L40" s="27">
        <v>2.523920059204102</v>
      </c>
      <c r="M40" s="27">
        <v>2.1625990867614751</v>
      </c>
      <c r="N40" s="27">
        <v>2.0207910537719731</v>
      </c>
      <c r="O40" s="27">
        <v>1.8758670091629031</v>
      </c>
      <c r="P40" s="27">
        <v>1.722043037414551</v>
      </c>
      <c r="Q40" s="27">
        <v>1.62972104549408</v>
      </c>
      <c r="R40" s="27">
        <v>1.6180180311203001</v>
      </c>
      <c r="S40" s="27">
        <v>1.5999079942703249</v>
      </c>
      <c r="T40" s="27">
        <v>1.570981979370117</v>
      </c>
      <c r="U40" s="27">
        <v>1.506497979164124</v>
      </c>
      <c r="V40" s="27">
        <v>1.4289330244064331</v>
      </c>
      <c r="W40" s="27">
        <v>1.3456159830093379</v>
      </c>
      <c r="X40" s="27">
        <v>1.2595870494842529</v>
      </c>
      <c r="Y40" s="27">
        <v>1.1731729507446289</v>
      </c>
      <c r="Z40" s="27">
        <v>1.079303979873657</v>
      </c>
    </row>
    <row r="41" spans="1:26">
      <c r="A41" s="27" t="s">
        <v>218</v>
      </c>
      <c r="B41" s="27" t="s">
        <v>263</v>
      </c>
      <c r="C41" s="27" t="s">
        <v>198</v>
      </c>
      <c r="D41" s="27" t="s">
        <v>1165</v>
      </c>
      <c r="E41" s="27" t="s">
        <v>78</v>
      </c>
      <c r="F41" s="27" t="s">
        <v>200</v>
      </c>
      <c r="G41" s="27">
        <v>6.23</v>
      </c>
      <c r="H41" s="27">
        <v>6.6060999999999996</v>
      </c>
      <c r="I41" s="27">
        <v>7.0209000000000001</v>
      </c>
      <c r="J41" s="27">
        <v>7.4358000000000004</v>
      </c>
      <c r="K41" s="27">
        <v>2.5164</v>
      </c>
      <c r="L41" s="27">
        <v>2.2103999999999999</v>
      </c>
      <c r="M41" s="27">
        <v>2.1038999999999999</v>
      </c>
      <c r="N41" s="27">
        <v>1.9973000000000001</v>
      </c>
      <c r="O41" s="27">
        <v>1.8446</v>
      </c>
      <c r="P41" s="27">
        <v>1.6919</v>
      </c>
      <c r="Q41" s="27">
        <v>1.6359999999999999</v>
      </c>
      <c r="R41" s="27">
        <v>1.5802</v>
      </c>
      <c r="S41" s="27" t="s">
        <v>200</v>
      </c>
      <c r="T41" s="27">
        <v>1.5381</v>
      </c>
      <c r="U41" s="27" t="s">
        <v>200</v>
      </c>
      <c r="V41" s="27">
        <v>1.4132</v>
      </c>
      <c r="W41" s="27" t="s">
        <v>200</v>
      </c>
      <c r="X41" s="27">
        <v>1.2579</v>
      </c>
      <c r="Y41" s="27" t="s">
        <v>200</v>
      </c>
      <c r="Z41" s="27">
        <v>1.0623</v>
      </c>
    </row>
    <row r="42" spans="1:26">
      <c r="A42" s="27" t="s">
        <v>196</v>
      </c>
      <c r="B42" s="27" t="s">
        <v>264</v>
      </c>
      <c r="C42" s="27" t="s">
        <v>198</v>
      </c>
      <c r="D42" s="27" t="s">
        <v>1165</v>
      </c>
      <c r="E42" s="27" t="s">
        <v>78</v>
      </c>
      <c r="F42" s="27" t="s">
        <v>200</v>
      </c>
      <c r="G42" s="27">
        <v>6.2130999999999998</v>
      </c>
      <c r="H42" s="27">
        <v>6.5861000000000001</v>
      </c>
      <c r="I42" s="27">
        <v>6.9977999999999998</v>
      </c>
      <c r="J42" s="27">
        <v>7.4093999999999998</v>
      </c>
      <c r="K42" s="27">
        <v>4.2992999999999997</v>
      </c>
      <c r="L42" s="27">
        <v>3.0001000000000002</v>
      </c>
      <c r="M42" s="27">
        <v>2.5377999999999998</v>
      </c>
      <c r="N42" s="27">
        <v>2.0754999999999999</v>
      </c>
      <c r="O42" s="27">
        <v>1.9309000000000001</v>
      </c>
      <c r="P42" s="27">
        <v>1.7864</v>
      </c>
      <c r="Q42" s="27">
        <v>1.7093</v>
      </c>
      <c r="R42" s="27">
        <v>1.6322000000000001</v>
      </c>
      <c r="S42" s="27" t="s">
        <v>200</v>
      </c>
      <c r="T42" s="27">
        <v>1.4718</v>
      </c>
      <c r="U42" s="27" t="s">
        <v>200</v>
      </c>
      <c r="V42" s="27">
        <v>1.3017000000000001</v>
      </c>
      <c r="W42" s="27" t="s">
        <v>200</v>
      </c>
      <c r="X42" s="27">
        <v>1.6983999999999999</v>
      </c>
      <c r="Y42" s="27" t="s">
        <v>200</v>
      </c>
      <c r="Z42" s="27">
        <v>2.7949999999999999</v>
      </c>
    </row>
    <row r="43" spans="1:26">
      <c r="A43" s="27" t="s">
        <v>218</v>
      </c>
      <c r="B43" s="27" t="s">
        <v>265</v>
      </c>
      <c r="C43" s="27" t="s">
        <v>198</v>
      </c>
      <c r="D43" s="27" t="s">
        <v>1165</v>
      </c>
      <c r="E43" s="27" t="s">
        <v>78</v>
      </c>
      <c r="F43" s="27" t="s">
        <v>200</v>
      </c>
      <c r="G43" s="27">
        <v>6.23</v>
      </c>
      <c r="H43" s="27">
        <v>6.6060999999999996</v>
      </c>
      <c r="I43" s="27">
        <v>7.0209000000000001</v>
      </c>
      <c r="J43" s="27">
        <v>7.4358000000000004</v>
      </c>
      <c r="K43" s="27">
        <v>2.5164</v>
      </c>
      <c r="L43" s="27">
        <v>2.2103999999999999</v>
      </c>
      <c r="M43" s="27">
        <v>2.1038999999999999</v>
      </c>
      <c r="N43" s="27">
        <v>1.9973000000000001</v>
      </c>
      <c r="O43" s="27">
        <v>1.8446</v>
      </c>
      <c r="P43" s="27">
        <v>1.6919</v>
      </c>
      <c r="Q43" s="27">
        <v>1.6359999999999999</v>
      </c>
      <c r="R43" s="27">
        <v>1.5802</v>
      </c>
      <c r="S43" s="27" t="s">
        <v>200</v>
      </c>
      <c r="T43" s="27">
        <v>1.5381</v>
      </c>
      <c r="U43" s="27" t="s">
        <v>200</v>
      </c>
      <c r="V43" s="27">
        <v>1.4132</v>
      </c>
      <c r="W43" s="27" t="s">
        <v>200</v>
      </c>
      <c r="X43" s="27">
        <v>1.2579</v>
      </c>
      <c r="Y43" s="27" t="s">
        <v>200</v>
      </c>
      <c r="Z43" s="27">
        <v>1.0623</v>
      </c>
    </row>
    <row r="44" spans="1:26">
      <c r="A44" s="27" t="s">
        <v>226</v>
      </c>
      <c r="B44" s="27" t="s">
        <v>243</v>
      </c>
      <c r="C44" s="27" t="s">
        <v>198</v>
      </c>
      <c r="D44" s="27" t="s">
        <v>1165</v>
      </c>
      <c r="E44" s="27" t="s">
        <v>78</v>
      </c>
      <c r="F44" s="27" t="s">
        <v>200</v>
      </c>
      <c r="G44" s="27">
        <v>6.23</v>
      </c>
      <c r="H44" s="27">
        <v>6.6060999999999996</v>
      </c>
      <c r="I44" s="27">
        <v>6.96</v>
      </c>
      <c r="J44" s="27">
        <v>7.3140000000000001</v>
      </c>
      <c r="K44" s="27">
        <v>2.5164</v>
      </c>
      <c r="L44" s="27">
        <v>2.2103999999999999</v>
      </c>
      <c r="M44" s="27">
        <v>2.1038999999999999</v>
      </c>
      <c r="N44" s="27">
        <v>1.9973000000000001</v>
      </c>
      <c r="O44" s="27">
        <v>1.8446</v>
      </c>
      <c r="P44" s="27">
        <v>1.6919</v>
      </c>
      <c r="Q44" s="27">
        <v>1.6359999999999999</v>
      </c>
      <c r="R44" s="27">
        <v>1.5802</v>
      </c>
      <c r="S44" s="27" t="s">
        <v>200</v>
      </c>
      <c r="T44" s="27">
        <v>1.5381</v>
      </c>
      <c r="U44" s="27" t="s">
        <v>200</v>
      </c>
      <c r="V44" s="27">
        <v>1.4132</v>
      </c>
      <c r="W44" s="27" t="s">
        <v>200</v>
      </c>
      <c r="X44" s="27">
        <v>1.2579</v>
      </c>
      <c r="Y44" s="27" t="s">
        <v>200</v>
      </c>
      <c r="Z44" s="27">
        <v>1.0623</v>
      </c>
    </row>
    <row r="45" spans="1:26">
      <c r="A45" s="27" t="s">
        <v>231</v>
      </c>
      <c r="B45" s="27" t="s">
        <v>266</v>
      </c>
      <c r="C45" s="27" t="s">
        <v>198</v>
      </c>
      <c r="D45" s="27" t="s">
        <v>1165</v>
      </c>
      <c r="E45" s="27" t="s">
        <v>78</v>
      </c>
      <c r="F45" s="27" t="s">
        <v>200</v>
      </c>
      <c r="G45" s="27">
        <v>2.5740714933</v>
      </c>
      <c r="H45" s="27">
        <v>3.0635693356</v>
      </c>
      <c r="I45" s="27">
        <v>3.6045651991000001</v>
      </c>
      <c r="J45" s="27">
        <v>3.9640631644200002</v>
      </c>
      <c r="K45" s="27">
        <v>2.8577692247100002</v>
      </c>
      <c r="L45" s="27">
        <v>2.8479290804900002</v>
      </c>
      <c r="M45" s="27">
        <v>3.1705728068300001</v>
      </c>
      <c r="N45" s="27">
        <v>3.2654840686500002</v>
      </c>
      <c r="O45" s="27">
        <v>3.4434804110599999</v>
      </c>
      <c r="P45" s="27">
        <v>3.6452381004199998</v>
      </c>
      <c r="Q45" s="27">
        <v>3.8087633404300001</v>
      </c>
      <c r="R45" s="27">
        <v>3.9454352252799998</v>
      </c>
      <c r="S45" s="27">
        <v>4.05603804287</v>
      </c>
      <c r="T45" s="27">
        <v>4.1493838351700001</v>
      </c>
      <c r="U45" s="27">
        <v>4.22173936082</v>
      </c>
      <c r="V45" s="27">
        <v>4.2466083027900003</v>
      </c>
      <c r="W45" s="27">
        <v>4.2660025039600002</v>
      </c>
      <c r="X45" s="27">
        <v>4.2609178140699999</v>
      </c>
      <c r="Y45" s="27">
        <v>4.2258730787819996</v>
      </c>
      <c r="Z45" s="27">
        <v>4.1929031481800001</v>
      </c>
    </row>
    <row r="46" spans="1:26">
      <c r="A46" s="27" t="s">
        <v>233</v>
      </c>
      <c r="B46" s="27" t="s">
        <v>267</v>
      </c>
      <c r="C46" s="27" t="s">
        <v>198</v>
      </c>
      <c r="D46" s="27" t="s">
        <v>1165</v>
      </c>
      <c r="E46" s="27" t="s">
        <v>78</v>
      </c>
      <c r="F46" s="27" t="s">
        <v>200</v>
      </c>
      <c r="G46" s="27" t="s">
        <v>200</v>
      </c>
      <c r="H46" s="27">
        <v>7.0439999999999996</v>
      </c>
      <c r="I46" s="27">
        <v>6.8465999999999978</v>
      </c>
      <c r="J46" s="27">
        <v>6.5286999034755997</v>
      </c>
      <c r="K46" s="27">
        <v>4.8028797539145227</v>
      </c>
      <c r="L46" s="27">
        <v>4.9435442574662547</v>
      </c>
      <c r="M46" s="27">
        <v>4.7560660829919001</v>
      </c>
      <c r="N46" s="27">
        <v>4.413489721598415</v>
      </c>
      <c r="O46" s="27">
        <v>3.98101638318309</v>
      </c>
      <c r="P46" s="27">
        <v>3.6101053640583891</v>
      </c>
      <c r="Q46" s="27">
        <v>3.361134923409284</v>
      </c>
      <c r="R46" s="27">
        <v>3.1840290398622919</v>
      </c>
      <c r="S46" s="27">
        <v>3.0092498223116051</v>
      </c>
      <c r="T46" s="27">
        <v>2.865590562389845</v>
      </c>
      <c r="U46" s="27">
        <v>2.723780609130285</v>
      </c>
      <c r="V46" s="27">
        <v>2.5677098266156371</v>
      </c>
      <c r="W46" s="27">
        <v>2.3969316955701769</v>
      </c>
      <c r="X46" s="27">
        <v>2.2330051963806219</v>
      </c>
      <c r="Y46" s="27">
        <v>2.01502467022849</v>
      </c>
      <c r="Z46" s="27">
        <v>1.7976930856219171</v>
      </c>
    </row>
    <row r="47" spans="1:26">
      <c r="A47" s="27" t="s">
        <v>196</v>
      </c>
      <c r="B47" s="27" t="s">
        <v>268</v>
      </c>
      <c r="C47" s="27" t="s">
        <v>198</v>
      </c>
      <c r="D47" s="27" t="s">
        <v>1165</v>
      </c>
      <c r="E47" s="27" t="s">
        <v>78</v>
      </c>
      <c r="F47" s="27" t="s">
        <v>200</v>
      </c>
      <c r="G47" s="27">
        <v>6.2130999999999998</v>
      </c>
      <c r="H47" s="27">
        <v>6.5861000000000001</v>
      </c>
      <c r="I47" s="27">
        <v>6.0472000000000001</v>
      </c>
      <c r="J47" s="27">
        <v>5.5083000000000002</v>
      </c>
      <c r="K47" s="27">
        <v>2.5024999999999999</v>
      </c>
      <c r="L47" s="27">
        <v>2.1962999999999999</v>
      </c>
      <c r="M47" s="27">
        <v>2.0865999999999998</v>
      </c>
      <c r="N47" s="27">
        <v>1.9769000000000001</v>
      </c>
      <c r="O47" s="27">
        <v>1.8208</v>
      </c>
      <c r="P47" s="27">
        <v>1.6646000000000001</v>
      </c>
      <c r="Q47" s="27">
        <v>1.6034999999999999</v>
      </c>
      <c r="R47" s="27">
        <v>1.5424</v>
      </c>
      <c r="S47" s="27" t="s">
        <v>200</v>
      </c>
      <c r="T47" s="27">
        <v>1.4859</v>
      </c>
      <c r="U47" s="27" t="s">
        <v>200</v>
      </c>
      <c r="V47" s="27">
        <v>1.3451</v>
      </c>
      <c r="W47" s="27" t="s">
        <v>200</v>
      </c>
      <c r="X47" s="27">
        <v>1.1746000000000001</v>
      </c>
      <c r="Y47" s="27" t="s">
        <v>200</v>
      </c>
      <c r="Z47" s="27">
        <v>0.99319999999999997</v>
      </c>
    </row>
    <row r="48" spans="1:26">
      <c r="A48" s="27" t="s">
        <v>222</v>
      </c>
      <c r="B48" s="27" t="s">
        <v>269</v>
      </c>
      <c r="C48" s="27" t="s">
        <v>198</v>
      </c>
      <c r="D48" s="27" t="s">
        <v>1165</v>
      </c>
      <c r="E48" s="27" t="s">
        <v>78</v>
      </c>
      <c r="F48" s="27" t="s">
        <v>200</v>
      </c>
      <c r="G48" s="27">
        <v>6.2130999999999998</v>
      </c>
      <c r="H48" s="27">
        <v>6.5861000000000001</v>
      </c>
      <c r="I48" s="27">
        <v>6.0472000000000001</v>
      </c>
      <c r="J48" s="27">
        <v>5.5083000000000002</v>
      </c>
      <c r="K48" s="27">
        <v>2.5024999999999999</v>
      </c>
      <c r="L48" s="27">
        <v>2.1962999999999999</v>
      </c>
      <c r="M48" s="27">
        <v>2.0865999999999998</v>
      </c>
      <c r="N48" s="27">
        <v>1.9769000000000001</v>
      </c>
      <c r="O48" s="27">
        <v>1.8208</v>
      </c>
      <c r="P48" s="27">
        <v>1.6646000000000001</v>
      </c>
      <c r="Q48" s="27">
        <v>1.6034999999999999</v>
      </c>
      <c r="R48" s="27">
        <v>1.5424</v>
      </c>
      <c r="S48" s="27" t="s">
        <v>200</v>
      </c>
      <c r="T48" s="27">
        <v>1.4859</v>
      </c>
      <c r="U48" s="27" t="s">
        <v>200</v>
      </c>
      <c r="V48" s="27">
        <v>1.3451</v>
      </c>
      <c r="W48" s="27" t="s">
        <v>200</v>
      </c>
      <c r="X48" s="27">
        <v>1.1746000000000001</v>
      </c>
      <c r="Y48" s="27" t="s">
        <v>200</v>
      </c>
      <c r="Z48" s="27">
        <v>0.99319999999999997</v>
      </c>
    </row>
    <row r="49" spans="1:26">
      <c r="A49" s="27" t="s">
        <v>231</v>
      </c>
      <c r="B49" s="27" t="s">
        <v>270</v>
      </c>
      <c r="C49" s="27" t="s">
        <v>198</v>
      </c>
      <c r="D49" s="27" t="s">
        <v>1165</v>
      </c>
      <c r="E49" s="27" t="s">
        <v>78</v>
      </c>
      <c r="F49" s="27" t="s">
        <v>200</v>
      </c>
      <c r="G49" s="27">
        <v>2.5740714933</v>
      </c>
      <c r="H49" s="27">
        <v>3.0635693356</v>
      </c>
      <c r="I49" s="27">
        <v>3.6045651991000001</v>
      </c>
      <c r="J49" s="27">
        <v>3.9640631644200002</v>
      </c>
      <c r="K49" s="27">
        <v>2.9612030316100002</v>
      </c>
      <c r="L49" s="27">
        <v>3.2216803283400002</v>
      </c>
      <c r="M49" s="27">
        <v>3.1319790563400001</v>
      </c>
      <c r="N49" s="27">
        <v>3.4839709533800001</v>
      </c>
      <c r="O49" s="27">
        <v>3.5307672562699999</v>
      </c>
      <c r="P49" s="27">
        <v>3.6415092441199999</v>
      </c>
      <c r="Q49" s="27">
        <v>3.8055575881100001</v>
      </c>
      <c r="R49" s="27">
        <v>3.9463547107600001</v>
      </c>
      <c r="S49" s="27">
        <v>4.0608069271399998</v>
      </c>
      <c r="T49" s="27">
        <v>4.1459078953999997</v>
      </c>
      <c r="U49" s="27">
        <v>4.2231072243599996</v>
      </c>
      <c r="V49" s="27">
        <v>4.2517303856200002</v>
      </c>
      <c r="W49" s="27">
        <v>4.2649227458099999</v>
      </c>
      <c r="X49" s="27">
        <v>4.2560972922099998</v>
      </c>
      <c r="Y49" s="27">
        <v>4.2167663391790002</v>
      </c>
      <c r="Z49" s="27">
        <v>4.1763842428100002</v>
      </c>
    </row>
    <row r="50" spans="1:26">
      <c r="A50" s="27" t="s">
        <v>231</v>
      </c>
      <c r="B50" s="27" t="s">
        <v>271</v>
      </c>
      <c r="C50" s="27" t="s">
        <v>198</v>
      </c>
      <c r="D50" s="27" t="s">
        <v>1165</v>
      </c>
      <c r="E50" s="27" t="s">
        <v>78</v>
      </c>
      <c r="F50" s="27" t="s">
        <v>200</v>
      </c>
      <c r="G50" s="27">
        <v>2.5740714933</v>
      </c>
      <c r="H50" s="27">
        <v>3.0635693356</v>
      </c>
      <c r="I50" s="27">
        <v>3.6045651991000001</v>
      </c>
      <c r="J50" s="27">
        <v>3.9640631644200002</v>
      </c>
      <c r="K50" s="27">
        <v>2.5274217485300001</v>
      </c>
      <c r="L50" s="27">
        <v>2.8150024117400001</v>
      </c>
      <c r="M50" s="27">
        <v>3.15922010796</v>
      </c>
      <c r="N50" s="27">
        <v>3.3695248341199999</v>
      </c>
      <c r="O50" s="27">
        <v>3.5291921084500002</v>
      </c>
      <c r="P50" s="27">
        <v>3.7270290845599998</v>
      </c>
      <c r="Q50" s="27">
        <v>3.8948801919</v>
      </c>
      <c r="R50" s="27">
        <v>4.0236003136100003</v>
      </c>
      <c r="S50" s="27">
        <v>4.0966301035999999</v>
      </c>
      <c r="T50" s="27">
        <v>4.1632609696999996</v>
      </c>
      <c r="U50" s="27">
        <v>4.21561368308</v>
      </c>
      <c r="V50" s="27">
        <v>4.2255206432500003</v>
      </c>
      <c r="W50" s="27">
        <v>4.2354731473999996</v>
      </c>
      <c r="X50" s="27">
        <v>4.2171940323000001</v>
      </c>
      <c r="Y50" s="27">
        <v>4.1983979850860003</v>
      </c>
      <c r="Z50" s="27">
        <v>4.1757734711400003</v>
      </c>
    </row>
    <row r="51" spans="1:26">
      <c r="A51" s="27" t="s">
        <v>196</v>
      </c>
      <c r="B51" s="27" t="s">
        <v>273</v>
      </c>
      <c r="C51" s="27" t="s">
        <v>198</v>
      </c>
      <c r="D51" s="27" t="s">
        <v>1165</v>
      </c>
      <c r="E51" s="27" t="s">
        <v>78</v>
      </c>
      <c r="F51" s="27" t="s">
        <v>200</v>
      </c>
      <c r="G51" s="27" t="s">
        <v>200</v>
      </c>
      <c r="H51" s="27">
        <v>6.5861000000000001</v>
      </c>
      <c r="I51" s="27">
        <v>6.0472000000000001</v>
      </c>
      <c r="J51" s="27">
        <v>5.5083000000000002</v>
      </c>
      <c r="K51" s="27">
        <v>2.5024999999999999</v>
      </c>
      <c r="L51" s="27">
        <v>2.1962999999999999</v>
      </c>
      <c r="M51" s="27">
        <v>2.0865999999999998</v>
      </c>
      <c r="N51" s="27">
        <v>1.9769000000000001</v>
      </c>
      <c r="O51" s="27">
        <v>1.8208</v>
      </c>
      <c r="P51" s="27">
        <v>1.6646000000000001</v>
      </c>
      <c r="Q51" s="27">
        <v>1.6034999999999999</v>
      </c>
      <c r="R51" s="27">
        <v>1.5424</v>
      </c>
      <c r="S51" s="27" t="s">
        <v>200</v>
      </c>
      <c r="T51" s="27">
        <v>1.4859</v>
      </c>
      <c r="U51" s="27" t="s">
        <v>200</v>
      </c>
      <c r="V51" s="27">
        <v>1.3451</v>
      </c>
      <c r="W51" s="27" t="s">
        <v>200</v>
      </c>
      <c r="X51" s="27">
        <v>1.1746000000000001</v>
      </c>
      <c r="Y51" s="27" t="s">
        <v>200</v>
      </c>
      <c r="Z51" s="27">
        <v>0.99319999999999997</v>
      </c>
    </row>
    <row r="52" spans="1:26">
      <c r="A52" s="27" t="s">
        <v>226</v>
      </c>
      <c r="B52" s="27" t="s">
        <v>274</v>
      </c>
      <c r="C52" s="27" t="s">
        <v>198</v>
      </c>
      <c r="D52" s="27" t="s">
        <v>1165</v>
      </c>
      <c r="E52" s="27" t="s">
        <v>78</v>
      </c>
      <c r="F52" s="27" t="s">
        <v>200</v>
      </c>
      <c r="G52" s="27">
        <v>6.23</v>
      </c>
      <c r="H52" s="27">
        <v>6.6060999999999996</v>
      </c>
      <c r="I52" s="27">
        <v>6.96</v>
      </c>
      <c r="J52" s="27">
        <v>2.8224</v>
      </c>
      <c r="K52" s="27">
        <v>2.5164</v>
      </c>
      <c r="L52" s="27">
        <v>2.2103999999999999</v>
      </c>
      <c r="M52" s="27">
        <v>2.1038999999999999</v>
      </c>
      <c r="N52" s="27">
        <v>1.9973000000000001</v>
      </c>
      <c r="O52" s="27">
        <v>1.8446</v>
      </c>
      <c r="P52" s="27">
        <v>1.6919</v>
      </c>
      <c r="Q52" s="27">
        <v>1.6359999999999999</v>
      </c>
      <c r="R52" s="27">
        <v>1.5802</v>
      </c>
      <c r="S52" s="27" t="s">
        <v>200</v>
      </c>
      <c r="T52" s="27">
        <v>1.5381</v>
      </c>
      <c r="U52" s="27" t="s">
        <v>200</v>
      </c>
      <c r="V52" s="27">
        <v>1.4132</v>
      </c>
      <c r="W52" s="27" t="s">
        <v>200</v>
      </c>
      <c r="X52" s="27">
        <v>1.2579</v>
      </c>
      <c r="Y52" s="27" t="s">
        <v>200</v>
      </c>
      <c r="Z52" s="27">
        <v>1.0623</v>
      </c>
    </row>
    <row r="53" spans="1:26">
      <c r="A53" s="27" t="s">
        <v>196</v>
      </c>
      <c r="B53" s="27" t="s">
        <v>275</v>
      </c>
      <c r="C53" s="27" t="s">
        <v>198</v>
      </c>
      <c r="D53" s="27" t="s">
        <v>1165</v>
      </c>
      <c r="E53" s="27" t="s">
        <v>78</v>
      </c>
      <c r="F53" s="27" t="s">
        <v>200</v>
      </c>
      <c r="G53" s="27">
        <v>6.2130999999999998</v>
      </c>
      <c r="H53" s="27">
        <v>6.5861000000000001</v>
      </c>
      <c r="I53" s="27">
        <v>6.0472000000000001</v>
      </c>
      <c r="J53" s="27">
        <v>5.5083000000000002</v>
      </c>
      <c r="K53" s="27">
        <v>2.5024999999999999</v>
      </c>
      <c r="L53" s="27">
        <v>2.1962999999999999</v>
      </c>
      <c r="M53" s="27">
        <v>2.0865999999999998</v>
      </c>
      <c r="N53" s="27">
        <v>1.9769000000000001</v>
      </c>
      <c r="O53" s="27">
        <v>1.8208</v>
      </c>
      <c r="P53" s="27">
        <v>1.6646000000000001</v>
      </c>
      <c r="Q53" s="27">
        <v>1.6034999999999999</v>
      </c>
      <c r="R53" s="27">
        <v>1.5424</v>
      </c>
      <c r="S53" s="27" t="s">
        <v>200</v>
      </c>
      <c r="T53" s="27">
        <v>1.4859</v>
      </c>
      <c r="U53" s="27" t="s">
        <v>200</v>
      </c>
      <c r="V53" s="27">
        <v>1.3451</v>
      </c>
      <c r="W53" s="27" t="s">
        <v>200</v>
      </c>
      <c r="X53" s="27">
        <v>1.1746000000000001</v>
      </c>
      <c r="Y53" s="27" t="s">
        <v>200</v>
      </c>
      <c r="Z53" s="27">
        <v>0.99319999999999997</v>
      </c>
    </row>
    <row r="54" spans="1:26">
      <c r="A54" s="27" t="s">
        <v>261</v>
      </c>
      <c r="B54" s="27" t="s">
        <v>276</v>
      </c>
      <c r="C54" s="27" t="s">
        <v>198</v>
      </c>
      <c r="D54" s="27" t="s">
        <v>1165</v>
      </c>
      <c r="E54" s="27" t="s">
        <v>78</v>
      </c>
      <c r="F54" s="27" t="s">
        <v>200</v>
      </c>
      <c r="G54" s="27">
        <v>6.2299561500549316</v>
      </c>
      <c r="H54" s="27">
        <v>6.6060690879821777</v>
      </c>
      <c r="I54" s="27">
        <v>6.9869890213012704</v>
      </c>
      <c r="J54" s="27">
        <v>7.4358057975769043</v>
      </c>
      <c r="K54" s="27">
        <v>4.9499878883361816</v>
      </c>
      <c r="L54" s="27">
        <v>2.57517409324646</v>
      </c>
      <c r="M54" s="27">
        <v>2.1625990867614751</v>
      </c>
      <c r="N54" s="27">
        <v>2.0207910537719731</v>
      </c>
      <c r="O54" s="27">
        <v>1.8758670091629031</v>
      </c>
      <c r="P54" s="27">
        <v>1.722043037414551</v>
      </c>
      <c r="Q54" s="27">
        <v>1.62972104549408</v>
      </c>
      <c r="R54" s="27">
        <v>1.6180180311203001</v>
      </c>
      <c r="S54" s="27">
        <v>1.5999079942703249</v>
      </c>
      <c r="T54" s="27">
        <v>1.570981979370117</v>
      </c>
      <c r="U54" s="27">
        <v>1.506497979164124</v>
      </c>
      <c r="V54" s="27">
        <v>1.4289330244064331</v>
      </c>
      <c r="W54" s="27">
        <v>1.3456159830093379</v>
      </c>
      <c r="X54" s="27">
        <v>1.2595870494842529</v>
      </c>
      <c r="Y54" s="27">
        <v>1.1731729507446289</v>
      </c>
      <c r="Z54" s="27">
        <v>1.079303979873657</v>
      </c>
    </row>
    <row r="55" spans="1:26">
      <c r="A55" s="27" t="s">
        <v>218</v>
      </c>
      <c r="B55" s="27" t="s">
        <v>256</v>
      </c>
      <c r="C55" s="27" t="s">
        <v>198</v>
      </c>
      <c r="D55" s="27" t="s">
        <v>1165</v>
      </c>
      <c r="E55" s="27" t="s">
        <v>78</v>
      </c>
      <c r="F55" s="27" t="s">
        <v>200</v>
      </c>
      <c r="G55" s="27">
        <v>6.23</v>
      </c>
      <c r="H55" s="27">
        <v>6.6060999999999996</v>
      </c>
      <c r="I55" s="27">
        <v>6.0686999999999998</v>
      </c>
      <c r="J55" s="27">
        <v>5.5313999999999997</v>
      </c>
      <c r="K55" s="27">
        <v>2.5164</v>
      </c>
      <c r="L55" s="27">
        <v>2.2103999999999999</v>
      </c>
      <c r="M55" s="27">
        <v>2.1038999999999999</v>
      </c>
      <c r="N55" s="27">
        <v>1.9973000000000001</v>
      </c>
      <c r="O55" s="27">
        <v>1.8446</v>
      </c>
      <c r="P55" s="27">
        <v>1.6919</v>
      </c>
      <c r="Q55" s="27">
        <v>1.6359999999999999</v>
      </c>
      <c r="R55" s="27">
        <v>1.5802</v>
      </c>
      <c r="S55" s="27" t="s">
        <v>200</v>
      </c>
      <c r="T55" s="27">
        <v>1.5381</v>
      </c>
      <c r="U55" s="27" t="s">
        <v>200</v>
      </c>
      <c r="V55" s="27">
        <v>1.4132</v>
      </c>
      <c r="W55" s="27" t="s">
        <v>200</v>
      </c>
      <c r="X55" s="27">
        <v>1.2579</v>
      </c>
      <c r="Y55" s="27" t="s">
        <v>200</v>
      </c>
      <c r="Z55" s="27">
        <v>1.0623</v>
      </c>
    </row>
    <row r="56" spans="1:26">
      <c r="A56" s="27" t="s">
        <v>203</v>
      </c>
      <c r="B56" s="27" t="s">
        <v>277</v>
      </c>
      <c r="C56" s="27" t="s">
        <v>198</v>
      </c>
      <c r="D56" s="27" t="s">
        <v>1165</v>
      </c>
      <c r="E56" s="27" t="s">
        <v>78</v>
      </c>
      <c r="F56" s="27" t="s">
        <v>200</v>
      </c>
      <c r="G56" s="27">
        <v>6.2130999999999998</v>
      </c>
      <c r="H56" s="27">
        <v>6.5861000000000001</v>
      </c>
      <c r="I56" s="27">
        <v>6.0472000000000001</v>
      </c>
      <c r="J56" s="27">
        <v>5.5083000000000002</v>
      </c>
      <c r="K56" s="27">
        <v>2.5024999999999999</v>
      </c>
      <c r="L56" s="27">
        <v>2.1962999999999999</v>
      </c>
      <c r="M56" s="27">
        <v>2.0865999999999998</v>
      </c>
      <c r="N56" s="27">
        <v>1.9769000000000001</v>
      </c>
      <c r="O56" s="27">
        <v>1.8208</v>
      </c>
      <c r="P56" s="27">
        <v>1.6646000000000001</v>
      </c>
      <c r="Q56" s="27">
        <v>1.6034999999999999</v>
      </c>
      <c r="R56" s="27">
        <v>1.5424</v>
      </c>
      <c r="S56" s="27" t="s">
        <v>200</v>
      </c>
      <c r="T56" s="27">
        <v>1.4859</v>
      </c>
      <c r="U56" s="27" t="s">
        <v>200</v>
      </c>
      <c r="V56" s="27">
        <v>1.3451</v>
      </c>
      <c r="W56" s="27" t="s">
        <v>200</v>
      </c>
      <c r="X56" s="27">
        <v>1.1746000000000001</v>
      </c>
      <c r="Y56" s="27" t="s">
        <v>200</v>
      </c>
      <c r="Z56" s="27">
        <v>0.99319999999999997</v>
      </c>
    </row>
    <row r="57" spans="1:26">
      <c r="A57" s="27" t="s">
        <v>203</v>
      </c>
      <c r="B57" s="27" t="s">
        <v>278</v>
      </c>
      <c r="C57" s="27" t="s">
        <v>198</v>
      </c>
      <c r="D57" s="27" t="s">
        <v>1165</v>
      </c>
      <c r="E57" s="27" t="s">
        <v>78</v>
      </c>
      <c r="F57" s="27" t="s">
        <v>200</v>
      </c>
      <c r="G57" s="27">
        <v>6.2130999999999998</v>
      </c>
      <c r="H57" s="27">
        <v>6.5861000000000001</v>
      </c>
      <c r="I57" s="27">
        <v>6.0472000000000001</v>
      </c>
      <c r="J57" s="27">
        <v>5.5083000000000002</v>
      </c>
      <c r="K57" s="27">
        <v>2.7136</v>
      </c>
      <c r="L57" s="27">
        <v>2.5409999999999999</v>
      </c>
      <c r="M57" s="27">
        <v>2.5910000000000002</v>
      </c>
      <c r="N57" s="27">
        <v>2.6410999999999998</v>
      </c>
      <c r="O57" s="27">
        <v>2.5569000000000002</v>
      </c>
      <c r="P57" s="27">
        <v>2.4727999999999999</v>
      </c>
      <c r="Q57" s="27">
        <v>2.3812000000000002</v>
      </c>
      <c r="R57" s="27">
        <v>2.2896000000000001</v>
      </c>
      <c r="S57" s="27" t="s">
        <v>200</v>
      </c>
      <c r="T57" s="27">
        <v>2.1469</v>
      </c>
      <c r="U57" s="27" t="s">
        <v>200</v>
      </c>
      <c r="V57" s="27">
        <v>1.8248</v>
      </c>
      <c r="W57" s="27" t="s">
        <v>200</v>
      </c>
      <c r="X57" s="27">
        <v>1.4753000000000001</v>
      </c>
      <c r="Y57" s="27" t="s">
        <v>200</v>
      </c>
      <c r="Z57" s="27">
        <v>1.1754</v>
      </c>
    </row>
    <row r="58" spans="1:26">
      <c r="A58" s="27" t="s">
        <v>196</v>
      </c>
      <c r="B58" s="27" t="s">
        <v>279</v>
      </c>
      <c r="C58" s="27" t="s">
        <v>198</v>
      </c>
      <c r="D58" s="27" t="s">
        <v>1165</v>
      </c>
      <c r="E58" s="27" t="s">
        <v>78</v>
      </c>
      <c r="F58" s="27" t="s">
        <v>200</v>
      </c>
      <c r="G58" s="27">
        <v>6.2130999999999998</v>
      </c>
      <c r="H58" s="27">
        <v>6.5861000000000001</v>
      </c>
      <c r="I58" s="27">
        <v>6.0472000000000001</v>
      </c>
      <c r="J58" s="27">
        <v>5.5083000000000002</v>
      </c>
      <c r="K58" s="27">
        <v>4.2992999999999997</v>
      </c>
      <c r="L58" s="27">
        <v>3.0001000000000002</v>
      </c>
      <c r="M58" s="27">
        <v>2.5377999999999998</v>
      </c>
      <c r="N58" s="27">
        <v>2.0754999999999999</v>
      </c>
      <c r="O58" s="27">
        <v>1.9309000000000001</v>
      </c>
      <c r="P58" s="27">
        <v>1.7864</v>
      </c>
      <c r="Q58" s="27">
        <v>1.7093</v>
      </c>
      <c r="R58" s="27">
        <v>1.6322000000000001</v>
      </c>
      <c r="S58" s="27" t="s">
        <v>200</v>
      </c>
      <c r="T58" s="27">
        <v>1.4718</v>
      </c>
      <c r="U58" s="27" t="s">
        <v>200</v>
      </c>
      <c r="V58" s="27">
        <v>1.3017000000000001</v>
      </c>
      <c r="W58" s="27" t="s">
        <v>200</v>
      </c>
      <c r="X58" s="27">
        <v>1.6983999999999999</v>
      </c>
      <c r="Y58" s="27" t="s">
        <v>200</v>
      </c>
      <c r="Z58" s="27">
        <v>2.7949999999999999</v>
      </c>
    </row>
    <row r="59" spans="1:26">
      <c r="A59" s="27" t="s">
        <v>257</v>
      </c>
      <c r="B59" s="27" t="s">
        <v>280</v>
      </c>
      <c r="C59" s="27" t="s">
        <v>198</v>
      </c>
      <c r="D59" s="27" t="s">
        <v>1165</v>
      </c>
      <c r="E59" s="27" t="s">
        <v>78</v>
      </c>
      <c r="F59" s="27" t="s">
        <v>200</v>
      </c>
      <c r="G59" s="27" t="s">
        <v>200</v>
      </c>
      <c r="H59" s="27">
        <v>6.5633999999999997</v>
      </c>
      <c r="I59" s="27">
        <v>6.5552000000000001</v>
      </c>
      <c r="J59" s="27">
        <v>6.5471000000000004</v>
      </c>
      <c r="K59" s="27">
        <v>4.3017000000000003</v>
      </c>
      <c r="L59" s="27">
        <v>2.1284000000000001</v>
      </c>
      <c r="M59" s="27">
        <v>2.0112999999999999</v>
      </c>
      <c r="N59" s="27">
        <v>1.9117999999999999</v>
      </c>
      <c r="O59" s="27">
        <v>1.7697000000000001</v>
      </c>
      <c r="P59" s="27">
        <v>1.619</v>
      </c>
      <c r="Q59" s="27">
        <v>1.5656000000000001</v>
      </c>
      <c r="R59" s="27">
        <v>1.5111000000000001</v>
      </c>
      <c r="S59" s="27">
        <v>1.4879</v>
      </c>
      <c r="T59" s="27">
        <v>1.4643999999999999</v>
      </c>
      <c r="U59" s="27">
        <v>1.4000999999999999</v>
      </c>
      <c r="V59" s="27">
        <v>1.3360000000000001</v>
      </c>
      <c r="W59" s="27">
        <v>1.2557</v>
      </c>
      <c r="X59" s="27">
        <v>1.1755</v>
      </c>
      <c r="Y59" s="27">
        <v>1.075</v>
      </c>
      <c r="Z59" s="27">
        <v>0.97409999999999997</v>
      </c>
    </row>
    <row r="60" spans="1:26">
      <c r="A60" s="27" t="s">
        <v>211</v>
      </c>
      <c r="B60" s="27" t="s">
        <v>240</v>
      </c>
      <c r="C60" s="27" t="s">
        <v>198</v>
      </c>
      <c r="D60" s="27" t="s">
        <v>1165</v>
      </c>
      <c r="E60" s="27" t="s">
        <v>78</v>
      </c>
      <c r="F60" s="27" t="s">
        <v>200</v>
      </c>
      <c r="G60" s="27">
        <v>5.9619445000000004</v>
      </c>
      <c r="H60" s="27">
        <v>7.5840029000000024</v>
      </c>
      <c r="I60" s="27" t="s">
        <v>200</v>
      </c>
      <c r="J60" s="27">
        <v>8.2527070000000009</v>
      </c>
      <c r="K60" s="27" t="s">
        <v>200</v>
      </c>
      <c r="L60" s="27">
        <v>2.9919761</v>
      </c>
      <c r="M60" s="27" t="s">
        <v>200</v>
      </c>
      <c r="N60" s="27">
        <v>3.4134617</v>
      </c>
      <c r="O60" s="27" t="s">
        <v>200</v>
      </c>
      <c r="P60" s="27">
        <v>3.3086994000000001</v>
      </c>
      <c r="Q60" s="27" t="s">
        <v>200</v>
      </c>
      <c r="R60" s="27">
        <v>2.9329128999999998</v>
      </c>
      <c r="S60" s="27" t="s">
        <v>200</v>
      </c>
      <c r="T60" s="27">
        <v>2.0427542999999999</v>
      </c>
      <c r="U60" s="27" t="s">
        <v>200</v>
      </c>
      <c r="V60" s="27">
        <v>1.5267949999999999</v>
      </c>
      <c r="W60" s="27" t="s">
        <v>200</v>
      </c>
      <c r="X60" s="27">
        <v>1.0752436000000001</v>
      </c>
      <c r="Y60" s="27" t="s">
        <v>200</v>
      </c>
      <c r="Z60" s="27">
        <v>0.79986459999999993</v>
      </c>
    </row>
    <row r="61" spans="1:26">
      <c r="A61" s="27" t="s">
        <v>203</v>
      </c>
      <c r="B61" s="27" t="s">
        <v>281</v>
      </c>
      <c r="C61" s="27" t="s">
        <v>198</v>
      </c>
      <c r="D61" s="27" t="s">
        <v>1165</v>
      </c>
      <c r="E61" s="27" t="s">
        <v>78</v>
      </c>
      <c r="F61" s="27" t="s">
        <v>200</v>
      </c>
      <c r="G61" s="27">
        <v>6.2130999999999998</v>
      </c>
      <c r="H61" s="27">
        <v>6.5861000000000001</v>
      </c>
      <c r="I61" s="27">
        <v>6.0472000000000001</v>
      </c>
      <c r="J61" s="27">
        <v>5.5083000000000002</v>
      </c>
      <c r="K61" s="27">
        <v>2.5024999999999999</v>
      </c>
      <c r="L61" s="27">
        <v>2.1962999999999999</v>
      </c>
      <c r="M61" s="27">
        <v>2.0865999999999998</v>
      </c>
      <c r="N61" s="27">
        <v>1.9769000000000001</v>
      </c>
      <c r="O61" s="27">
        <v>1.8208</v>
      </c>
      <c r="P61" s="27">
        <v>1.6646000000000001</v>
      </c>
      <c r="Q61" s="27">
        <v>1.6034999999999999</v>
      </c>
      <c r="R61" s="27">
        <v>1.5424</v>
      </c>
      <c r="S61" s="27" t="s">
        <v>200</v>
      </c>
      <c r="T61" s="27">
        <v>1.4859</v>
      </c>
      <c r="U61" s="27" t="s">
        <v>200</v>
      </c>
      <c r="V61" s="27">
        <v>1.3451</v>
      </c>
      <c r="W61" s="27" t="s">
        <v>200</v>
      </c>
      <c r="X61" s="27">
        <v>1.1746000000000001</v>
      </c>
      <c r="Y61" s="27" t="s">
        <v>200</v>
      </c>
      <c r="Z61" s="27">
        <v>0.99319999999999997</v>
      </c>
    </row>
    <row r="62" spans="1:26">
      <c r="A62" s="27" t="s">
        <v>282</v>
      </c>
      <c r="B62" s="27" t="s">
        <v>283</v>
      </c>
      <c r="C62" s="27" t="s">
        <v>198</v>
      </c>
      <c r="D62" s="27" t="s">
        <v>1165</v>
      </c>
      <c r="E62" s="27" t="s">
        <v>78</v>
      </c>
      <c r="F62" s="27" t="s">
        <v>200</v>
      </c>
      <c r="G62" s="27" t="s">
        <v>200</v>
      </c>
      <c r="H62" s="27">
        <v>7.582426236695027</v>
      </c>
      <c r="I62" s="27">
        <v>8.4544196886986835</v>
      </c>
      <c r="J62" s="27">
        <v>8.1445480351044779</v>
      </c>
      <c r="K62" s="27" t="s">
        <v>200</v>
      </c>
      <c r="L62" s="27">
        <v>2.6398425440979878</v>
      </c>
      <c r="M62" s="27" t="s">
        <v>200</v>
      </c>
      <c r="N62" s="27">
        <v>2.2926662729788418</v>
      </c>
      <c r="O62" s="27" t="s">
        <v>200</v>
      </c>
      <c r="P62" s="27">
        <v>1.478462011825487</v>
      </c>
      <c r="Q62" s="27" t="s">
        <v>200</v>
      </c>
      <c r="R62" s="27">
        <v>1.0144609775763671</v>
      </c>
      <c r="S62" s="27" t="s">
        <v>200</v>
      </c>
      <c r="T62" s="27">
        <v>0.56903920882024961</v>
      </c>
      <c r="U62" s="27" t="s">
        <v>200</v>
      </c>
      <c r="V62" s="27">
        <v>0.45172019634054361</v>
      </c>
      <c r="W62" s="27" t="s">
        <v>200</v>
      </c>
      <c r="X62" s="27">
        <v>0.37934539202118561</v>
      </c>
      <c r="Y62" s="27" t="s">
        <v>200</v>
      </c>
      <c r="Z62" s="27">
        <v>0.31923437388563908</v>
      </c>
    </row>
    <row r="63" spans="1:26">
      <c r="A63" s="27" t="s">
        <v>203</v>
      </c>
      <c r="B63" s="27" t="s">
        <v>284</v>
      </c>
      <c r="C63" s="27" t="s">
        <v>198</v>
      </c>
      <c r="D63" s="27" t="s">
        <v>1165</v>
      </c>
      <c r="E63" s="27" t="s">
        <v>78</v>
      </c>
      <c r="F63" s="27" t="s">
        <v>200</v>
      </c>
      <c r="G63" s="27">
        <v>6.2130999999999998</v>
      </c>
      <c r="H63" s="27">
        <v>6.5861000000000001</v>
      </c>
      <c r="I63" s="27">
        <v>6.0472000000000001</v>
      </c>
      <c r="J63" s="27">
        <v>5.5083000000000002</v>
      </c>
      <c r="K63" s="27">
        <v>4.2992999999999997</v>
      </c>
      <c r="L63" s="27">
        <v>3.0001000000000002</v>
      </c>
      <c r="M63" s="27">
        <v>2.5377999999999998</v>
      </c>
      <c r="N63" s="27">
        <v>2.0754999999999999</v>
      </c>
      <c r="O63" s="27">
        <v>1.9309000000000001</v>
      </c>
      <c r="P63" s="27">
        <v>1.7864</v>
      </c>
      <c r="Q63" s="27">
        <v>1.7093</v>
      </c>
      <c r="R63" s="27">
        <v>1.6322000000000001</v>
      </c>
      <c r="S63" s="27" t="s">
        <v>200</v>
      </c>
      <c r="T63" s="27">
        <v>1.4718</v>
      </c>
      <c r="U63" s="27" t="s">
        <v>200</v>
      </c>
      <c r="V63" s="27">
        <v>1.3017000000000001</v>
      </c>
      <c r="W63" s="27" t="s">
        <v>200</v>
      </c>
      <c r="X63" s="27">
        <v>1.6983999999999999</v>
      </c>
      <c r="Y63" s="27" t="s">
        <v>200</v>
      </c>
      <c r="Z63" s="27">
        <v>2.7949999999999999</v>
      </c>
    </row>
    <row r="64" spans="1:26">
      <c r="A64" s="27" t="s">
        <v>203</v>
      </c>
      <c r="B64" s="27" t="s">
        <v>285</v>
      </c>
      <c r="C64" s="27" t="s">
        <v>198</v>
      </c>
      <c r="D64" s="27" t="s">
        <v>1165</v>
      </c>
      <c r="E64" s="27" t="s">
        <v>78</v>
      </c>
      <c r="F64" s="27" t="s">
        <v>200</v>
      </c>
      <c r="G64" s="27">
        <v>6.2130999999999998</v>
      </c>
      <c r="H64" s="27">
        <v>6.5861000000000001</v>
      </c>
      <c r="I64" s="27">
        <v>6.0472000000000001</v>
      </c>
      <c r="J64" s="27">
        <v>5.5083000000000002</v>
      </c>
      <c r="K64" s="27">
        <v>4.2992999999999997</v>
      </c>
      <c r="L64" s="27">
        <v>3.0001000000000002</v>
      </c>
      <c r="M64" s="27">
        <v>2.5377999999999998</v>
      </c>
      <c r="N64" s="27">
        <v>2.0754999999999999</v>
      </c>
      <c r="O64" s="27">
        <v>1.9309000000000001</v>
      </c>
      <c r="P64" s="27">
        <v>1.7864</v>
      </c>
      <c r="Q64" s="27">
        <v>1.7093</v>
      </c>
      <c r="R64" s="27">
        <v>1.6322000000000001</v>
      </c>
      <c r="S64" s="27" t="s">
        <v>200</v>
      </c>
      <c r="T64" s="27">
        <v>1.4718</v>
      </c>
      <c r="U64" s="27" t="s">
        <v>200</v>
      </c>
      <c r="V64" s="27">
        <v>1.3017000000000001</v>
      </c>
      <c r="W64" s="27" t="s">
        <v>200</v>
      </c>
      <c r="X64" s="27">
        <v>1.6983999999999999</v>
      </c>
      <c r="Y64" s="27" t="s">
        <v>200</v>
      </c>
      <c r="Z64" s="27">
        <v>2.7949999999999999</v>
      </c>
    </row>
    <row r="65" spans="1:26">
      <c r="A65" s="27" t="s">
        <v>196</v>
      </c>
      <c r="B65" s="27" t="s">
        <v>286</v>
      </c>
      <c r="C65" s="27" t="s">
        <v>198</v>
      </c>
      <c r="D65" s="27" t="s">
        <v>1165</v>
      </c>
      <c r="E65" s="27" t="s">
        <v>78</v>
      </c>
      <c r="F65" s="27" t="s">
        <v>200</v>
      </c>
      <c r="G65" s="27">
        <v>6.2130999999999998</v>
      </c>
      <c r="H65" s="27">
        <v>6.5861000000000001</v>
      </c>
      <c r="I65" s="27">
        <v>6.0472000000000001</v>
      </c>
      <c r="J65" s="27">
        <v>5.5083000000000002</v>
      </c>
      <c r="K65" s="27">
        <v>2.5024999999999999</v>
      </c>
      <c r="L65" s="27">
        <v>2.1962999999999999</v>
      </c>
      <c r="M65" s="27">
        <v>2.0865999999999998</v>
      </c>
      <c r="N65" s="27">
        <v>1.9769000000000001</v>
      </c>
      <c r="O65" s="27">
        <v>1.8208</v>
      </c>
      <c r="P65" s="27">
        <v>1.6646000000000001</v>
      </c>
      <c r="Q65" s="27">
        <v>1.6034999999999999</v>
      </c>
      <c r="R65" s="27">
        <v>1.5424</v>
      </c>
      <c r="S65" s="27" t="s">
        <v>200</v>
      </c>
      <c r="T65" s="27">
        <v>1.4859</v>
      </c>
      <c r="U65" s="27" t="s">
        <v>200</v>
      </c>
      <c r="V65" s="27">
        <v>1.3451</v>
      </c>
      <c r="W65" s="27" t="s">
        <v>200</v>
      </c>
      <c r="X65" s="27">
        <v>1.1746000000000001</v>
      </c>
      <c r="Y65" s="27" t="s">
        <v>200</v>
      </c>
      <c r="Z65" s="27">
        <v>0.99319999999999997</v>
      </c>
    </row>
    <row r="66" spans="1:26">
      <c r="A66" s="27" t="s">
        <v>207</v>
      </c>
      <c r="B66" s="27" t="s">
        <v>202</v>
      </c>
      <c r="C66" s="27" t="s">
        <v>198</v>
      </c>
      <c r="D66" s="27" t="s">
        <v>1165</v>
      </c>
      <c r="E66" s="27" t="s">
        <v>78</v>
      </c>
      <c r="F66" s="27">
        <v>5.3232708460200229</v>
      </c>
      <c r="G66" s="27">
        <v>5.9622831950036934</v>
      </c>
      <c r="H66" s="27">
        <v>7.5824262366950279</v>
      </c>
      <c r="I66" s="27">
        <v>8.4461867936383541</v>
      </c>
      <c r="J66" s="27">
        <v>7.3949896119628491</v>
      </c>
      <c r="K66" s="27">
        <v>3.084593080269868</v>
      </c>
      <c r="L66" s="27">
        <v>3.1590861266002581</v>
      </c>
      <c r="M66" s="27">
        <v>3.48055114332699</v>
      </c>
      <c r="N66" s="27">
        <v>3.6425667208368631</v>
      </c>
      <c r="O66" s="27">
        <v>3.7278717869812761</v>
      </c>
      <c r="P66" s="27">
        <v>3.6242213369233012</v>
      </c>
      <c r="Q66" s="27">
        <v>3.4177205208205499</v>
      </c>
      <c r="R66" s="27">
        <v>2.8902539597996442</v>
      </c>
      <c r="S66" s="27" t="s">
        <v>200</v>
      </c>
      <c r="T66" s="27">
        <v>2.2369248342032551</v>
      </c>
      <c r="U66" s="27" t="s">
        <v>200</v>
      </c>
      <c r="V66" s="27">
        <v>1.800186240204279</v>
      </c>
      <c r="W66" s="27" t="s">
        <v>200</v>
      </c>
      <c r="X66" s="27">
        <v>1.3488681878559989</v>
      </c>
      <c r="Y66" s="27" t="s">
        <v>200</v>
      </c>
      <c r="Z66" s="27">
        <v>1.0037318569241289</v>
      </c>
    </row>
    <row r="67" spans="1:26">
      <c r="A67" s="27" t="s">
        <v>207</v>
      </c>
      <c r="B67" s="27" t="s">
        <v>273</v>
      </c>
      <c r="C67" s="27" t="s">
        <v>198</v>
      </c>
      <c r="D67" s="27" t="s">
        <v>1165</v>
      </c>
      <c r="E67" s="27" t="s">
        <v>78</v>
      </c>
      <c r="F67" s="27" t="s">
        <v>200</v>
      </c>
      <c r="G67" s="27" t="s">
        <v>200</v>
      </c>
      <c r="H67" s="27">
        <v>7.582426237</v>
      </c>
      <c r="I67" s="27">
        <v>8.4461867940000008</v>
      </c>
      <c r="J67" s="27">
        <v>7.3949896150000001</v>
      </c>
      <c r="K67" s="27">
        <v>3.0699453750000001</v>
      </c>
      <c r="L67" s="27">
        <v>3.2011196389999999</v>
      </c>
      <c r="M67" s="27">
        <v>3.5776086079999998</v>
      </c>
      <c r="N67" s="27">
        <v>3.7486517749999999</v>
      </c>
      <c r="O67" s="27">
        <v>3.8912510849999999</v>
      </c>
      <c r="P67" s="27">
        <v>3.6981354710000001</v>
      </c>
      <c r="Q67" s="27">
        <v>3.3620376799999998</v>
      </c>
      <c r="R67" s="27">
        <v>2.8301752929999999</v>
      </c>
      <c r="S67" s="27" t="s">
        <v>200</v>
      </c>
      <c r="T67" s="27">
        <v>2.1705603459999998</v>
      </c>
      <c r="U67" s="27" t="s">
        <v>200</v>
      </c>
      <c r="V67" s="27">
        <v>1.741958058</v>
      </c>
      <c r="W67" s="27" t="s">
        <v>200</v>
      </c>
      <c r="X67" s="27">
        <v>1.313227597</v>
      </c>
      <c r="Y67" s="27" t="s">
        <v>200</v>
      </c>
      <c r="Z67" s="27">
        <v>0.96843929799999995</v>
      </c>
    </row>
    <row r="68" spans="1:26">
      <c r="A68" s="27" t="s">
        <v>247</v>
      </c>
      <c r="B68" s="27" t="s">
        <v>288</v>
      </c>
      <c r="C68" s="27" t="s">
        <v>198</v>
      </c>
      <c r="D68" s="27" t="s">
        <v>1165</v>
      </c>
      <c r="E68" s="27" t="s">
        <v>78</v>
      </c>
      <c r="F68" s="27" t="s">
        <v>200</v>
      </c>
      <c r="G68" s="27" t="s">
        <v>200</v>
      </c>
      <c r="H68" s="27">
        <v>4.8475680356744402</v>
      </c>
      <c r="I68" s="27" t="s">
        <v>200</v>
      </c>
      <c r="J68" s="27">
        <v>2.2188123017360799</v>
      </c>
      <c r="K68" s="27" t="s">
        <v>200</v>
      </c>
      <c r="L68" s="27">
        <v>0.26777998645358297</v>
      </c>
      <c r="M68" s="27" t="s">
        <v>200</v>
      </c>
      <c r="N68" s="27">
        <v>0.23589957568981801</v>
      </c>
      <c r="O68" s="27" t="s">
        <v>200</v>
      </c>
      <c r="P68" s="27">
        <v>0.123963281499023</v>
      </c>
      <c r="Q68" s="27" t="s">
        <v>200</v>
      </c>
      <c r="R68" s="27">
        <v>9.4367765077789004E-2</v>
      </c>
      <c r="S68" s="27" t="s">
        <v>200</v>
      </c>
      <c r="T68" s="27">
        <v>7.4375118775360002E-2</v>
      </c>
      <c r="U68" s="27" t="s">
        <v>200</v>
      </c>
      <c r="V68" s="27">
        <v>5.6062739287001999E-2</v>
      </c>
      <c r="W68" s="27" t="s">
        <v>200</v>
      </c>
      <c r="X68" s="27">
        <v>3.4136888431167002E-2</v>
      </c>
      <c r="Y68" s="27" t="s">
        <v>200</v>
      </c>
      <c r="Z68" s="27">
        <v>8.6696834760978999E-3</v>
      </c>
    </row>
    <row r="69" spans="1:26">
      <c r="A69" s="27" t="s">
        <v>211</v>
      </c>
      <c r="B69" s="27" t="s">
        <v>256</v>
      </c>
      <c r="C69" s="27" t="s">
        <v>198</v>
      </c>
      <c r="D69" s="27" t="s">
        <v>1165</v>
      </c>
      <c r="E69" s="27" t="s">
        <v>78</v>
      </c>
      <c r="F69" s="27" t="s">
        <v>200</v>
      </c>
      <c r="G69" s="27">
        <v>5.9619552000000002</v>
      </c>
      <c r="H69" s="27">
        <v>7.584025200000001</v>
      </c>
      <c r="I69" s="27" t="s">
        <v>200</v>
      </c>
      <c r="J69" s="27">
        <v>6.1713835000000001</v>
      </c>
      <c r="K69" s="27" t="s">
        <v>200</v>
      </c>
      <c r="L69" s="27">
        <v>2.7994029</v>
      </c>
      <c r="M69" s="27" t="s">
        <v>200</v>
      </c>
      <c r="N69" s="27">
        <v>3.8796932999999991</v>
      </c>
      <c r="O69" s="27" t="s">
        <v>200</v>
      </c>
      <c r="P69" s="27">
        <v>3.5522288</v>
      </c>
      <c r="Q69" s="27" t="s">
        <v>200</v>
      </c>
      <c r="R69" s="27">
        <v>2.8109964999999999</v>
      </c>
      <c r="S69" s="27" t="s">
        <v>200</v>
      </c>
      <c r="T69" s="27">
        <v>1.9443089</v>
      </c>
      <c r="U69" s="27" t="s">
        <v>200</v>
      </c>
      <c r="V69" s="27">
        <v>1.4493526000000001</v>
      </c>
      <c r="W69" s="27" t="s">
        <v>200</v>
      </c>
      <c r="X69" s="27">
        <v>1.0063462999999999</v>
      </c>
      <c r="Y69" s="27" t="s">
        <v>200</v>
      </c>
      <c r="Z69" s="27">
        <v>0.7698098000000001</v>
      </c>
    </row>
    <row r="70" spans="1:26">
      <c r="A70" s="27" t="s">
        <v>196</v>
      </c>
      <c r="B70" s="27" t="s">
        <v>267</v>
      </c>
      <c r="C70" s="27" t="s">
        <v>198</v>
      </c>
      <c r="D70" s="27" t="s">
        <v>1165</v>
      </c>
      <c r="E70" s="27" t="s">
        <v>78</v>
      </c>
      <c r="F70" s="27" t="s">
        <v>200</v>
      </c>
      <c r="G70" s="27">
        <v>6.2130999999999998</v>
      </c>
      <c r="H70" s="27">
        <v>6.5861000000000001</v>
      </c>
      <c r="I70" s="27">
        <v>6.0472000000000001</v>
      </c>
      <c r="J70" s="27">
        <v>5.5083000000000002</v>
      </c>
      <c r="K70" s="27">
        <v>2.5024999999999999</v>
      </c>
      <c r="L70" s="27">
        <v>2.1962999999999999</v>
      </c>
      <c r="M70" s="27">
        <v>2.0865999999999998</v>
      </c>
      <c r="N70" s="27">
        <v>1.9769000000000001</v>
      </c>
      <c r="O70" s="27">
        <v>1.8208</v>
      </c>
      <c r="P70" s="27">
        <v>1.6646000000000001</v>
      </c>
      <c r="Q70" s="27">
        <v>1.6034999999999999</v>
      </c>
      <c r="R70" s="27">
        <v>1.5424</v>
      </c>
      <c r="S70" s="27" t="s">
        <v>200</v>
      </c>
      <c r="T70" s="27">
        <v>1.4859</v>
      </c>
      <c r="U70" s="27" t="s">
        <v>200</v>
      </c>
      <c r="V70" s="27">
        <v>1.3451</v>
      </c>
      <c r="W70" s="27" t="s">
        <v>200</v>
      </c>
      <c r="X70" s="27">
        <v>1.1746000000000001</v>
      </c>
      <c r="Y70" s="27" t="s">
        <v>200</v>
      </c>
      <c r="Z70" s="27">
        <v>0.99319999999999997</v>
      </c>
    </row>
    <row r="71" spans="1:26">
      <c r="A71" s="27" t="s">
        <v>207</v>
      </c>
      <c r="B71" s="27" t="s">
        <v>201</v>
      </c>
      <c r="C71" s="27" t="s">
        <v>198</v>
      </c>
      <c r="D71" s="27" t="s">
        <v>1165</v>
      </c>
      <c r="E71" s="27" t="s">
        <v>78</v>
      </c>
      <c r="F71" s="27" t="s">
        <v>200</v>
      </c>
      <c r="G71" s="27" t="s">
        <v>200</v>
      </c>
      <c r="H71" s="27">
        <v>7.582426237</v>
      </c>
      <c r="I71" s="27">
        <v>8.4461867940000008</v>
      </c>
      <c r="J71" s="27">
        <v>7.3949896150000001</v>
      </c>
      <c r="K71" s="27">
        <v>3.0932033059999999</v>
      </c>
      <c r="L71" s="27">
        <v>3.1443721180000002</v>
      </c>
      <c r="M71" s="27">
        <v>3.4367043220000002</v>
      </c>
      <c r="N71" s="27">
        <v>3.5933605100000001</v>
      </c>
      <c r="O71" s="27">
        <v>3.6511830839999999</v>
      </c>
      <c r="P71" s="27">
        <v>3.538833672</v>
      </c>
      <c r="Q71" s="27">
        <v>3.4013804240000001</v>
      </c>
      <c r="R71" s="27">
        <v>2.878687019</v>
      </c>
      <c r="S71" s="27" t="s">
        <v>200</v>
      </c>
      <c r="T71" s="27">
        <v>2.3195941809999998</v>
      </c>
      <c r="U71" s="27" t="s">
        <v>200</v>
      </c>
      <c r="V71" s="27">
        <v>1.8826449270000001</v>
      </c>
      <c r="W71" s="27" t="s">
        <v>200</v>
      </c>
      <c r="X71" s="27">
        <v>1.4019157099999999</v>
      </c>
      <c r="Y71" s="27" t="s">
        <v>200</v>
      </c>
      <c r="Z71" s="27">
        <v>1.03430383</v>
      </c>
    </row>
    <row r="72" spans="1:26">
      <c r="A72" s="27" t="s">
        <v>196</v>
      </c>
      <c r="B72" s="27" t="s">
        <v>289</v>
      </c>
      <c r="C72" s="27" t="s">
        <v>198</v>
      </c>
      <c r="D72" s="27" t="s">
        <v>1165</v>
      </c>
      <c r="E72" s="27" t="s">
        <v>78</v>
      </c>
      <c r="F72" s="27" t="s">
        <v>200</v>
      </c>
      <c r="G72" s="27">
        <v>6.2130999999999998</v>
      </c>
      <c r="H72" s="27">
        <v>6.5861000000000001</v>
      </c>
      <c r="I72" s="27">
        <v>6.9977999999999998</v>
      </c>
      <c r="J72" s="27">
        <v>7.4093999999999998</v>
      </c>
      <c r="K72" s="27">
        <v>4.2992999999999997</v>
      </c>
      <c r="L72" s="27">
        <v>3.0001000000000002</v>
      </c>
      <c r="M72" s="27">
        <v>2.5377999999999998</v>
      </c>
      <c r="N72" s="27">
        <v>2.0754999999999999</v>
      </c>
      <c r="O72" s="27">
        <v>1.9309000000000001</v>
      </c>
      <c r="P72" s="27">
        <v>1.7864</v>
      </c>
      <c r="Q72" s="27">
        <v>1.7093</v>
      </c>
      <c r="R72" s="27">
        <v>1.6322000000000001</v>
      </c>
      <c r="S72" s="27" t="s">
        <v>200</v>
      </c>
      <c r="T72" s="27">
        <v>1.4718</v>
      </c>
      <c r="U72" s="27" t="s">
        <v>200</v>
      </c>
      <c r="V72" s="27">
        <v>1.3017000000000001</v>
      </c>
      <c r="W72" s="27" t="s">
        <v>200</v>
      </c>
      <c r="X72" s="27">
        <v>1.6983999999999999</v>
      </c>
      <c r="Y72" s="27" t="s">
        <v>200</v>
      </c>
      <c r="Z72" s="27">
        <v>2.7949999999999999</v>
      </c>
    </row>
    <row r="73" spans="1:26">
      <c r="A73" s="27" t="s">
        <v>233</v>
      </c>
      <c r="B73" s="27" t="s">
        <v>230</v>
      </c>
      <c r="C73" s="27" t="s">
        <v>198</v>
      </c>
      <c r="D73" s="27" t="s">
        <v>1165</v>
      </c>
      <c r="E73" s="27" t="s">
        <v>78</v>
      </c>
      <c r="F73" s="27" t="s">
        <v>200</v>
      </c>
      <c r="G73" s="27" t="s">
        <v>200</v>
      </c>
      <c r="H73" s="27">
        <v>7.0439999999999996</v>
      </c>
      <c r="I73" s="27">
        <v>6.8465999999999978</v>
      </c>
      <c r="J73" s="27">
        <v>6.5286999034755997</v>
      </c>
      <c r="K73" s="27">
        <v>4.7972498177785656</v>
      </c>
      <c r="L73" s="27">
        <v>4.938454377282925</v>
      </c>
      <c r="M73" s="27">
        <v>4.7545007971309543</v>
      </c>
      <c r="N73" s="27">
        <v>4.413489721598415</v>
      </c>
      <c r="O73" s="27">
        <v>3.9808967778758202</v>
      </c>
      <c r="P73" s="27">
        <v>3.609158195904306</v>
      </c>
      <c r="Q73" s="27">
        <v>3.361134923409284</v>
      </c>
      <c r="R73" s="27">
        <v>3.184342974863696</v>
      </c>
      <c r="S73" s="27">
        <v>3.0093957635162609</v>
      </c>
      <c r="T73" s="27">
        <v>2.866961513006109</v>
      </c>
      <c r="U73" s="27">
        <v>2.723780609130285</v>
      </c>
      <c r="V73" s="27">
        <v>2.5677098266156371</v>
      </c>
      <c r="W73" s="27">
        <v>2.3969316955701769</v>
      </c>
      <c r="X73" s="27">
        <v>2.2330051963806219</v>
      </c>
      <c r="Y73" s="27">
        <v>2.01502467022849</v>
      </c>
      <c r="Z73" s="27">
        <v>1.7976930856219171</v>
      </c>
    </row>
    <row r="74" spans="1:26">
      <c r="A74" s="27" t="s">
        <v>261</v>
      </c>
      <c r="B74" s="27" t="s">
        <v>292</v>
      </c>
      <c r="C74" s="27" t="s">
        <v>198</v>
      </c>
      <c r="D74" s="27" t="s">
        <v>1165</v>
      </c>
      <c r="E74" s="27" t="s">
        <v>78</v>
      </c>
      <c r="F74" s="27" t="s">
        <v>200</v>
      </c>
      <c r="G74" s="27">
        <v>6.2299561500549316</v>
      </c>
      <c r="H74" s="27">
        <v>6.6060690879821777</v>
      </c>
      <c r="I74" s="27">
        <v>6.9869890213012704</v>
      </c>
      <c r="J74" s="27">
        <v>7.4358057975769043</v>
      </c>
      <c r="K74" s="27">
        <v>4.9823927879333496</v>
      </c>
      <c r="L74" s="27">
        <v>2.5591061115264888</v>
      </c>
      <c r="M74" s="27">
        <v>2.1625990867614751</v>
      </c>
      <c r="N74" s="27">
        <v>2.0207910537719731</v>
      </c>
      <c r="O74" s="27">
        <v>1.8758670091629031</v>
      </c>
      <c r="P74" s="27">
        <v>1.722043037414551</v>
      </c>
      <c r="Q74" s="27">
        <v>1.62972104549408</v>
      </c>
      <c r="R74" s="27">
        <v>1.6180180311203001</v>
      </c>
      <c r="S74" s="27">
        <v>1.5999079942703249</v>
      </c>
      <c r="T74" s="27">
        <v>1.570981979370117</v>
      </c>
      <c r="U74" s="27">
        <v>1.506497979164124</v>
      </c>
      <c r="V74" s="27">
        <v>1.4289330244064331</v>
      </c>
      <c r="W74" s="27">
        <v>1.3456159830093379</v>
      </c>
      <c r="X74" s="27">
        <v>1.2595870494842529</v>
      </c>
      <c r="Y74" s="27">
        <v>1.1731729507446289</v>
      </c>
      <c r="Z74" s="27">
        <v>1.079303979873657</v>
      </c>
    </row>
    <row r="75" spans="1:26">
      <c r="A75" s="27" t="s">
        <v>261</v>
      </c>
      <c r="B75" s="27" t="s">
        <v>293</v>
      </c>
      <c r="C75" s="27" t="s">
        <v>198</v>
      </c>
      <c r="D75" s="27" t="s">
        <v>1165</v>
      </c>
      <c r="E75" s="27" t="s">
        <v>78</v>
      </c>
      <c r="F75" s="27" t="s">
        <v>200</v>
      </c>
      <c r="G75" s="27">
        <v>6.2299561500549316</v>
      </c>
      <c r="H75" s="27">
        <v>6.6060690879821777</v>
      </c>
      <c r="I75" s="27">
        <v>6.9869890213012704</v>
      </c>
      <c r="J75" s="27">
        <v>7.4358057975769043</v>
      </c>
      <c r="K75" s="27">
        <v>4.9714350700378418</v>
      </c>
      <c r="L75" s="27">
        <v>2.614595890045166</v>
      </c>
      <c r="M75" s="27">
        <v>2.2130498886108398</v>
      </c>
      <c r="N75" s="27">
        <v>2.1104400157928471</v>
      </c>
      <c r="O75" s="27">
        <v>1.9857280254364009</v>
      </c>
      <c r="P75" s="27">
        <v>1.8477979898452761</v>
      </c>
      <c r="Q75" s="27">
        <v>1.758015990257263</v>
      </c>
      <c r="R75" s="27">
        <v>1.703313946723938</v>
      </c>
      <c r="S75" s="27">
        <v>1.633339047431946</v>
      </c>
      <c r="T75" s="27">
        <v>1.552453994750977</v>
      </c>
      <c r="U75" s="27">
        <v>1.469885945320129</v>
      </c>
      <c r="V75" s="27">
        <v>1.3797650337219241</v>
      </c>
      <c r="W75" s="27">
        <v>1.2799960374832151</v>
      </c>
      <c r="X75" s="27">
        <v>1.1596499681472781</v>
      </c>
      <c r="Y75" s="27">
        <v>1.0401860475540159</v>
      </c>
      <c r="Z75" s="27">
        <v>0.92155462503433239</v>
      </c>
    </row>
    <row r="76" spans="1:26">
      <c r="A76" s="27" t="s">
        <v>196</v>
      </c>
      <c r="B76" s="27" t="s">
        <v>280</v>
      </c>
      <c r="C76" s="27" t="s">
        <v>198</v>
      </c>
      <c r="D76" s="27" t="s">
        <v>1165</v>
      </c>
      <c r="E76" s="27" t="s">
        <v>78</v>
      </c>
      <c r="F76" s="27" t="s">
        <v>200</v>
      </c>
      <c r="G76" s="27">
        <v>6.2130999999999998</v>
      </c>
      <c r="H76" s="27">
        <v>6.5861000000000001</v>
      </c>
      <c r="I76" s="27">
        <v>6.0472000000000001</v>
      </c>
      <c r="J76" s="27">
        <v>5.5083000000000002</v>
      </c>
      <c r="K76" s="27">
        <v>2.5024999999999999</v>
      </c>
      <c r="L76" s="27">
        <v>2.1962999999999999</v>
      </c>
      <c r="M76" s="27">
        <v>2.0865999999999998</v>
      </c>
      <c r="N76" s="27">
        <v>1.9769000000000001</v>
      </c>
      <c r="O76" s="27">
        <v>1.8208</v>
      </c>
      <c r="P76" s="27">
        <v>1.6646000000000001</v>
      </c>
      <c r="Q76" s="27">
        <v>1.6034999999999999</v>
      </c>
      <c r="R76" s="27">
        <v>1.5424</v>
      </c>
      <c r="S76" s="27" t="s">
        <v>200</v>
      </c>
      <c r="T76" s="27">
        <v>1.4859</v>
      </c>
      <c r="U76" s="27" t="s">
        <v>200</v>
      </c>
      <c r="V76" s="27">
        <v>1.3451</v>
      </c>
      <c r="W76" s="27" t="s">
        <v>200</v>
      </c>
      <c r="X76" s="27">
        <v>1.1746000000000001</v>
      </c>
      <c r="Y76" s="27" t="s">
        <v>200</v>
      </c>
      <c r="Z76" s="27">
        <v>0.99319999999999997</v>
      </c>
    </row>
    <row r="77" spans="1:26">
      <c r="A77" s="27" t="s">
        <v>218</v>
      </c>
      <c r="B77" s="27" t="s">
        <v>294</v>
      </c>
      <c r="C77" s="27" t="s">
        <v>198</v>
      </c>
      <c r="D77" s="27" t="s">
        <v>1165</v>
      </c>
      <c r="E77" s="27" t="s">
        <v>78</v>
      </c>
      <c r="F77" s="27" t="s">
        <v>200</v>
      </c>
      <c r="G77" s="27">
        <v>6.23</v>
      </c>
      <c r="H77" s="27">
        <v>6.6060999999999996</v>
      </c>
      <c r="I77" s="27">
        <v>7.0209000000000001</v>
      </c>
      <c r="J77" s="27">
        <v>7.4358000000000004</v>
      </c>
      <c r="K77" s="27">
        <v>2.5164</v>
      </c>
      <c r="L77" s="27">
        <v>2.2103999999999999</v>
      </c>
      <c r="M77" s="27">
        <v>2.1038999999999999</v>
      </c>
      <c r="N77" s="27">
        <v>1.9973000000000001</v>
      </c>
      <c r="O77" s="27">
        <v>1.8446</v>
      </c>
      <c r="P77" s="27">
        <v>1.6919</v>
      </c>
      <c r="Q77" s="27">
        <v>1.6359999999999999</v>
      </c>
      <c r="R77" s="27">
        <v>1.5802</v>
      </c>
      <c r="S77" s="27" t="s">
        <v>200</v>
      </c>
      <c r="T77" s="27">
        <v>1.5381</v>
      </c>
      <c r="U77" s="27" t="s">
        <v>200</v>
      </c>
      <c r="V77" s="27">
        <v>1.4132</v>
      </c>
      <c r="W77" s="27" t="s">
        <v>200</v>
      </c>
      <c r="X77" s="27">
        <v>1.2579</v>
      </c>
      <c r="Y77" s="27" t="s">
        <v>200</v>
      </c>
      <c r="Z77" s="27">
        <v>1.0623</v>
      </c>
    </row>
    <row r="78" spans="1:26">
      <c r="A78" s="27" t="s">
        <v>261</v>
      </c>
      <c r="B78" s="27" t="s">
        <v>295</v>
      </c>
      <c r="C78" s="27" t="s">
        <v>198</v>
      </c>
      <c r="D78" s="27" t="s">
        <v>1165</v>
      </c>
      <c r="E78" s="27" t="s">
        <v>78</v>
      </c>
      <c r="F78" s="27" t="s">
        <v>200</v>
      </c>
      <c r="G78" s="27">
        <v>6.2299561500549316</v>
      </c>
      <c r="H78" s="27">
        <v>6.6060690879821777</v>
      </c>
      <c r="I78" s="27">
        <v>6.9869890213012704</v>
      </c>
      <c r="J78" s="27">
        <v>7.4358057975769043</v>
      </c>
      <c r="K78" s="27">
        <v>4.5142560005187988</v>
      </c>
      <c r="L78" s="27">
        <v>2.4687139987945561</v>
      </c>
      <c r="M78" s="27">
        <v>2.1625990867614751</v>
      </c>
      <c r="N78" s="27">
        <v>2.0207910537719731</v>
      </c>
      <c r="O78" s="27">
        <v>1.8758670091629031</v>
      </c>
      <c r="P78" s="27">
        <v>1.722043037414551</v>
      </c>
      <c r="Q78" s="27">
        <v>1.62972104549408</v>
      </c>
      <c r="R78" s="27">
        <v>1.6180180311203001</v>
      </c>
      <c r="S78" s="27">
        <v>1.5999079942703249</v>
      </c>
      <c r="T78" s="27">
        <v>1.570981979370117</v>
      </c>
      <c r="U78" s="27">
        <v>1.506497979164124</v>
      </c>
      <c r="V78" s="27">
        <v>1.4289330244064331</v>
      </c>
      <c r="W78" s="27">
        <v>1.3456159830093379</v>
      </c>
      <c r="X78" s="27">
        <v>1.2595870494842529</v>
      </c>
      <c r="Y78" s="27">
        <v>1.1731729507446289</v>
      </c>
      <c r="Z78" s="27">
        <v>1.079303979873657</v>
      </c>
    </row>
    <row r="79" spans="1:26">
      <c r="A79" s="27" t="s">
        <v>196</v>
      </c>
      <c r="B79" s="27" t="s">
        <v>296</v>
      </c>
      <c r="C79" s="27" t="s">
        <v>198</v>
      </c>
      <c r="D79" s="27" t="s">
        <v>1165</v>
      </c>
      <c r="E79" s="27" t="s">
        <v>78</v>
      </c>
      <c r="F79" s="27" t="s">
        <v>200</v>
      </c>
      <c r="G79" s="27">
        <v>6.2130999999999998</v>
      </c>
      <c r="H79" s="27">
        <v>6.5861000000000001</v>
      </c>
      <c r="I79" s="27">
        <v>6.0472000000000001</v>
      </c>
      <c r="J79" s="27">
        <v>5.5083000000000002</v>
      </c>
      <c r="K79" s="27">
        <v>2.5024999999999999</v>
      </c>
      <c r="L79" s="27">
        <v>2.1962999999999999</v>
      </c>
      <c r="M79" s="27">
        <v>2.0865999999999998</v>
      </c>
      <c r="N79" s="27">
        <v>1.9769000000000001</v>
      </c>
      <c r="O79" s="27">
        <v>1.8208</v>
      </c>
      <c r="P79" s="27">
        <v>1.6646000000000001</v>
      </c>
      <c r="Q79" s="27">
        <v>1.6034999999999999</v>
      </c>
      <c r="R79" s="27">
        <v>1.5424</v>
      </c>
      <c r="S79" s="27" t="s">
        <v>200</v>
      </c>
      <c r="T79" s="27">
        <v>1.4859</v>
      </c>
      <c r="U79" s="27" t="s">
        <v>200</v>
      </c>
      <c r="V79" s="27">
        <v>1.3451</v>
      </c>
      <c r="W79" s="27" t="s">
        <v>200</v>
      </c>
      <c r="X79" s="27">
        <v>1.1746000000000001</v>
      </c>
      <c r="Y79" s="27" t="s">
        <v>200</v>
      </c>
      <c r="Z79" s="27">
        <v>0.99319999999999997</v>
      </c>
    </row>
    <row r="80" spans="1:26">
      <c r="A80" s="27" t="s">
        <v>196</v>
      </c>
      <c r="B80" s="27" t="s">
        <v>297</v>
      </c>
      <c r="C80" s="27" t="s">
        <v>198</v>
      </c>
      <c r="D80" s="27" t="s">
        <v>1165</v>
      </c>
      <c r="E80" s="27" t="s">
        <v>78</v>
      </c>
      <c r="F80" s="27" t="s">
        <v>200</v>
      </c>
      <c r="G80" s="27" t="s">
        <v>200</v>
      </c>
      <c r="H80" s="27">
        <v>6.5861000000000001</v>
      </c>
      <c r="I80" s="27">
        <v>6.0472000000000001</v>
      </c>
      <c r="J80" s="27">
        <v>5.5083000000000002</v>
      </c>
      <c r="K80" s="27">
        <v>2.5024999999999999</v>
      </c>
      <c r="L80" s="27">
        <v>2.1962999999999999</v>
      </c>
      <c r="M80" s="27">
        <v>2.0865999999999998</v>
      </c>
      <c r="N80" s="27">
        <v>1.9769000000000001</v>
      </c>
      <c r="O80" s="27">
        <v>1.8208</v>
      </c>
      <c r="P80" s="27">
        <v>1.6646000000000001</v>
      </c>
      <c r="Q80" s="27">
        <v>1.6034999999999999</v>
      </c>
      <c r="R80" s="27">
        <v>1.5424</v>
      </c>
      <c r="S80" s="27" t="s">
        <v>200</v>
      </c>
      <c r="T80" s="27">
        <v>1.4859</v>
      </c>
      <c r="U80" s="27" t="s">
        <v>200</v>
      </c>
      <c r="V80" s="27">
        <v>1.3451</v>
      </c>
      <c r="W80" s="27" t="s">
        <v>200</v>
      </c>
      <c r="X80" s="27">
        <v>1.1746000000000001</v>
      </c>
      <c r="Y80" s="27" t="s">
        <v>200</v>
      </c>
      <c r="Z80" s="27">
        <v>0.99319999999999997</v>
      </c>
    </row>
    <row r="81" spans="1:26">
      <c r="A81" s="27" t="s">
        <v>244</v>
      </c>
      <c r="B81" s="27" t="s">
        <v>267</v>
      </c>
      <c r="C81" s="27" t="s">
        <v>198</v>
      </c>
      <c r="D81" s="27" t="s">
        <v>1165</v>
      </c>
      <c r="E81" s="27" t="s">
        <v>78</v>
      </c>
      <c r="F81" s="27" t="s">
        <v>200</v>
      </c>
      <c r="G81" s="27" t="s">
        <v>200</v>
      </c>
      <c r="H81" s="27" t="s">
        <v>200</v>
      </c>
      <c r="I81" s="27">
        <v>2.3806115518091442</v>
      </c>
      <c r="J81" s="27">
        <v>2.60999588469388</v>
      </c>
      <c r="K81" s="27">
        <v>0.4705685859772884</v>
      </c>
      <c r="L81" s="27">
        <v>0.60212775054211742</v>
      </c>
      <c r="M81" s="27">
        <v>0.67742311896033292</v>
      </c>
      <c r="N81" s="27">
        <v>0.74508170971386567</v>
      </c>
      <c r="O81" s="27">
        <v>0.8131501381456594</v>
      </c>
      <c r="P81" s="27">
        <v>0.88113017272709071</v>
      </c>
      <c r="Q81" s="27">
        <v>0.86382925084726492</v>
      </c>
      <c r="R81" s="27">
        <v>0.84590649339328139</v>
      </c>
      <c r="S81" s="27">
        <v>0.85331208170957129</v>
      </c>
      <c r="T81" s="27">
        <v>0.85544724593654553</v>
      </c>
      <c r="U81" s="27">
        <v>0.85310263566295208</v>
      </c>
      <c r="V81" s="27">
        <v>0.85040524211572421</v>
      </c>
      <c r="W81" s="27">
        <v>0.84287108655272736</v>
      </c>
      <c r="X81" s="27">
        <v>0.83612518231545674</v>
      </c>
      <c r="Y81" s="27">
        <v>0.82694518766424585</v>
      </c>
      <c r="Z81" s="27">
        <v>0.81693609460754968</v>
      </c>
    </row>
    <row r="82" spans="1:26">
      <c r="A82" s="27" t="s">
        <v>261</v>
      </c>
      <c r="B82" s="27" t="s">
        <v>298</v>
      </c>
      <c r="C82" s="27" t="s">
        <v>198</v>
      </c>
      <c r="D82" s="27" t="s">
        <v>1165</v>
      </c>
      <c r="E82" s="27" t="s">
        <v>78</v>
      </c>
      <c r="F82" s="27" t="s">
        <v>200</v>
      </c>
      <c r="G82" s="27">
        <v>6.2299561500549316</v>
      </c>
      <c r="H82" s="27">
        <v>6.6060690879821777</v>
      </c>
      <c r="I82" s="27">
        <v>6.9869890213012704</v>
      </c>
      <c r="J82" s="27">
        <v>7.4358057975769043</v>
      </c>
      <c r="K82" s="27">
        <v>4.9714350700378418</v>
      </c>
      <c r="L82" s="27">
        <v>2.614595890045166</v>
      </c>
      <c r="M82" s="27">
        <v>2.2130498886108398</v>
      </c>
      <c r="N82" s="27">
        <v>2.1104400157928471</v>
      </c>
      <c r="O82" s="27">
        <v>1.9857280254364009</v>
      </c>
      <c r="P82" s="27">
        <v>1.8477979898452761</v>
      </c>
      <c r="Q82" s="27">
        <v>1.758015990257263</v>
      </c>
      <c r="R82" s="27">
        <v>1.703313946723938</v>
      </c>
      <c r="S82" s="27">
        <v>1.633339047431946</v>
      </c>
      <c r="T82" s="27">
        <v>1.552453994750977</v>
      </c>
      <c r="U82" s="27">
        <v>1.469885945320129</v>
      </c>
      <c r="V82" s="27">
        <v>1.3797650337219241</v>
      </c>
      <c r="W82" s="27">
        <v>1.2799960374832151</v>
      </c>
      <c r="X82" s="27">
        <v>1.1596499681472781</v>
      </c>
      <c r="Y82" s="27">
        <v>1.0401860475540159</v>
      </c>
      <c r="Z82" s="27">
        <v>0.92155462503433239</v>
      </c>
    </row>
    <row r="83" spans="1:26">
      <c r="A83" s="27" t="s">
        <v>261</v>
      </c>
      <c r="B83" s="27" t="s">
        <v>299</v>
      </c>
      <c r="C83" s="27" t="s">
        <v>198</v>
      </c>
      <c r="D83" s="27" t="s">
        <v>1165</v>
      </c>
      <c r="E83" s="27" t="s">
        <v>78</v>
      </c>
      <c r="F83" s="27" t="s">
        <v>200</v>
      </c>
      <c r="G83" s="27">
        <v>6.2299561500549316</v>
      </c>
      <c r="H83" s="27">
        <v>6.6060690879821777</v>
      </c>
      <c r="I83" s="27">
        <v>6.9869890213012704</v>
      </c>
      <c r="J83" s="27">
        <v>7.4358057975769043</v>
      </c>
      <c r="K83" s="27">
        <v>5.0639147758483887</v>
      </c>
      <c r="L83" s="27">
        <v>4.3267951011657724</v>
      </c>
      <c r="M83" s="27">
        <v>4.0128850936889648</v>
      </c>
      <c r="N83" s="27">
        <v>2.577272891998291</v>
      </c>
      <c r="O83" s="27">
        <v>1.8758670091629031</v>
      </c>
      <c r="P83" s="27">
        <v>1.722043037414551</v>
      </c>
      <c r="Q83" s="27">
        <v>1.62972104549408</v>
      </c>
      <c r="R83" s="27">
        <v>1.6180180311203001</v>
      </c>
      <c r="S83" s="27">
        <v>1.5999079942703249</v>
      </c>
      <c r="T83" s="27">
        <v>1.570981979370117</v>
      </c>
      <c r="U83" s="27">
        <v>1.506497979164124</v>
      </c>
      <c r="V83" s="27">
        <v>1.4289330244064331</v>
      </c>
      <c r="W83" s="27">
        <v>1.3456159830093379</v>
      </c>
      <c r="X83" s="27">
        <v>1.2595870494842529</v>
      </c>
      <c r="Y83" s="27">
        <v>1.1731729507446289</v>
      </c>
      <c r="Z83" s="27">
        <v>1.079303979873657</v>
      </c>
    </row>
    <row r="84" spans="1:26">
      <c r="A84" s="27" t="s">
        <v>207</v>
      </c>
      <c r="B84" s="27" t="s">
        <v>267</v>
      </c>
      <c r="C84" s="27" t="s">
        <v>198</v>
      </c>
      <c r="D84" s="27" t="s">
        <v>1165</v>
      </c>
      <c r="E84" s="27" t="s">
        <v>78</v>
      </c>
      <c r="F84" s="27">
        <v>5.3232708460200229</v>
      </c>
      <c r="G84" s="27">
        <v>5.9622831950036934</v>
      </c>
      <c r="H84" s="27">
        <v>7.5824262366950279</v>
      </c>
      <c r="I84" s="27">
        <v>8.4461867936383541</v>
      </c>
      <c r="J84" s="27">
        <v>8.7762703943198144</v>
      </c>
      <c r="K84" s="27">
        <v>3.761153989090809</v>
      </c>
      <c r="L84" s="27">
        <v>4.1313308853211694</v>
      </c>
      <c r="M84" s="27">
        <v>4.4466800264102053</v>
      </c>
      <c r="N84" s="27">
        <v>4.5556469984031116</v>
      </c>
      <c r="O84" s="27">
        <v>4.4820250071865182</v>
      </c>
      <c r="P84" s="27">
        <v>4.1653989734144261</v>
      </c>
      <c r="Q84" s="27">
        <v>3.7276616833538601</v>
      </c>
      <c r="R84" s="27">
        <v>3.2696093795157921</v>
      </c>
      <c r="S84" s="27" t="s">
        <v>200</v>
      </c>
      <c r="T84" s="27">
        <v>2.2410219584483082</v>
      </c>
      <c r="U84" s="27" t="s">
        <v>200</v>
      </c>
      <c r="V84" s="27">
        <v>1.7385409537147929</v>
      </c>
      <c r="W84" s="27" t="s">
        <v>200</v>
      </c>
      <c r="X84" s="27">
        <v>1.3237070317285271</v>
      </c>
      <c r="Y84" s="27" t="s">
        <v>200</v>
      </c>
      <c r="Z84" s="27">
        <v>0.99646445397057681</v>
      </c>
    </row>
    <row r="100" spans="3:30">
      <c r="C100" s="3" t="s">
        <v>69</v>
      </c>
      <c r="F100" s="27">
        <f>MEDIAN(F2:F98)</f>
        <v>5.3232708460200229</v>
      </c>
      <c r="G100" s="27">
        <f t="shared" ref="G100:Z100" si="0">MEDIAN(G2:G98)</f>
        <v>6.2130999999999998</v>
      </c>
      <c r="H100" s="27">
        <f t="shared" si="0"/>
        <v>6.5861000000000001</v>
      </c>
      <c r="I100" s="27">
        <f t="shared" si="0"/>
        <v>6.0472000000000001</v>
      </c>
      <c r="J100" s="27">
        <f t="shared" si="0"/>
        <v>5.5083000000000002</v>
      </c>
      <c r="K100" s="27">
        <f t="shared" si="0"/>
        <v>2.5164</v>
      </c>
      <c r="L100" s="27">
        <f t="shared" si="0"/>
        <v>2.2103999999999999</v>
      </c>
      <c r="M100" s="27">
        <f t="shared" si="0"/>
        <v>2.1038999999999999</v>
      </c>
      <c r="N100" s="27">
        <f t="shared" si="0"/>
        <v>1.9973000000000001</v>
      </c>
      <c r="O100" s="27">
        <f t="shared" si="0"/>
        <v>1.8446</v>
      </c>
      <c r="P100" s="27">
        <f t="shared" si="0"/>
        <v>1.6919</v>
      </c>
      <c r="Q100" s="27">
        <f t="shared" si="0"/>
        <v>1.6359999999999999</v>
      </c>
      <c r="R100" s="27">
        <f t="shared" si="0"/>
        <v>1.5802</v>
      </c>
      <c r="S100" s="27">
        <f t="shared" si="0"/>
        <v>1.5999079942703249</v>
      </c>
      <c r="T100" s="27">
        <f t="shared" si="0"/>
        <v>1.51221005491632</v>
      </c>
      <c r="U100" s="27">
        <f t="shared" si="0"/>
        <v>1.506497979164124</v>
      </c>
      <c r="V100" s="27">
        <f t="shared" si="0"/>
        <v>1.3797650337219241</v>
      </c>
      <c r="W100" s="27">
        <f t="shared" si="0"/>
        <v>1.3456159830093379</v>
      </c>
      <c r="X100" s="27">
        <f t="shared" si="0"/>
        <v>1.2579</v>
      </c>
      <c r="Y100" s="27">
        <f t="shared" si="0"/>
        <v>1.1731729507446289</v>
      </c>
      <c r="Z100" s="27">
        <f t="shared" si="0"/>
        <v>0.99319999999999997</v>
      </c>
    </row>
    <row r="101" spans="3:30">
      <c r="C101" s="3" t="s">
        <v>72</v>
      </c>
      <c r="F101" s="27">
        <f>_xlfn.PERCENTILE.INC(F2:F98,0.25)</f>
        <v>5.3232708460200229</v>
      </c>
      <c r="G101" s="27">
        <f t="shared" ref="G101:Z101" si="1">_xlfn.PERCENTILE.INC(G2:G98,0.25)</f>
        <v>5.9622831950036934</v>
      </c>
      <c r="H101" s="27">
        <f t="shared" si="1"/>
        <v>6.5861000000000001</v>
      </c>
      <c r="I101" s="27">
        <f t="shared" si="1"/>
        <v>6.0472000000000001</v>
      </c>
      <c r="J101" s="27">
        <f t="shared" si="1"/>
        <v>5.5083000000000002</v>
      </c>
      <c r="K101" s="27">
        <f t="shared" si="1"/>
        <v>2.5024999999999999</v>
      </c>
      <c r="L101" s="27">
        <f t="shared" si="1"/>
        <v>2.1962999999999999</v>
      </c>
      <c r="M101" s="27">
        <f t="shared" si="1"/>
        <v>2.0865999999999998</v>
      </c>
      <c r="N101" s="27">
        <f t="shared" si="1"/>
        <v>1.9769000000000001</v>
      </c>
      <c r="O101" s="27">
        <f t="shared" si="1"/>
        <v>1.8208</v>
      </c>
      <c r="P101" s="27">
        <f t="shared" si="1"/>
        <v>1.6646000000000001</v>
      </c>
      <c r="Q101" s="27">
        <f t="shared" si="1"/>
        <v>1.6034999999999999</v>
      </c>
      <c r="R101" s="27">
        <f t="shared" si="1"/>
        <v>1.5424</v>
      </c>
      <c r="S101" s="27">
        <f t="shared" si="1"/>
        <v>1.4821249999999999</v>
      </c>
      <c r="T101" s="27">
        <f t="shared" si="1"/>
        <v>1.4859</v>
      </c>
      <c r="U101" s="27">
        <f t="shared" si="1"/>
        <v>1.3971</v>
      </c>
      <c r="V101" s="27">
        <f t="shared" si="1"/>
        <v>1.3451</v>
      </c>
      <c r="W101" s="27">
        <f t="shared" si="1"/>
        <v>1.2529250000000001</v>
      </c>
      <c r="X101" s="27">
        <f t="shared" si="1"/>
        <v>1.1746000000000001</v>
      </c>
      <c r="Y101" s="27">
        <f t="shared" si="1"/>
        <v>1.0477395356655119</v>
      </c>
      <c r="Z101" s="27">
        <f t="shared" si="1"/>
        <v>0.98990676497135865</v>
      </c>
    </row>
    <row r="102" spans="3:30">
      <c r="C102" s="3" t="s">
        <v>73</v>
      </c>
      <c r="F102" s="27">
        <f>_xlfn.PERCENTILE.INC(F2:F98,0.75)</f>
        <v>5.3232708460200229</v>
      </c>
      <c r="G102" s="27">
        <f t="shared" ref="G102:Z102" si="2">_xlfn.PERCENTILE.INC(G2:G98,0.75)</f>
        <v>6.2299561500549316</v>
      </c>
      <c r="H102" s="27">
        <f t="shared" si="2"/>
        <v>6.6060999999999996</v>
      </c>
      <c r="I102" s="27">
        <f t="shared" si="2"/>
        <v>6.9869890213012704</v>
      </c>
      <c r="J102" s="27">
        <f t="shared" si="2"/>
        <v>7.4021948074999999</v>
      </c>
      <c r="K102" s="27">
        <f t="shared" si="2"/>
        <v>4.2992999999999997</v>
      </c>
      <c r="L102" s="27">
        <f t="shared" si="2"/>
        <v>3.0001000000000002</v>
      </c>
      <c r="M102" s="27">
        <f t="shared" si="2"/>
        <v>3.1067746147899999</v>
      </c>
      <c r="N102" s="27">
        <f t="shared" si="2"/>
        <v>3.2763497251249998</v>
      </c>
      <c r="O102" s="27">
        <f t="shared" si="2"/>
        <v>3.2211149366400003</v>
      </c>
      <c r="P102" s="27">
        <f t="shared" si="2"/>
        <v>3.423766536</v>
      </c>
      <c r="Q102" s="27">
        <f t="shared" si="2"/>
        <v>3.1161511925569632</v>
      </c>
      <c r="R102" s="27">
        <f t="shared" si="2"/>
        <v>2.8205858964999999</v>
      </c>
      <c r="S102" s="27">
        <f t="shared" si="2"/>
        <v>3.010284434609245</v>
      </c>
      <c r="T102" s="27">
        <f t="shared" si="2"/>
        <v>2.09482715</v>
      </c>
      <c r="U102" s="27">
        <f t="shared" si="2"/>
        <v>2.722993888298471</v>
      </c>
      <c r="V102" s="27">
        <f t="shared" si="2"/>
        <v>1.611182229581432</v>
      </c>
      <c r="W102" s="27">
        <f t="shared" si="2"/>
        <v>2.3959992449266156</v>
      </c>
      <c r="X102" s="27">
        <f t="shared" si="2"/>
        <v>1.3653231139536295</v>
      </c>
      <c r="Y102" s="27">
        <f t="shared" si="2"/>
        <v>2.0143058126154632</v>
      </c>
      <c r="Z102" s="27">
        <f t="shared" si="2"/>
        <v>1.079303979873657</v>
      </c>
    </row>
    <row r="104" spans="3:30">
      <c r="F104" s="27">
        <f>MAX(F$2:F$98)</f>
        <v>5.3232708460200229</v>
      </c>
      <c r="G104" s="27">
        <f t="shared" ref="G104:AD104" si="3">MAX(G$2:G$98)</f>
        <v>6.23</v>
      </c>
      <c r="H104" s="27">
        <f t="shared" si="3"/>
        <v>7.584025200000001</v>
      </c>
      <c r="I104" s="27">
        <f t="shared" si="3"/>
        <v>8.4544196886986835</v>
      </c>
      <c r="J104" s="27">
        <f t="shared" si="3"/>
        <v>9.5028213692007881</v>
      </c>
      <c r="K104" s="27">
        <f t="shared" si="3"/>
        <v>5.0639147758483887</v>
      </c>
      <c r="L104" s="27">
        <f t="shared" si="3"/>
        <v>4.9836151901948451</v>
      </c>
      <c r="M104" s="27">
        <f t="shared" si="3"/>
        <v>4.8020232201369941</v>
      </c>
      <c r="N104" s="27">
        <f t="shared" si="3"/>
        <v>4.7942587689999998</v>
      </c>
      <c r="O104" s="27">
        <f t="shared" si="3"/>
        <v>4.6395703805130157</v>
      </c>
      <c r="P104" s="27">
        <f t="shared" si="3"/>
        <v>5.2816026819999999</v>
      </c>
      <c r="Q104" s="27">
        <f t="shared" si="3"/>
        <v>4.0163996188615547</v>
      </c>
      <c r="R104" s="27">
        <f t="shared" si="3"/>
        <v>5.9608068469999997</v>
      </c>
      <c r="S104" s="27">
        <f t="shared" si="3"/>
        <v>4.0966301035999999</v>
      </c>
      <c r="T104" s="27">
        <f t="shared" si="3"/>
        <v>6.6823502340000003</v>
      </c>
      <c r="U104" s="27">
        <f t="shared" si="3"/>
        <v>4.2274113505299997</v>
      </c>
      <c r="V104" s="27">
        <f t="shared" si="3"/>
        <v>7.2850423920000003</v>
      </c>
      <c r="W104" s="27">
        <f t="shared" si="3"/>
        <v>4.2696333432499998</v>
      </c>
      <c r="X104" s="27">
        <f t="shared" si="3"/>
        <v>7.8429105110000004</v>
      </c>
      <c r="Y104" s="27">
        <f t="shared" si="3"/>
        <v>4.2332126629419999</v>
      </c>
      <c r="Z104" s="27">
        <f t="shared" si="3"/>
        <v>8.1880824810000004</v>
      </c>
      <c r="AA104" s="27">
        <f t="shared" si="3"/>
        <v>0</v>
      </c>
      <c r="AB104" s="27">
        <f t="shared" si="3"/>
        <v>0</v>
      </c>
      <c r="AC104" s="27">
        <f t="shared" si="3"/>
        <v>0</v>
      </c>
      <c r="AD104" s="27">
        <f t="shared" si="3"/>
        <v>0</v>
      </c>
    </row>
    <row r="105" spans="3:30">
      <c r="F105" s="27">
        <f>MEDIAN(F$2:F$98)</f>
        <v>5.3232708460200229</v>
      </c>
      <c r="G105" s="27">
        <f t="shared" ref="G105:AD105" si="4">MEDIAN(G$2:G$98)</f>
        <v>6.2130999999999998</v>
      </c>
      <c r="H105" s="27">
        <f t="shared" si="4"/>
        <v>6.5861000000000001</v>
      </c>
      <c r="I105" s="27">
        <f t="shared" si="4"/>
        <v>6.0472000000000001</v>
      </c>
      <c r="J105" s="27">
        <f t="shared" si="4"/>
        <v>5.5083000000000002</v>
      </c>
      <c r="K105" s="27">
        <f t="shared" si="4"/>
        <v>2.5164</v>
      </c>
      <c r="L105" s="27">
        <f t="shared" si="4"/>
        <v>2.2103999999999999</v>
      </c>
      <c r="M105" s="27">
        <f t="shared" si="4"/>
        <v>2.1038999999999999</v>
      </c>
      <c r="N105" s="27">
        <f t="shared" si="4"/>
        <v>1.9973000000000001</v>
      </c>
      <c r="O105" s="27">
        <f t="shared" si="4"/>
        <v>1.8446</v>
      </c>
      <c r="P105" s="27">
        <f t="shared" si="4"/>
        <v>1.6919</v>
      </c>
      <c r="Q105" s="27">
        <f t="shared" si="4"/>
        <v>1.6359999999999999</v>
      </c>
      <c r="R105" s="27">
        <f t="shared" si="4"/>
        <v>1.5802</v>
      </c>
      <c r="S105" s="27">
        <f t="shared" si="4"/>
        <v>1.5999079942703249</v>
      </c>
      <c r="T105" s="27">
        <f t="shared" si="4"/>
        <v>1.51221005491632</v>
      </c>
      <c r="U105" s="27">
        <f t="shared" si="4"/>
        <v>1.506497979164124</v>
      </c>
      <c r="V105" s="27">
        <f t="shared" si="4"/>
        <v>1.3797650337219241</v>
      </c>
      <c r="W105" s="27">
        <f t="shared" si="4"/>
        <v>1.3456159830093379</v>
      </c>
      <c r="X105" s="27">
        <f t="shared" si="4"/>
        <v>1.2579</v>
      </c>
      <c r="Y105" s="27">
        <f t="shared" si="4"/>
        <v>1.1731729507446289</v>
      </c>
      <c r="Z105" s="27">
        <f t="shared" si="4"/>
        <v>0.99319999999999997</v>
      </c>
      <c r="AA105" s="27" t="e">
        <f t="shared" si="4"/>
        <v>#NUM!</v>
      </c>
      <c r="AB105" s="27" t="e">
        <f t="shared" si="4"/>
        <v>#NUM!</v>
      </c>
      <c r="AC105" s="27" t="e">
        <f t="shared" si="4"/>
        <v>#NUM!</v>
      </c>
      <c r="AD105" s="27" t="e">
        <f t="shared" si="4"/>
        <v>#NUM!</v>
      </c>
    </row>
    <row r="106" spans="3:30">
      <c r="F106" s="27">
        <f>MIN(F$2:F$98)</f>
        <v>5.3232708460200229</v>
      </c>
      <c r="G106" s="27">
        <f t="shared" ref="G106:AD106" si="5">MIN(G$2:G$98)</f>
        <v>2.1541700000000001</v>
      </c>
      <c r="H106" s="27">
        <f t="shared" si="5"/>
        <v>2.1362899999999998</v>
      </c>
      <c r="I106" s="27">
        <f t="shared" si="5"/>
        <v>2.3376399999999999</v>
      </c>
      <c r="J106" s="27">
        <f t="shared" si="5"/>
        <v>2.2188113052490199</v>
      </c>
      <c r="K106" s="27">
        <f t="shared" si="5"/>
        <v>0.4326788249906699</v>
      </c>
      <c r="L106" s="27">
        <f t="shared" si="5"/>
        <v>0.26777998645358297</v>
      </c>
      <c r="M106" s="27">
        <f t="shared" si="5"/>
        <v>0.60438112313252534</v>
      </c>
      <c r="N106" s="27">
        <f t="shared" si="5"/>
        <v>0.23582662152392611</v>
      </c>
      <c r="O106" s="27">
        <f t="shared" si="5"/>
        <v>0.21545000000000011</v>
      </c>
      <c r="P106" s="27">
        <f t="shared" si="5"/>
        <v>0.123896814210571</v>
      </c>
      <c r="Q106" s="27">
        <f t="shared" si="5"/>
        <v>7.9730399999998994E-2</v>
      </c>
      <c r="R106" s="27">
        <f t="shared" si="5"/>
        <v>6.3495899999999994E-2</v>
      </c>
      <c r="S106" s="27">
        <f t="shared" si="5"/>
        <v>5.9219099999999997E-2</v>
      </c>
      <c r="T106" s="27">
        <f t="shared" si="5"/>
        <v>5.8852599999999998E-2</v>
      </c>
      <c r="U106" s="27">
        <f t="shared" si="5"/>
        <v>5.8270000000000002E-2</v>
      </c>
      <c r="V106" s="27">
        <f t="shared" si="5"/>
        <v>5.6062739287001999E-2</v>
      </c>
      <c r="W106" s="27">
        <f t="shared" si="5"/>
        <v>5.7336900000000003E-2</v>
      </c>
      <c r="X106" s="27">
        <f t="shared" si="5"/>
        <v>3.4136888431167002E-2</v>
      </c>
      <c r="Y106" s="27">
        <f t="shared" si="5"/>
        <v>5.4852199999999997E-2</v>
      </c>
      <c r="Z106" s="27">
        <f t="shared" si="5"/>
        <v>8.6696834760978999E-3</v>
      </c>
      <c r="AA106" s="27">
        <f t="shared" si="5"/>
        <v>0</v>
      </c>
      <c r="AB106" s="27">
        <f t="shared" si="5"/>
        <v>0</v>
      </c>
      <c r="AC106" s="27">
        <f t="shared" si="5"/>
        <v>0</v>
      </c>
      <c r="AD106" s="27">
        <f t="shared" si="5"/>
        <v>0</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05A17-A275-4DBC-B8F1-F28AE6CA25A8}">
  <sheetPr>
    <tabColor rgb="FF9966FF"/>
  </sheetPr>
  <dimension ref="A4:Q187"/>
  <sheetViews>
    <sheetView topLeftCell="D22" zoomScale="85" zoomScaleNormal="85" workbookViewId="0">
      <selection activeCell="AD47" sqref="AD47"/>
    </sheetView>
  </sheetViews>
  <sheetFormatPr defaultRowHeight="15"/>
  <cols>
    <col min="1" max="1" width="22.5703125" customWidth="1"/>
    <col min="2" max="2" width="16.5703125" customWidth="1"/>
    <col min="3" max="3" width="17.5703125" customWidth="1"/>
    <col min="4" max="8" width="11.140625" bestFit="1" customWidth="1"/>
  </cols>
  <sheetData>
    <row r="4" spans="1:9" s="210" customFormat="1">
      <c r="D4" s="211" t="s">
        <v>95</v>
      </c>
    </row>
    <row r="5" spans="1:9">
      <c r="C5">
        <v>2020</v>
      </c>
      <c r="D5">
        <f>C5+10</f>
        <v>2030</v>
      </c>
      <c r="E5">
        <f t="shared" ref="E5:H5" si="0">D5+10</f>
        <v>2040</v>
      </c>
      <c r="F5">
        <f t="shared" si="0"/>
        <v>2050</v>
      </c>
      <c r="G5">
        <f t="shared" si="0"/>
        <v>2060</v>
      </c>
      <c r="H5">
        <f t="shared" si="0"/>
        <v>2070</v>
      </c>
    </row>
    <row r="6" spans="1:9">
      <c r="A6" t="s">
        <v>35</v>
      </c>
      <c r="B6" t="str">
        <f t="shared" ref="B6:C8" si="1">B85</f>
        <v>Mt CO2/yr</v>
      </c>
      <c r="C6" s="187">
        <f t="shared" si="1"/>
        <v>26.357079999999993</v>
      </c>
      <c r="D6" s="187">
        <f ca="1">C6-($C6-$F6)/3</f>
        <v>15.180277991763214</v>
      </c>
      <c r="E6" s="187">
        <f ca="1">D6-($C6-$F6)/3</f>
        <v>4.0034759835264353</v>
      </c>
      <c r="F6" s="187">
        <f ca="1">-1*(('Demonstration path data'!BL50+'Demonstration path data'!BL53+'Demonstration path data'!BL56)*GWP_Methane+'Demonstration path data'!BL67*GWP_N2O+'Demonstration path data'!BL64)/1000</f>
        <v>-7.1733260247103461</v>
      </c>
      <c r="G6" s="187">
        <f ca="1">F6</f>
        <v>-7.1733260247103461</v>
      </c>
      <c r="H6" s="187">
        <f ca="1">G6</f>
        <v>-7.1733260247103461</v>
      </c>
      <c r="I6" t="s">
        <v>96</v>
      </c>
    </row>
    <row r="7" spans="1:9">
      <c r="A7" t="s">
        <v>89</v>
      </c>
      <c r="B7" t="str">
        <f t="shared" si="1"/>
        <v>Mt CO2-equiv/yr</v>
      </c>
      <c r="C7" s="187">
        <f t="shared" si="1"/>
        <v>35.768890501400001</v>
      </c>
      <c r="D7" s="187">
        <f>C7-($C7-$F7)/3</f>
        <v>23.845927000933337</v>
      </c>
      <c r="E7" s="187">
        <f>D7-($C7-$F7)/3</f>
        <v>11.92296350046667</v>
      </c>
      <c r="F7" s="187">
        <v>0</v>
      </c>
      <c r="G7" s="187">
        <v>0</v>
      </c>
      <c r="H7" s="187">
        <v>0</v>
      </c>
      <c r="I7" t="s">
        <v>97</v>
      </c>
    </row>
    <row r="8" spans="1:9">
      <c r="A8" t="s">
        <v>98</v>
      </c>
      <c r="B8" t="str">
        <f t="shared" si="1"/>
        <v>Mt CH4/yr</v>
      </c>
      <c r="C8" s="187">
        <f t="shared" si="1"/>
        <v>1.310530129357143</v>
      </c>
      <c r="D8" s="187">
        <f>(1-0.1)*'Biogenic CH4 NZ'!AE5/1000</f>
        <v>1.1799922500000002</v>
      </c>
      <c r="E8" s="187">
        <f>AVERAGE(D8,F8)</f>
        <v>1.1171402678571432</v>
      </c>
      <c r="F8" s="187">
        <f>(1-0.24)*'Biogenic CH4 NZ'!S5/1000</f>
        <v>1.0542882857142859</v>
      </c>
      <c r="G8" s="187">
        <f t="shared" ref="G8:H13" si="2">F8</f>
        <v>1.0542882857142859</v>
      </c>
      <c r="H8" s="187">
        <f t="shared" si="2"/>
        <v>1.0542882857142859</v>
      </c>
      <c r="I8" t="s">
        <v>99</v>
      </c>
    </row>
    <row r="9" spans="1:9">
      <c r="A9" t="s">
        <v>100</v>
      </c>
      <c r="B9" t="str">
        <f>B88</f>
        <v>Mt CH4/yr</v>
      </c>
      <c r="C9" s="187">
        <f>C8</f>
        <v>1.310530129357143</v>
      </c>
      <c r="D9" s="187">
        <f>D8</f>
        <v>1.1799922500000002</v>
      </c>
      <c r="E9" s="187">
        <f>AVERAGE(D9,F9)</f>
        <v>0.95760980357142866</v>
      </c>
      <c r="F9" s="187">
        <f>(1-0.47)*'Biogenic CH4 NZ'!S5/1000</f>
        <v>0.73522735714285725</v>
      </c>
      <c r="G9" s="187">
        <f t="shared" si="2"/>
        <v>0.73522735714285725</v>
      </c>
      <c r="H9" s="187">
        <f t="shared" si="2"/>
        <v>0.73522735714285725</v>
      </c>
    </row>
    <row r="10" spans="1:9">
      <c r="A10" t="s">
        <v>101</v>
      </c>
      <c r="B10" t="str">
        <f>B88</f>
        <v>Mt CH4/yr</v>
      </c>
      <c r="C10" s="187">
        <f>C88</f>
        <v>1.3361140579285715</v>
      </c>
      <c r="D10" s="187">
        <f>D8+'Demonstration path data'!$AR$74/1000</f>
        <v>1.2079602269872642</v>
      </c>
      <c r="E10" s="187">
        <f>E8+'Demonstration path data'!$BB$74/1000</f>
        <v>1.1377032505328863</v>
      </c>
      <c r="F10" s="187">
        <f>F8+'Demonstration path data'!BL74/1000</f>
        <v>1.0695182235340766</v>
      </c>
      <c r="G10" s="187">
        <f t="shared" si="2"/>
        <v>1.0695182235340766</v>
      </c>
      <c r="H10" s="187">
        <f t="shared" si="2"/>
        <v>1.0695182235340766</v>
      </c>
      <c r="I10" t="s">
        <v>102</v>
      </c>
    </row>
    <row r="11" spans="1:9">
      <c r="A11" t="s">
        <v>103</v>
      </c>
      <c r="B11" t="str">
        <f>B89</f>
        <v>Mt CO2-equiv/yr</v>
      </c>
      <c r="C11" s="187">
        <f>C88</f>
        <v>1.3361140579285715</v>
      </c>
      <c r="D11" s="187">
        <f>D9+'Demonstration path data'!$AR$74/1000</f>
        <v>1.2079602269872642</v>
      </c>
      <c r="E11" s="187">
        <f>E9+'Demonstration path data'!$BB$74/1000</f>
        <v>0.97817278624717185</v>
      </c>
      <c r="F11" s="187">
        <f>F9+'Demonstration path data'!BL74/1000</f>
        <v>0.7504572949626479</v>
      </c>
      <c r="G11" s="187">
        <f t="shared" si="2"/>
        <v>0.7504572949626479</v>
      </c>
      <c r="H11" s="187">
        <f t="shared" si="2"/>
        <v>0.7504572949626479</v>
      </c>
    </row>
    <row r="12" spans="1:9">
      <c r="A12" t="s">
        <v>104</v>
      </c>
      <c r="B12" t="str">
        <f>B89</f>
        <v>Mt CO2-equiv/yr</v>
      </c>
      <c r="C12" s="187">
        <f>C89</f>
        <v>72.463734123400002</v>
      </c>
      <c r="D12" s="187">
        <f ca="1">D7+GWP_Methane*D8</f>
        <v>56.885710000933344</v>
      </c>
      <c r="E12" s="187">
        <f ca="1">E7+GWP_Methane*E8</f>
        <v>43.202891000466678</v>
      </c>
      <c r="F12" s="187">
        <f ca="1">F8*GWP_Methane</f>
        <v>29.520072000000006</v>
      </c>
      <c r="G12" s="187">
        <f t="shared" ca="1" si="2"/>
        <v>29.520072000000006</v>
      </c>
      <c r="H12" s="187">
        <f t="shared" ca="1" si="2"/>
        <v>29.520072000000006</v>
      </c>
    </row>
    <row r="13" spans="1:9">
      <c r="A13" t="s">
        <v>105</v>
      </c>
      <c r="B13" t="str">
        <f>B89</f>
        <v>Mt CO2-equiv/yr</v>
      </c>
      <c r="C13" s="187">
        <f>C89</f>
        <v>72.463734123400002</v>
      </c>
      <c r="D13" s="187">
        <f ca="1">D7+GWP_Methane*D9</f>
        <v>56.885710000933344</v>
      </c>
      <c r="E13" s="187">
        <f ca="1">E7+GWP_Methane*E9</f>
        <v>38.736038000466671</v>
      </c>
      <c r="F13" s="187">
        <f ca="1">F9*GWP_Methane</f>
        <v>20.586366000000002</v>
      </c>
      <c r="G13" s="187">
        <f t="shared" ca="1" si="2"/>
        <v>20.586366000000002</v>
      </c>
      <c r="H13" s="187">
        <f t="shared" ca="1" si="2"/>
        <v>20.586366000000002</v>
      </c>
    </row>
    <row r="15" spans="1:9">
      <c r="B15" t="s">
        <v>106</v>
      </c>
    </row>
    <row r="16" spans="1:9">
      <c r="A16" t="s">
        <v>98</v>
      </c>
      <c r="B16" t="s">
        <v>107</v>
      </c>
      <c r="C16" s="127">
        <f t="shared" ref="C16:H17" ca="1" si="3">C8*GWP_Methane</f>
        <v>36.694843622</v>
      </c>
      <c r="D16" s="127">
        <f t="shared" ca="1" si="3"/>
        <v>33.039783000000007</v>
      </c>
      <c r="E16" s="127">
        <f t="shared" ca="1" si="3"/>
        <v>31.279927500000007</v>
      </c>
      <c r="F16" s="127">
        <f t="shared" ca="1" si="3"/>
        <v>29.520072000000006</v>
      </c>
      <c r="G16" s="127">
        <f t="shared" ca="1" si="3"/>
        <v>29.520072000000006</v>
      </c>
      <c r="H16" s="127">
        <f t="shared" ca="1" si="3"/>
        <v>29.520072000000006</v>
      </c>
    </row>
    <row r="17" spans="1:8">
      <c r="A17" t="s">
        <v>100</v>
      </c>
      <c r="B17" t="s">
        <v>107</v>
      </c>
      <c r="C17" s="127">
        <f t="shared" ca="1" si="3"/>
        <v>36.694843622</v>
      </c>
      <c r="D17" s="127">
        <f t="shared" ca="1" si="3"/>
        <v>33.039783000000007</v>
      </c>
      <c r="E17" s="127">
        <f t="shared" ca="1" si="3"/>
        <v>26.813074500000003</v>
      </c>
      <c r="F17" s="127">
        <f t="shared" ca="1" si="3"/>
        <v>20.586366000000002</v>
      </c>
      <c r="G17" s="127">
        <f t="shared" ca="1" si="3"/>
        <v>20.586366000000002</v>
      </c>
      <c r="H17" s="127">
        <f t="shared" ca="1" si="3"/>
        <v>20.586366000000002</v>
      </c>
    </row>
    <row r="18" spans="1:8">
      <c r="A18" t="s">
        <v>108</v>
      </c>
      <c r="B18" t="s">
        <v>107</v>
      </c>
      <c r="C18">
        <f t="shared" ref="C18:H18" ca="1" si="4">K115*GWP_Methane</f>
        <v>36.694843622</v>
      </c>
      <c r="D18">
        <f t="shared" ca="1" si="4"/>
        <v>34.731479970114805</v>
      </c>
      <c r="E18">
        <f t="shared" ca="1" si="4"/>
        <v>33.945968169526552</v>
      </c>
      <c r="F18">
        <f t="shared" ca="1" si="4"/>
        <v>33.205188458751557</v>
      </c>
      <c r="G18">
        <f t="shared" ca="1" si="4"/>
        <v>33.346989035176456</v>
      </c>
      <c r="H18">
        <f t="shared" ca="1" si="4"/>
        <v>33.353086386760125</v>
      </c>
    </row>
    <row r="20" spans="1:8">
      <c r="A20" t="s">
        <v>98</v>
      </c>
      <c r="B20" t="s">
        <v>109</v>
      </c>
      <c r="C20" s="127">
        <f>C8*1000</f>
        <v>1310.5301293571429</v>
      </c>
      <c r="D20" s="127">
        <f t="shared" ref="D20:H20" si="5">D8*1000</f>
        <v>1179.9922500000002</v>
      </c>
      <c r="E20" s="127">
        <f t="shared" si="5"/>
        <v>1117.140267857143</v>
      </c>
      <c r="F20" s="127">
        <f t="shared" si="5"/>
        <v>1054.2882857142858</v>
      </c>
      <c r="G20" s="127">
        <f t="shared" si="5"/>
        <v>1054.2882857142858</v>
      </c>
      <c r="H20" s="127">
        <f t="shared" si="5"/>
        <v>1054.2882857142858</v>
      </c>
    </row>
    <row r="21" spans="1:8">
      <c r="A21" t="s">
        <v>100</v>
      </c>
      <c r="B21" t="s">
        <v>109</v>
      </c>
      <c r="C21" s="127">
        <f t="shared" ref="C21:H21" si="6">C9*1000</f>
        <v>1310.5301293571429</v>
      </c>
      <c r="D21" s="127">
        <f t="shared" si="6"/>
        <v>1179.9922500000002</v>
      </c>
      <c r="E21" s="127">
        <f t="shared" si="6"/>
        <v>957.60980357142864</v>
      </c>
      <c r="F21" s="127">
        <f t="shared" si="6"/>
        <v>735.22735714285727</v>
      </c>
      <c r="G21" s="127">
        <f t="shared" si="6"/>
        <v>735.22735714285727</v>
      </c>
      <c r="H21" s="127">
        <f t="shared" si="6"/>
        <v>735.22735714285727</v>
      </c>
    </row>
    <row r="22" spans="1:8">
      <c r="A22" t="s">
        <v>108</v>
      </c>
      <c r="B22" t="s">
        <v>109</v>
      </c>
      <c r="C22">
        <f t="shared" ref="C22:H22" si="7">K115*1000</f>
        <v>1310.5301293571429</v>
      </c>
      <c r="D22">
        <f t="shared" ca="1" si="7"/>
        <v>1240.4099989326717</v>
      </c>
      <c r="E22">
        <f t="shared" ca="1" si="7"/>
        <v>1212.3560060545199</v>
      </c>
      <c r="F22">
        <f t="shared" ca="1" si="7"/>
        <v>1185.8995878125556</v>
      </c>
      <c r="G22">
        <f t="shared" ca="1" si="7"/>
        <v>1190.9638941134449</v>
      </c>
      <c r="H22">
        <f t="shared" ca="1" si="7"/>
        <v>1191.1816566700045</v>
      </c>
    </row>
    <row r="23" spans="1:8">
      <c r="C23" s="127"/>
      <c r="D23" s="127"/>
      <c r="E23" s="127"/>
      <c r="F23" s="127"/>
      <c r="G23" s="127"/>
      <c r="H23" s="127"/>
    </row>
    <row r="25" spans="1:8">
      <c r="A25" t="s">
        <v>110</v>
      </c>
      <c r="B25" t="s">
        <v>111</v>
      </c>
      <c r="C25" s="130">
        <f>'GDP WB MER'!BO185/'GDP WB MER'!BO264</f>
        <v>2.4585233623633635E-3</v>
      </c>
    </row>
    <row r="26" spans="1:8">
      <c r="B26" t="s">
        <v>112</v>
      </c>
      <c r="C26" s="130">
        <f>'GDP WB PPP'!BO185/'GDP WB PPP'!BO264</f>
        <v>1.654075096673608E-3</v>
      </c>
    </row>
    <row r="27" spans="1:8">
      <c r="C27" s="130"/>
    </row>
    <row r="28" spans="1:8">
      <c r="C28" s="130"/>
    </row>
    <row r="29" spans="1:8">
      <c r="C29" s="130"/>
    </row>
    <row r="30" spans="1:8">
      <c r="C30" s="130"/>
    </row>
    <row r="31" spans="1:8" s="11" customFormat="1">
      <c r="C31" s="212"/>
      <c r="D31" s="11" t="s">
        <v>113</v>
      </c>
    </row>
    <row r="32" spans="1:8">
      <c r="C32" s="130"/>
    </row>
    <row r="33" spans="1:17">
      <c r="C33" t="s">
        <v>114</v>
      </c>
      <c r="K33" t="s">
        <v>114</v>
      </c>
    </row>
    <row r="34" spans="1:17">
      <c r="C34">
        <v>2020</v>
      </c>
      <c r="D34">
        <f>C34+10</f>
        <v>2030</v>
      </c>
      <c r="E34">
        <f t="shared" ref="E34:H34" si="8">D34+10</f>
        <v>2040</v>
      </c>
      <c r="F34">
        <f t="shared" si="8"/>
        <v>2050</v>
      </c>
      <c r="G34">
        <f t="shared" si="8"/>
        <v>2060</v>
      </c>
      <c r="H34">
        <f t="shared" si="8"/>
        <v>2070</v>
      </c>
      <c r="I34">
        <f t="shared" ref="I34" si="9">H34+10</f>
        <v>2080</v>
      </c>
      <c r="K34">
        <f>C34</f>
        <v>2020</v>
      </c>
      <c r="L34">
        <f t="shared" ref="L34:L41" si="10">D34</f>
        <v>2030</v>
      </c>
      <c r="M34">
        <f t="shared" ref="M34:M41" si="11">E34</f>
        <v>2040</v>
      </c>
      <c r="N34">
        <f t="shared" ref="N34:N41" si="12">F34</f>
        <v>2050</v>
      </c>
      <c r="O34">
        <f t="shared" ref="O34:O41" si="13">G34</f>
        <v>2060</v>
      </c>
      <c r="P34">
        <f t="shared" ref="P34:Q41" si="14">H34</f>
        <v>2070</v>
      </c>
      <c r="Q34">
        <f t="shared" si="14"/>
        <v>2080</v>
      </c>
    </row>
    <row r="35" spans="1:17">
      <c r="A35" t="s">
        <v>35</v>
      </c>
      <c r="B35" t="str">
        <f>B85</f>
        <v>Mt CO2/yr</v>
      </c>
      <c r="C35">
        <v>0</v>
      </c>
      <c r="D35">
        <f ca="1">'AR6 Pathways'!AB10-'AR6 Pathways'!$AA10</f>
        <v>-18419.121476694982</v>
      </c>
      <c r="E35">
        <f ca="1">'AR6 Pathways'!AC10-'AR6 Pathways'!$AA10</f>
        <v>-30592.572512096252</v>
      </c>
      <c r="F35">
        <f ca="1">'AR6 Pathways'!AD10-'AR6 Pathways'!$AA10</f>
        <v>-38505.601300000002</v>
      </c>
      <c r="G35">
        <f ca="1">'AR6 Pathways'!AE10-'AR6 Pathways'!$AA10</f>
        <v>-41083.306000000004</v>
      </c>
      <c r="H35">
        <f ca="1">'AR6 Pathways'!AF10-'AR6 Pathways'!$AA10</f>
        <v>-42474.433165079739</v>
      </c>
      <c r="I35">
        <f ca="1">'AR6 Pathways'!AG10-'AR6 Pathways'!$AA10</f>
        <v>-44499.172910937501</v>
      </c>
      <c r="K35">
        <f t="shared" ref="K35:K41" si="15">C35</f>
        <v>0</v>
      </c>
      <c r="L35">
        <f t="shared" ca="1" si="10"/>
        <v>-18419.121476694982</v>
      </c>
      <c r="M35">
        <f t="shared" ca="1" si="11"/>
        <v>-30592.572512096252</v>
      </c>
      <c r="N35">
        <f t="shared" ca="1" si="12"/>
        <v>-38505.601300000002</v>
      </c>
      <c r="O35">
        <f t="shared" ca="1" si="13"/>
        <v>-41083.306000000004</v>
      </c>
      <c r="P35">
        <f t="shared" ca="1" si="14"/>
        <v>-42474.433165079739</v>
      </c>
      <c r="Q35">
        <f t="shared" ca="1" si="14"/>
        <v>-44499.172910937501</v>
      </c>
    </row>
    <row r="36" spans="1:17">
      <c r="A36" t="s">
        <v>115</v>
      </c>
      <c r="B36" t="s">
        <v>116</v>
      </c>
      <c r="C36">
        <v>0</v>
      </c>
      <c r="D36">
        <f ca="1">'AR6 Pathways'!AB46-'AR6 Pathways'!$AA46</f>
        <v>-42.392349999999965</v>
      </c>
      <c r="E36">
        <f ca="1">'AR6 Pathways'!AC46-'AR6 Pathways'!$AA46</f>
        <v>-59.352881559038167</v>
      </c>
      <c r="F36">
        <f ca="1">'AR6 Pathways'!AD46-'AR6 Pathways'!$AA46</f>
        <v>-75.347571458649583</v>
      </c>
      <c r="G36">
        <f ca="1">'AR6 Pathways'!AE46-'AR6 Pathways'!$AA46</f>
        <v>-72.285856599950762</v>
      </c>
      <c r="H36">
        <f ca="1">'AR6 Pathways'!AF46-'AR6 Pathways'!$AA46</f>
        <v>-72.154204441595084</v>
      </c>
      <c r="I36">
        <f ca="1">'AR6 Pathways'!AG46-'AR6 Pathways'!$AA46</f>
        <v>-71.659625014209666</v>
      </c>
      <c r="K36">
        <f t="shared" si="15"/>
        <v>0</v>
      </c>
      <c r="L36">
        <f t="shared" ca="1" si="10"/>
        <v>-42.392349999999965</v>
      </c>
      <c r="M36">
        <f t="shared" ca="1" si="11"/>
        <v>-59.352881559038167</v>
      </c>
      <c r="N36">
        <f t="shared" ca="1" si="12"/>
        <v>-75.347571458649583</v>
      </c>
      <c r="O36">
        <f t="shared" ca="1" si="13"/>
        <v>-72.285856599950762</v>
      </c>
      <c r="P36">
        <f t="shared" ca="1" si="14"/>
        <v>-72.154204441595084</v>
      </c>
      <c r="Q36">
        <f t="shared" ca="1" si="14"/>
        <v>-71.659625014209666</v>
      </c>
    </row>
    <row r="37" spans="1:17">
      <c r="A37" t="s">
        <v>117</v>
      </c>
      <c r="B37" t="s">
        <v>116</v>
      </c>
      <c r="C37">
        <v>0</v>
      </c>
      <c r="D37">
        <f ca="1">('AR6 Pathways'!AB4-'AR6 Pathways'!AB46)-('AR6 Pathways'!$AA4-'AR6 Pathways'!$AA46)</f>
        <v>-74.776574142722012</v>
      </c>
      <c r="E37">
        <f ca="1">('AR6 Pathways'!AC4-'AR6 Pathways'!AC46)-('AR6 Pathways'!$AA4-'AR6 Pathways'!$AA46)</f>
        <v>-95.919618440961813</v>
      </c>
      <c r="F37">
        <f ca="1">('AR6 Pathways'!AD4-'AR6 Pathways'!AD46)-('AR6 Pathways'!$AA4-'AR6 Pathways'!$AA46)</f>
        <v>-105.57372854135042</v>
      </c>
      <c r="G37">
        <f ca="1">('AR6 Pathways'!AE4-'AR6 Pathways'!AE46)-('AR6 Pathways'!$AA4-'AR6 Pathways'!$AA46)</f>
        <v>-123.19116513058572</v>
      </c>
      <c r="H37">
        <f ca="1">('AR6 Pathways'!AF4-'AR6 Pathways'!AF46)-('AR6 Pathways'!$AA4-'AR6 Pathways'!$AA46)</f>
        <v>-131.0654955584049</v>
      </c>
      <c r="I37">
        <f ca="1">('AR6 Pathways'!AG4-'AR6 Pathways'!AG46)-('AR6 Pathways'!$AA4-'AR6 Pathways'!$AA46)</f>
        <v>-149.80687308149342</v>
      </c>
      <c r="K37">
        <f t="shared" si="15"/>
        <v>0</v>
      </c>
      <c r="L37">
        <f t="shared" ca="1" si="10"/>
        <v>-74.776574142722012</v>
      </c>
      <c r="M37">
        <f t="shared" ca="1" si="11"/>
        <v>-95.919618440961813</v>
      </c>
      <c r="N37">
        <f t="shared" ca="1" si="12"/>
        <v>-105.57372854135042</v>
      </c>
      <c r="O37">
        <f t="shared" ca="1" si="13"/>
        <v>-123.19116513058572</v>
      </c>
      <c r="P37">
        <f t="shared" ca="1" si="14"/>
        <v>-131.0654955584049</v>
      </c>
      <c r="Q37">
        <f t="shared" ca="1" si="14"/>
        <v>-149.80687308149342</v>
      </c>
    </row>
    <row r="38" spans="1:17">
      <c r="A38" t="s">
        <v>118</v>
      </c>
      <c r="B38" t="s">
        <v>119</v>
      </c>
      <c r="C38">
        <v>0</v>
      </c>
      <c r="D38">
        <f ca="1">'AR6 Pathways'!AB28-'AR6 Pathways'!$AA28</f>
        <v>-1689.0954019357305</v>
      </c>
      <c r="E38">
        <f ca="1">'AR6 Pathways'!AC28-'AR6 Pathways'!$AA28</f>
        <v>-2638.8068491687227</v>
      </c>
      <c r="F38">
        <f ca="1">'AR6 Pathways'!AD28-'AR6 Pathways'!$AA28</f>
        <v>-3241.2197213995751</v>
      </c>
      <c r="G38">
        <f ca="1">'AR6 Pathways'!AE28-'AR6 Pathways'!$AA28</f>
        <v>-3583.3660600392795</v>
      </c>
      <c r="H38">
        <f ca="1">'AR6 Pathways'!AF28-'AR6 Pathways'!$AA28</f>
        <v>-3618.9560600392797</v>
      </c>
      <c r="I38">
        <f ca="1">'AR6 Pathways'!AG28-'AR6 Pathways'!$AA28</f>
        <v>-4066.537699601824</v>
      </c>
      <c r="K38">
        <f t="shared" si="15"/>
        <v>0</v>
      </c>
      <c r="L38">
        <f t="shared" ca="1" si="10"/>
        <v>-1689.0954019357305</v>
      </c>
      <c r="M38">
        <f t="shared" ca="1" si="11"/>
        <v>-2638.8068491687227</v>
      </c>
      <c r="N38">
        <f t="shared" ca="1" si="12"/>
        <v>-3241.2197213995751</v>
      </c>
      <c r="O38">
        <f t="shared" ca="1" si="13"/>
        <v>-3583.3660600392795</v>
      </c>
      <c r="P38">
        <f t="shared" ca="1" si="14"/>
        <v>-3618.9560600392797</v>
      </c>
      <c r="Q38">
        <f t="shared" ca="1" si="14"/>
        <v>-4066.537699601824</v>
      </c>
    </row>
    <row r="39" spans="1:17">
      <c r="A39" t="s">
        <v>120</v>
      </c>
      <c r="B39" t="s">
        <v>76</v>
      </c>
      <c r="C39">
        <v>0</v>
      </c>
      <c r="D39">
        <f ca="1">'AR6 Pathways'!AB13-'AR6 Pathways'!$AA13</f>
        <v>-662.33249999999998</v>
      </c>
      <c r="E39">
        <f ca="1">'AR6 Pathways'!AC13-'AR6 Pathways'!$AA13</f>
        <v>-764.38729999999998</v>
      </c>
      <c r="F39">
        <f ca="1">'AR6 Pathways'!AD13-'AR6 Pathways'!$AA13</f>
        <v>-751.98879999999997</v>
      </c>
      <c r="G39">
        <f ca="1">'AR6 Pathways'!AE13-'AR6 Pathways'!$AA13</f>
        <v>-740.11809999999991</v>
      </c>
      <c r="H39">
        <f ca="1">'AR6 Pathways'!AF13-'AR6 Pathways'!$AA13</f>
        <v>-727.21559999999999</v>
      </c>
      <c r="I39">
        <f ca="1">'AR6 Pathways'!AG13-'AR6 Pathways'!$AA13</f>
        <v>-718.25369999999998</v>
      </c>
      <c r="K39">
        <f t="shared" si="15"/>
        <v>0</v>
      </c>
      <c r="L39">
        <f t="shared" ca="1" si="10"/>
        <v>-662.33249999999998</v>
      </c>
      <c r="M39">
        <f t="shared" ca="1" si="11"/>
        <v>-764.38729999999998</v>
      </c>
      <c r="N39">
        <f t="shared" ca="1" si="12"/>
        <v>-751.98879999999997</v>
      </c>
      <c r="O39">
        <f t="shared" ca="1" si="13"/>
        <v>-740.11809999999991</v>
      </c>
      <c r="P39">
        <f t="shared" ca="1" si="14"/>
        <v>-727.21559999999999</v>
      </c>
      <c r="Q39">
        <f t="shared" ca="1" si="14"/>
        <v>-718.25369999999998</v>
      </c>
    </row>
    <row r="40" spans="1:17">
      <c r="A40" t="s">
        <v>121</v>
      </c>
      <c r="B40" t="s">
        <v>77</v>
      </c>
      <c r="C40">
        <v>0</v>
      </c>
      <c r="D40">
        <f ca="1">'AR6 Pathways'!AB16-'AR6 Pathways'!$AA16</f>
        <v>-21.994400000000002</v>
      </c>
      <c r="E40">
        <f ca="1">'AR6 Pathways'!AC16-'AR6 Pathways'!$AA16</f>
        <v>-24.3306</v>
      </c>
      <c r="F40">
        <f ca="1">'AR6 Pathways'!AD16-'AR6 Pathways'!$AA16</f>
        <v>-26.154400000000003</v>
      </c>
      <c r="G40">
        <f ca="1">'AR6 Pathways'!AE16-'AR6 Pathways'!$AA16</f>
        <v>-27.132900000000003</v>
      </c>
      <c r="H40">
        <f ca="1">'AR6 Pathways'!AF16-'AR6 Pathways'!$AA16</f>
        <v>-27.687100000000001</v>
      </c>
      <c r="I40">
        <f ca="1">'AR6 Pathways'!AG16-'AR6 Pathways'!$AA16</f>
        <v>-28.103300000000001</v>
      </c>
      <c r="K40">
        <f t="shared" si="15"/>
        <v>0</v>
      </c>
      <c r="L40">
        <f t="shared" ca="1" si="10"/>
        <v>-21.994400000000002</v>
      </c>
      <c r="M40">
        <f t="shared" ca="1" si="11"/>
        <v>-24.3306</v>
      </c>
      <c r="N40">
        <f t="shared" ca="1" si="12"/>
        <v>-26.154400000000003</v>
      </c>
      <c r="O40">
        <f t="shared" ca="1" si="13"/>
        <v>-27.132900000000003</v>
      </c>
      <c r="P40">
        <f t="shared" ca="1" si="14"/>
        <v>-27.687100000000001</v>
      </c>
      <c r="Q40">
        <f t="shared" ca="1" si="14"/>
        <v>-28.103300000000001</v>
      </c>
    </row>
    <row r="41" spans="1:17">
      <c r="A41" t="s">
        <v>122</v>
      </c>
      <c r="B41" t="s">
        <v>78</v>
      </c>
      <c r="C41">
        <v>0</v>
      </c>
      <c r="D41">
        <f ca="1">'AR6 Pathways'!AB19-'AR6 Pathways'!$AA19</f>
        <v>-3.2979000000000003</v>
      </c>
      <c r="E41">
        <f ca="1">'AR6 Pathways'!AC19-'AR6 Pathways'!$AA19</f>
        <v>-3.5110000000000001</v>
      </c>
      <c r="F41">
        <f ca="1">'AR6 Pathways'!AD19-'AR6 Pathways'!$AA19</f>
        <v>-3.8164000000000002</v>
      </c>
      <c r="G41">
        <f ca="1">'AR6 Pathways'!AE19-'AR6 Pathways'!$AA19</f>
        <v>-3.9281000000000001</v>
      </c>
      <c r="H41">
        <f ca="1">'AR6 Pathways'!AF19-'AR6 Pathways'!$AA19</f>
        <v>-3.9960899450836802</v>
      </c>
      <c r="I41">
        <f ca="1">'AR6 Pathways'!AG19-'AR6 Pathways'!$AA19</f>
        <v>-4.1285349662780764</v>
      </c>
      <c r="K41">
        <f t="shared" si="15"/>
        <v>0</v>
      </c>
      <c r="L41">
        <f t="shared" ca="1" si="10"/>
        <v>-3.2979000000000003</v>
      </c>
      <c r="M41">
        <f t="shared" ca="1" si="11"/>
        <v>-3.5110000000000001</v>
      </c>
      <c r="N41">
        <f t="shared" ca="1" si="12"/>
        <v>-3.8164000000000002</v>
      </c>
      <c r="O41">
        <f t="shared" ca="1" si="13"/>
        <v>-3.9281000000000001</v>
      </c>
      <c r="P41">
        <f t="shared" ca="1" si="14"/>
        <v>-3.9960899450836802</v>
      </c>
      <c r="Q41">
        <f t="shared" ca="1" si="14"/>
        <v>-4.1285349662780764</v>
      </c>
    </row>
    <row r="43" spans="1:17">
      <c r="C43" t="s">
        <v>123</v>
      </c>
      <c r="K43" t="s">
        <v>124</v>
      </c>
    </row>
    <row r="44" spans="1:17">
      <c r="C44">
        <v>2020</v>
      </c>
      <c r="D44">
        <f>C44+10</f>
        <v>2030</v>
      </c>
      <c r="E44">
        <f t="shared" ref="E44:H44" si="16">D44+10</f>
        <v>2040</v>
      </c>
      <c r="F44">
        <f t="shared" si="16"/>
        <v>2050</v>
      </c>
      <c r="G44">
        <f t="shared" si="16"/>
        <v>2060</v>
      </c>
      <c r="H44">
        <f t="shared" si="16"/>
        <v>2070</v>
      </c>
      <c r="I44">
        <f t="shared" ref="I44" si="17">H44+10</f>
        <v>2080</v>
      </c>
      <c r="K44">
        <v>2020</v>
      </c>
      <c r="L44">
        <v>2030</v>
      </c>
      <c r="M44">
        <v>2040</v>
      </c>
      <c r="N44">
        <v>2050</v>
      </c>
      <c r="O44">
        <v>2060</v>
      </c>
      <c r="P44">
        <v>2070</v>
      </c>
      <c r="Q44">
        <v>2070</v>
      </c>
    </row>
    <row r="45" spans="1:17">
      <c r="A45" t="s">
        <v>35</v>
      </c>
      <c r="B45" t="s">
        <v>75</v>
      </c>
      <c r="C45">
        <f t="shared" ref="C45:I51" si="18">C35*$C$25</f>
        <v>0</v>
      </c>
      <c r="D45">
        <f t="shared" ca="1" si="18"/>
        <v>-45.283840464663385</v>
      </c>
      <c r="E45">
        <f t="shared" ca="1" si="18"/>
        <v>-75.212554235783884</v>
      </c>
      <c r="F45">
        <f t="shared" ca="1" si="18"/>
        <v>-94.666920377899103</v>
      </c>
      <c r="G45">
        <f t="shared" ca="1" si="18"/>
        <v>-101.00426760412296</v>
      </c>
      <c r="H45">
        <f t="shared" ca="1" si="18"/>
        <v>-104.42438623948981</v>
      </c>
      <c r="I45">
        <f t="shared" ca="1" si="18"/>
        <v>-109.40225620738677</v>
      </c>
      <c r="K45">
        <f t="shared" ref="K45:Q51" si="19">K35*$C$26</f>
        <v>0</v>
      </c>
      <c r="L45">
        <f t="shared" ca="1" si="19"/>
        <v>-30.46661013720718</v>
      </c>
      <c r="M45">
        <f t="shared" ca="1" si="19"/>
        <v>-50.602412335439972</v>
      </c>
      <c r="N45">
        <f t="shared" ca="1" si="19"/>
        <v>-63.691156192772908</v>
      </c>
      <c r="O45">
        <f t="shared" ca="1" si="19"/>
        <v>-67.954873343621429</v>
      </c>
      <c r="P45">
        <f t="shared" ca="1" si="19"/>
        <v>-70.255902143685972</v>
      </c>
      <c r="Q45">
        <f t="shared" ca="1" si="19"/>
        <v>-73.604973734554548</v>
      </c>
    </row>
    <row r="46" spans="1:17">
      <c r="A46" t="s">
        <v>115</v>
      </c>
      <c r="B46" t="s">
        <v>116</v>
      </c>
      <c r="C46">
        <f t="shared" si="18"/>
        <v>0</v>
      </c>
      <c r="D46">
        <f t="shared" ca="1" si="18"/>
        <v>-0.10422258286048444</v>
      </c>
      <c r="E46">
        <f t="shared" ca="1" si="18"/>
        <v>-0.14592044593648099</v>
      </c>
      <c r="F46">
        <f t="shared" ca="1" si="18"/>
        <v>-0.18524376472843299</v>
      </c>
      <c r="G46">
        <f t="shared" ca="1" si="18"/>
        <v>-0.17771646721942688</v>
      </c>
      <c r="H46">
        <f t="shared" ca="1" si="18"/>
        <v>-0.17739279731240387</v>
      </c>
      <c r="I46">
        <f t="shared" ca="1" si="18"/>
        <v>-0.17617686223563253</v>
      </c>
      <c r="K46">
        <f t="shared" si="19"/>
        <v>0</v>
      </c>
      <c r="L46">
        <f t="shared" ca="1" si="19"/>
        <v>-7.0120130424471364E-2</v>
      </c>
      <c r="M46">
        <f t="shared" ca="1" si="19"/>
        <v>-9.8174123302623262E-2</v>
      </c>
      <c r="N46">
        <f t="shared" ca="1" si="19"/>
        <v>-0.1246305415445874</v>
      </c>
      <c r="O46">
        <f t="shared" ca="1" si="19"/>
        <v>-0.11956623524369812</v>
      </c>
      <c r="P46">
        <f t="shared" ca="1" si="19"/>
        <v>-0.11934847268713866</v>
      </c>
      <c r="Q46">
        <f t="shared" ca="1" si="19"/>
        <v>-0.11853040117297335</v>
      </c>
    </row>
    <row r="47" spans="1:17">
      <c r="A47" t="s">
        <v>117</v>
      </c>
      <c r="B47" t="s">
        <v>116</v>
      </c>
      <c r="C47">
        <f t="shared" si="18"/>
        <v>0</v>
      </c>
      <c r="D47">
        <f t="shared" ca="1" si="18"/>
        <v>-0.18383995448737828</v>
      </c>
      <c r="E47">
        <f t="shared" ca="1" si="18"/>
        <v>-0.23582062284608432</v>
      </c>
      <c r="F47">
        <f t="shared" ca="1" si="18"/>
        <v>-0.25955547807071783</v>
      </c>
      <c r="G47">
        <f t="shared" ca="1" si="18"/>
        <v>-0.30286835751030794</v>
      </c>
      <c r="H47">
        <f t="shared" ca="1" si="18"/>
        <v>-0.32222758283007014</v>
      </c>
      <c r="I47">
        <f t="shared" ca="1" si="18"/>
        <v>-0.36830369731345486</v>
      </c>
      <c r="K47">
        <f t="shared" si="19"/>
        <v>0</v>
      </c>
      <c r="L47">
        <f t="shared" ca="1" si="19"/>
        <v>-0.12368606910404413</v>
      </c>
      <c r="M47">
        <f t="shared" ca="1" si="19"/>
        <v>-0.15865825214562951</v>
      </c>
      <c r="N47">
        <f t="shared" ca="1" si="19"/>
        <v>-0.17462687524322745</v>
      </c>
      <c r="O47">
        <f t="shared" ca="1" si="19"/>
        <v>-0.20376743837270797</v>
      </c>
      <c r="P47">
        <f t="shared" ca="1" si="19"/>
        <v>-0.21679217223634292</v>
      </c>
      <c r="Q47">
        <f t="shared" ca="1" si="19"/>
        <v>-0.24779181807464215</v>
      </c>
    </row>
    <row r="48" spans="1:17">
      <c r="A48" t="s">
        <v>118</v>
      </c>
      <c r="B48" t="s">
        <v>119</v>
      </c>
      <c r="C48">
        <f t="shared" si="18"/>
        <v>0</v>
      </c>
      <c r="D48">
        <f t="shared" ca="1" si="18"/>
        <v>-4.1526805069195287</v>
      </c>
      <c r="E48">
        <f t="shared" ca="1" si="18"/>
        <v>-6.487568287445761</v>
      </c>
      <c r="F48">
        <f t="shared" ca="1" si="18"/>
        <v>-7.9686144076137273</v>
      </c>
      <c r="G48">
        <f t="shared" ca="1" si="18"/>
        <v>-8.8097891745065287</v>
      </c>
      <c r="H48">
        <f t="shared" ca="1" si="18"/>
        <v>-8.8972880209730398</v>
      </c>
      <c r="I48">
        <f t="shared" ca="1" si="18"/>
        <v>-9.9976779384024539</v>
      </c>
      <c r="K48">
        <f t="shared" si="19"/>
        <v>0</v>
      </c>
      <c r="L48">
        <f t="shared" ca="1" si="19"/>
        <v>-2.7938906402477901</v>
      </c>
      <c r="M48">
        <f t="shared" ca="1" si="19"/>
        <v>-4.3647846941417336</v>
      </c>
      <c r="N48">
        <f t="shared" ca="1" si="19"/>
        <v>-5.3612208240144072</v>
      </c>
      <c r="O48">
        <f t="shared" ca="1" si="19"/>
        <v>-5.9271565621763971</v>
      </c>
      <c r="P48">
        <f t="shared" ca="1" si="19"/>
        <v>-5.9860250948670108</v>
      </c>
      <c r="Q48">
        <f t="shared" ca="1" si="19"/>
        <v>-6.7263587385957582</v>
      </c>
    </row>
    <row r="49" spans="1:17">
      <c r="A49" t="s">
        <v>120</v>
      </c>
      <c r="B49" t="s">
        <v>76</v>
      </c>
      <c r="C49">
        <f t="shared" si="18"/>
        <v>0</v>
      </c>
      <c r="D49">
        <f t="shared" ca="1" si="18"/>
        <v>-1.6283599249025325</v>
      </c>
      <c r="E49">
        <f t="shared" ca="1" si="18"/>
        <v>-1.879264034943853</v>
      </c>
      <c r="F49">
        <f t="shared" ca="1" si="18"/>
        <v>-1.8487820330355909</v>
      </c>
      <c r="G49">
        <f t="shared" ca="1" si="18"/>
        <v>-1.8195976397579838</v>
      </c>
      <c r="H49">
        <f t="shared" ca="1" si="18"/>
        <v>-1.7878765420750908</v>
      </c>
      <c r="I49">
        <f t="shared" ca="1" si="18"/>
        <v>-1.7658435015539264</v>
      </c>
      <c r="K49">
        <f t="shared" si="19"/>
        <v>0</v>
      </c>
      <c r="L49">
        <f t="shared" ca="1" si="19"/>
        <v>-1.0955476939675723</v>
      </c>
      <c r="M49">
        <f t="shared" ca="1" si="19"/>
        <v>-1.2643539971435782</v>
      </c>
      <c r="N49">
        <f t="shared" ca="1" si="19"/>
        <v>-1.2438459470574703</v>
      </c>
      <c r="O49">
        <f t="shared" ca="1" si="19"/>
        <v>-1.224210917807387</v>
      </c>
      <c r="P49">
        <f t="shared" ca="1" si="19"/>
        <v>-1.2028692138725559</v>
      </c>
      <c r="Q49">
        <f t="shared" ca="1" si="19"/>
        <v>-1.1880455582636766</v>
      </c>
    </row>
    <row r="50" spans="1:17">
      <c r="A50" t="s">
        <v>121</v>
      </c>
      <c r="B50" t="s">
        <v>77</v>
      </c>
      <c r="C50">
        <f t="shared" si="18"/>
        <v>0</v>
      </c>
      <c r="D50">
        <f t="shared" ca="1" si="18"/>
        <v>-5.4073746241164768E-2</v>
      </c>
      <c r="E50">
        <f t="shared" ca="1" si="18"/>
        <v>-5.9817348520318052E-2</v>
      </c>
      <c r="F50">
        <f t="shared" ca="1" si="18"/>
        <v>-6.4301203428596354E-2</v>
      </c>
      <c r="G50">
        <f t="shared" ca="1" si="18"/>
        <v>-6.6706868538668918E-2</v>
      </c>
      <c r="H50">
        <f t="shared" ca="1" si="18"/>
        <v>-6.8069382186090682E-2</v>
      </c>
      <c r="I50">
        <f t="shared" ca="1" si="18"/>
        <v>-6.9092619609506314E-2</v>
      </c>
      <c r="K50">
        <f t="shared" si="19"/>
        <v>0</v>
      </c>
      <c r="L50">
        <f t="shared" ca="1" si="19"/>
        <v>-3.6380389306278009E-2</v>
      </c>
      <c r="M50">
        <f t="shared" ca="1" si="19"/>
        <v>-4.0244639547126884E-2</v>
      </c>
      <c r="N50">
        <f t="shared" ca="1" si="19"/>
        <v>-4.3261341708440218E-2</v>
      </c>
      <c r="O50">
        <f t="shared" ca="1" si="19"/>
        <v>-4.4879854190535341E-2</v>
      </c>
      <c r="P50">
        <f t="shared" ca="1" si="19"/>
        <v>-4.5796542609111854E-2</v>
      </c>
      <c r="Q50">
        <f t="shared" ca="1" si="19"/>
        <v>-4.6484968664347412E-2</v>
      </c>
    </row>
    <row r="51" spans="1:17">
      <c r="A51" t="s">
        <v>122</v>
      </c>
      <c r="B51" t="s">
        <v>78</v>
      </c>
      <c r="C51">
        <f t="shared" si="18"/>
        <v>0</v>
      </c>
      <c r="D51">
        <f t="shared" ca="1" si="18"/>
        <v>-8.1079641967381367E-3</v>
      </c>
      <c r="E51">
        <f t="shared" ca="1" si="18"/>
        <v>-8.6318755252577702E-3</v>
      </c>
      <c r="F51">
        <f t="shared" ca="1" si="18"/>
        <v>-9.3827085601235413E-3</v>
      </c>
      <c r="G51">
        <f t="shared" ca="1" si="18"/>
        <v>-9.6573256196995291E-3</v>
      </c>
      <c r="H51">
        <f t="shared" ca="1" si="18"/>
        <v>-9.8244804880935586E-3</v>
      </c>
      <c r="I51">
        <f t="shared" ca="1" si="18"/>
        <v>-1.0150099666928692E-2</v>
      </c>
      <c r="K51">
        <f t="shared" si="19"/>
        <v>0</v>
      </c>
      <c r="L51">
        <f t="shared" ca="1" si="19"/>
        <v>-5.4549742613198924E-3</v>
      </c>
      <c r="M51">
        <f t="shared" ca="1" si="19"/>
        <v>-5.8074576644210375E-3</v>
      </c>
      <c r="N51">
        <f t="shared" ca="1" si="19"/>
        <v>-6.3126121989451577E-3</v>
      </c>
      <c r="O51">
        <f t="shared" ca="1" si="19"/>
        <v>-6.4973723872435996E-3</v>
      </c>
      <c r="P51">
        <f t="shared" ca="1" si="19"/>
        <v>-6.6098328622307212E-3</v>
      </c>
      <c r="Q51">
        <f t="shared" ca="1" si="19"/>
        <v>-6.8289068734667798E-3</v>
      </c>
    </row>
    <row r="53" spans="1:17">
      <c r="C53" t="s">
        <v>125</v>
      </c>
      <c r="K53" t="s">
        <v>126</v>
      </c>
    </row>
    <row r="54" spans="1:17">
      <c r="C54">
        <v>2020</v>
      </c>
      <c r="D54">
        <f>C54+10</f>
        <v>2030</v>
      </c>
      <c r="E54">
        <f t="shared" ref="E54:H54" si="20">D54+10</f>
        <v>2040</v>
      </c>
      <c r="F54">
        <f t="shared" si="20"/>
        <v>2050</v>
      </c>
      <c r="G54">
        <f t="shared" si="20"/>
        <v>2060</v>
      </c>
      <c r="H54">
        <f t="shared" si="20"/>
        <v>2070</v>
      </c>
      <c r="I54">
        <f t="shared" ref="I54" si="21">H54+10</f>
        <v>2080</v>
      </c>
      <c r="K54">
        <v>2020</v>
      </c>
      <c r="L54">
        <f>K54+10</f>
        <v>2030</v>
      </c>
      <c r="M54">
        <f t="shared" ref="M54:P54" si="22">L54+10</f>
        <v>2040</v>
      </c>
      <c r="N54">
        <f t="shared" si="22"/>
        <v>2050</v>
      </c>
      <c r="O54">
        <f t="shared" si="22"/>
        <v>2060</v>
      </c>
      <c r="P54">
        <f t="shared" si="22"/>
        <v>2070</v>
      </c>
      <c r="Q54">
        <f t="shared" ref="Q54" si="23">P54+10</f>
        <v>2080</v>
      </c>
    </row>
    <row r="55" spans="1:17">
      <c r="A55" t="s">
        <v>35</v>
      </c>
      <c r="B55" t="s">
        <v>127</v>
      </c>
      <c r="C55">
        <f>C113*1000</f>
        <v>26357.079999999994</v>
      </c>
      <c r="D55">
        <f t="shared" ref="D55:I57" ca="1" si="24">$C55+D45*1000</f>
        <v>-18926.760464663392</v>
      </c>
      <c r="E55">
        <f t="shared" ca="1" si="24"/>
        <v>-48855.474235783891</v>
      </c>
      <c r="F55">
        <f t="shared" ca="1" si="24"/>
        <v>-68309.84037789912</v>
      </c>
      <c r="G55">
        <f t="shared" ca="1" si="24"/>
        <v>-74647.18760412297</v>
      </c>
      <c r="H55">
        <f t="shared" ca="1" si="24"/>
        <v>-78067.306239489815</v>
      </c>
      <c r="I55">
        <f t="shared" ca="1" si="24"/>
        <v>-83045.176207386772</v>
      </c>
      <c r="K55">
        <f>C55</f>
        <v>26357.079999999994</v>
      </c>
      <c r="L55">
        <f t="shared" ref="L55:Q57" ca="1" si="25">$K55+L45*1000</f>
        <v>-4109.5301372071845</v>
      </c>
      <c r="M55">
        <f t="shared" ca="1" si="25"/>
        <v>-24245.332335439976</v>
      </c>
      <c r="N55">
        <f t="shared" ca="1" si="25"/>
        <v>-37334.076192772911</v>
      </c>
      <c r="O55">
        <f t="shared" ca="1" si="25"/>
        <v>-41597.79334362143</v>
      </c>
      <c r="P55">
        <f t="shared" ca="1" si="25"/>
        <v>-43898.822143685982</v>
      </c>
      <c r="Q55">
        <f t="shared" ca="1" si="25"/>
        <v>-47247.893734554549</v>
      </c>
    </row>
    <row r="56" spans="1:17">
      <c r="A56" t="s">
        <v>115</v>
      </c>
      <c r="B56" t="s">
        <v>128</v>
      </c>
      <c r="C56">
        <f>C115*1000</f>
        <v>1310.5301293571429</v>
      </c>
      <c r="D56">
        <f t="shared" ca="1" si="24"/>
        <v>1206.3075464966585</v>
      </c>
      <c r="E56">
        <f t="shared" ca="1" si="24"/>
        <v>1164.6096834206619</v>
      </c>
      <c r="F56">
        <f t="shared" ca="1" si="24"/>
        <v>1125.2863646287099</v>
      </c>
      <c r="G56">
        <f t="shared" ca="1" si="24"/>
        <v>1132.8136621377159</v>
      </c>
      <c r="H56">
        <f t="shared" ca="1" si="24"/>
        <v>1133.137332044739</v>
      </c>
      <c r="I56">
        <f t="shared" ca="1" si="24"/>
        <v>1134.3532671215103</v>
      </c>
      <c r="K56">
        <f>C56</f>
        <v>1310.5301293571429</v>
      </c>
      <c r="L56">
        <f t="shared" ca="1" si="25"/>
        <v>1240.4099989326714</v>
      </c>
      <c r="M56">
        <f t="shared" ca="1" si="25"/>
        <v>1212.3560060545196</v>
      </c>
      <c r="N56">
        <f t="shared" ca="1" si="25"/>
        <v>1185.8995878125554</v>
      </c>
      <c r="O56">
        <f t="shared" ca="1" si="25"/>
        <v>1190.9638941134447</v>
      </c>
      <c r="P56">
        <f t="shared" ca="1" si="25"/>
        <v>1191.1816566700043</v>
      </c>
      <c r="Q56">
        <f t="shared" ca="1" si="25"/>
        <v>1191.9997281841695</v>
      </c>
    </row>
    <row r="57" spans="1:17">
      <c r="A57" t="s">
        <v>117</v>
      </c>
      <c r="B57" t="s">
        <v>128</v>
      </c>
      <c r="C57">
        <f>(C116-C115)*1000</f>
        <v>25.583928571428551</v>
      </c>
      <c r="D57">
        <f t="shared" ca="1" si="24"/>
        <v>-158.25602591594972</v>
      </c>
      <c r="E57">
        <f t="shared" ca="1" si="24"/>
        <v>-210.23669427465578</v>
      </c>
      <c r="F57">
        <f t="shared" ca="1" si="24"/>
        <v>-233.97154949928927</v>
      </c>
      <c r="G57">
        <f t="shared" ca="1" si="24"/>
        <v>-277.28442893887939</v>
      </c>
      <c r="H57">
        <f t="shared" ca="1" si="24"/>
        <v>-296.64365425864162</v>
      </c>
      <c r="I57">
        <f t="shared" ca="1" si="24"/>
        <v>-342.7197687420263</v>
      </c>
      <c r="K57">
        <f t="shared" ref="K57:K61" si="26">C57</f>
        <v>25.583928571428551</v>
      </c>
      <c r="L57">
        <f t="shared" ca="1" si="25"/>
        <v>-98.102140532615579</v>
      </c>
      <c r="M57">
        <f t="shared" ca="1" si="25"/>
        <v>-133.07432357420097</v>
      </c>
      <c r="N57">
        <f t="shared" ca="1" si="25"/>
        <v>-149.04294667179892</v>
      </c>
      <c r="O57">
        <f t="shared" ca="1" si="25"/>
        <v>-178.18350980127943</v>
      </c>
      <c r="P57">
        <f t="shared" ca="1" si="25"/>
        <v>-191.20824366491439</v>
      </c>
      <c r="Q57">
        <f t="shared" ca="1" si="25"/>
        <v>-222.20788950321361</v>
      </c>
    </row>
    <row r="58" spans="1:17">
      <c r="A58" t="s">
        <v>118</v>
      </c>
      <c r="B58" t="s">
        <v>129</v>
      </c>
      <c r="C58">
        <f>'1990-2050 Central estimate AR5'!AG84/GWP_N2O_AR5</f>
        <v>27.310530193962261</v>
      </c>
      <c r="D58">
        <f t="shared" ref="D58:I61" ca="1" si="27">$C58+D48</f>
        <v>23.157849687042734</v>
      </c>
      <c r="E58">
        <f t="shared" ca="1" si="27"/>
        <v>20.8229619065165</v>
      </c>
      <c r="F58">
        <f t="shared" ca="1" si="27"/>
        <v>19.341915786348533</v>
      </c>
      <c r="G58">
        <f t="shared" ca="1" si="27"/>
        <v>18.500741019455731</v>
      </c>
      <c r="H58">
        <f t="shared" ca="1" si="27"/>
        <v>18.413242172989222</v>
      </c>
      <c r="I58">
        <f t="shared" ca="1" si="27"/>
        <v>17.312852255559807</v>
      </c>
      <c r="K58">
        <f t="shared" si="26"/>
        <v>27.310530193962261</v>
      </c>
      <c r="L58">
        <f t="shared" ref="L58:Q61" ca="1" si="28">$K58+L48</f>
        <v>24.516639553714469</v>
      </c>
      <c r="M58">
        <f t="shared" ca="1" si="28"/>
        <v>22.945745499820529</v>
      </c>
      <c r="N58">
        <f t="shared" ca="1" si="28"/>
        <v>21.949309369947855</v>
      </c>
      <c r="O58">
        <f t="shared" ca="1" si="28"/>
        <v>21.383373631785865</v>
      </c>
      <c r="P58">
        <f t="shared" ca="1" si="28"/>
        <v>21.324505099095251</v>
      </c>
      <c r="Q58">
        <f t="shared" ca="1" si="28"/>
        <v>20.584171455366501</v>
      </c>
    </row>
    <row r="59" spans="1:17">
      <c r="A59" t="s">
        <v>120</v>
      </c>
      <c r="B59" t="s">
        <v>76</v>
      </c>
      <c r="C59">
        <f ca="1">'1990-2050 Central estimate AR5'!AG86/GWP_HFC134a</f>
        <v>1.047623076923077</v>
      </c>
      <c r="D59">
        <f t="shared" ca="1" si="27"/>
        <v>-0.58073684797945546</v>
      </c>
      <c r="E59">
        <f t="shared" ca="1" si="27"/>
        <v>-0.83164095802077598</v>
      </c>
      <c r="F59">
        <f t="shared" ca="1" si="27"/>
        <v>-0.80115895611251386</v>
      </c>
      <c r="G59">
        <f t="shared" ca="1" si="27"/>
        <v>-0.77197456283490684</v>
      </c>
      <c r="H59">
        <f t="shared" ca="1" si="27"/>
        <v>-0.74025346515201385</v>
      </c>
      <c r="I59">
        <f t="shared" ca="1" si="27"/>
        <v>-0.71822042463084945</v>
      </c>
      <c r="K59">
        <f t="shared" ca="1" si="26"/>
        <v>1.047623076923077</v>
      </c>
      <c r="L59">
        <f t="shared" ca="1" si="28"/>
        <v>-4.7924617044495355E-2</v>
      </c>
      <c r="M59">
        <f t="shared" ca="1" si="28"/>
        <v>-0.21673092022050122</v>
      </c>
      <c r="N59">
        <f t="shared" ca="1" si="28"/>
        <v>-0.19622287013439332</v>
      </c>
      <c r="O59">
        <f t="shared" ca="1" si="28"/>
        <v>-0.17658784088431001</v>
      </c>
      <c r="P59">
        <f t="shared" ca="1" si="28"/>
        <v>-0.15524613694947886</v>
      </c>
      <c r="Q59">
        <f t="shared" ca="1" si="28"/>
        <v>-0.14042248134059965</v>
      </c>
    </row>
    <row r="60" spans="1:17">
      <c r="A60" t="s">
        <v>121</v>
      </c>
      <c r="B60" t="s">
        <v>77</v>
      </c>
      <c r="C60">
        <f ca="1">'1990-2050 Central estimate AR5'!AG87/GWP_CF4</f>
        <v>1.1924585218702866E-2</v>
      </c>
      <c r="D60">
        <f t="shared" ca="1" si="27"/>
        <v>-4.2149161022461898E-2</v>
      </c>
      <c r="E60">
        <f t="shared" ca="1" si="27"/>
        <v>-4.7892763301615182E-2</v>
      </c>
      <c r="F60">
        <f t="shared" ca="1" si="27"/>
        <v>-5.2376618209893491E-2</v>
      </c>
      <c r="G60">
        <f t="shared" ca="1" si="27"/>
        <v>-5.4782283319966055E-2</v>
      </c>
      <c r="H60">
        <f t="shared" ca="1" si="27"/>
        <v>-5.6144796967387819E-2</v>
      </c>
      <c r="I60">
        <f t="shared" ca="1" si="27"/>
        <v>-5.7168034390803452E-2</v>
      </c>
      <c r="K60">
        <f t="shared" ca="1" si="26"/>
        <v>1.1924585218702866E-2</v>
      </c>
      <c r="L60">
        <f t="shared" ca="1" si="28"/>
        <v>-2.4455804087575143E-2</v>
      </c>
      <c r="M60">
        <f t="shared" ca="1" si="28"/>
        <v>-2.8320054328424018E-2</v>
      </c>
      <c r="N60">
        <f t="shared" ca="1" si="28"/>
        <v>-3.1336756489737355E-2</v>
      </c>
      <c r="O60">
        <f t="shared" ca="1" si="28"/>
        <v>-3.2955268971832472E-2</v>
      </c>
      <c r="P60">
        <f t="shared" ca="1" si="28"/>
        <v>-3.3871957390408991E-2</v>
      </c>
      <c r="Q60">
        <f t="shared" ca="1" si="28"/>
        <v>-3.4560383445644549E-2</v>
      </c>
    </row>
    <row r="61" spans="1:17">
      <c r="A61" t="s">
        <v>122</v>
      </c>
      <c r="B61" t="s">
        <v>78</v>
      </c>
      <c r="C61">
        <f ca="1">'1990-2050 Central estimate AR5'!AG85/GWP_SF6</f>
        <v>7.3191489361702127E-4</v>
      </c>
      <c r="D61">
        <f t="shared" ca="1" si="27"/>
        <v>-7.3760493031211159E-3</v>
      </c>
      <c r="E61">
        <f t="shared" ca="1" si="27"/>
        <v>-7.8999606316407494E-3</v>
      </c>
      <c r="F61">
        <f t="shared" ca="1" si="27"/>
        <v>-8.6507936665065205E-3</v>
      </c>
      <c r="G61">
        <f t="shared" ca="1" si="27"/>
        <v>-8.9254107260825083E-3</v>
      </c>
      <c r="H61">
        <f t="shared" ca="1" si="27"/>
        <v>-9.0925655944765378E-3</v>
      </c>
      <c r="I61">
        <f t="shared" ca="1" si="27"/>
        <v>-9.4181847733116712E-3</v>
      </c>
      <c r="K61">
        <f t="shared" ca="1" si="26"/>
        <v>7.3191489361702127E-4</v>
      </c>
      <c r="L61">
        <f t="shared" ca="1" si="28"/>
        <v>-4.7230593677028716E-3</v>
      </c>
      <c r="M61">
        <f t="shared" ca="1" si="28"/>
        <v>-5.0755427708040167E-3</v>
      </c>
      <c r="N61">
        <f t="shared" ca="1" si="28"/>
        <v>-5.5806973053281368E-3</v>
      </c>
      <c r="O61">
        <f t="shared" ca="1" si="28"/>
        <v>-5.7654574936265787E-3</v>
      </c>
      <c r="P61">
        <f t="shared" ca="1" si="28"/>
        <v>-5.8779179686136995E-3</v>
      </c>
      <c r="Q61">
        <f t="shared" ca="1" si="28"/>
        <v>-6.0969919798497581E-3</v>
      </c>
    </row>
    <row r="62" spans="1:17">
      <c r="A62" t="s">
        <v>130</v>
      </c>
      <c r="B62" t="s">
        <v>128</v>
      </c>
      <c r="C62">
        <f>C57+C56</f>
        <v>1336.1140579285714</v>
      </c>
      <c r="D62">
        <f t="shared" ref="D62:H62" ca="1" si="29">D57+D56</f>
        <v>1048.0515205807087</v>
      </c>
      <c r="E62">
        <f t="shared" ca="1" si="29"/>
        <v>954.37298914600615</v>
      </c>
      <c r="F62">
        <f t="shared" ca="1" si="29"/>
        <v>891.31481512942059</v>
      </c>
      <c r="G62">
        <f t="shared" ca="1" si="29"/>
        <v>855.52923319883655</v>
      </c>
      <c r="H62">
        <f t="shared" ca="1" si="29"/>
        <v>836.49367778609735</v>
      </c>
      <c r="I62">
        <f t="shared" ref="I62" ca="1" si="30">I57+I56</f>
        <v>791.63349837948397</v>
      </c>
      <c r="K62">
        <f>K56+K57</f>
        <v>1336.1140579285714</v>
      </c>
      <c r="L62">
        <f ca="1">L56+L57</f>
        <v>1142.3078584000559</v>
      </c>
      <c r="M62">
        <f t="shared" ref="M62:P62" ca="1" si="31">M56+M57</f>
        <v>1079.2816824803188</v>
      </c>
      <c r="N62">
        <f t="shared" ca="1" si="31"/>
        <v>1036.8566411407564</v>
      </c>
      <c r="O62">
        <f t="shared" ca="1" si="31"/>
        <v>1012.7803843121652</v>
      </c>
      <c r="P62">
        <f t="shared" ca="1" si="31"/>
        <v>999.97341300508992</v>
      </c>
      <c r="Q62">
        <f t="shared" ref="Q62" ca="1" si="32">Q56+Q57</f>
        <v>969.79183868095583</v>
      </c>
    </row>
    <row r="63" spans="1:17">
      <c r="C63" s="130"/>
    </row>
    <row r="64" spans="1:17">
      <c r="C64" s="130"/>
    </row>
    <row r="65" spans="1:16" s="9" customFormat="1">
      <c r="D65" s="195" t="s">
        <v>131</v>
      </c>
    </row>
    <row r="66" spans="1:16">
      <c r="B66" t="s">
        <v>65</v>
      </c>
      <c r="D66" t="s">
        <v>132</v>
      </c>
    </row>
    <row r="67" spans="1:16">
      <c r="D67">
        <v>2030</v>
      </c>
      <c r="E67">
        <v>2040</v>
      </c>
      <c r="F67">
        <v>2050</v>
      </c>
      <c r="G67">
        <v>2060</v>
      </c>
      <c r="H67">
        <v>2070</v>
      </c>
    </row>
    <row r="68" spans="1:16">
      <c r="A68" t="s">
        <v>35</v>
      </c>
      <c r="B68" t="str">
        <f>'AR6 Pathways'!D10</f>
        <v>Mt CO2/yr</v>
      </c>
      <c r="D68" s="137">
        <f ca="1">'AR6 Pathways'!AB11-'AR6 Pathways'!$AA$11</f>
        <v>-21433.927199999998</v>
      </c>
      <c r="E68" s="137">
        <f ca="1">'AR6 Pathways'!AC11-'AR6 Pathways'!$AA$11</f>
        <v>-32196.398599999997</v>
      </c>
      <c r="F68" s="137">
        <f ca="1">'AR6 Pathways'!AD11-'AR6 Pathways'!$AA$11</f>
        <v>-39732.715360594542</v>
      </c>
      <c r="G68" s="137">
        <f ca="1">'AR6 Pathways'!AE11-'AR6 Pathways'!$AA$11</f>
        <v>-44962.324687499997</v>
      </c>
      <c r="H68" s="137">
        <f ca="1">'AR6 Pathways'!AF11-'AR6 Pathways'!$AA$11</f>
        <v>-46245.109299999996</v>
      </c>
    </row>
    <row r="69" spans="1:16">
      <c r="A69" t="s">
        <v>89</v>
      </c>
      <c r="B69" t="str">
        <f>'AR6 Pathways'!D49</f>
        <v>Mt CO2-equiv/yr</v>
      </c>
      <c r="D69" s="137">
        <f ca="1">'AR6 Pathways'!AB50-'AR6 Pathways'!$AA$50</f>
        <v>-24503.427895553621</v>
      </c>
      <c r="E69" s="137">
        <f ca="1">'AR6 Pathways'!AC50-'AR6 Pathways'!$AA$50</f>
        <v>-36015.774268477355</v>
      </c>
      <c r="F69" s="137">
        <f ca="1">'AR6 Pathways'!AD50-'AR6 Pathways'!$AA$50</f>
        <v>-44339.032303982371</v>
      </c>
      <c r="G69" s="137">
        <f ca="1">'AR6 Pathways'!AE50-'AR6 Pathways'!$AA$50</f>
        <v>-49746.652969859926</v>
      </c>
      <c r="H69" s="137">
        <f ca="1">'AR6 Pathways'!AF50-'AR6 Pathways'!$AA$50</f>
        <v>-50977.547107342572</v>
      </c>
    </row>
    <row r="70" spans="1:16">
      <c r="A70" t="s">
        <v>88</v>
      </c>
      <c r="B70" t="str">
        <f>'AR6 Pathways'!D46</f>
        <v>Mt CH4/yr</v>
      </c>
      <c r="D70" s="137">
        <f ca="1">'AR6 Pathways'!AB47-'AR6 Pathways'!$AA$47</f>
        <v>-62.043740711755618</v>
      </c>
      <c r="E70" s="137">
        <f ca="1">'AR6 Pathways'!AC47-'AR6 Pathways'!$AA$47</f>
        <v>-91.325576897473141</v>
      </c>
      <c r="F70" s="137">
        <f ca="1">'AR6 Pathways'!AD47-'AR6 Pathways'!$AA$47</f>
        <v>-102.8904036241376</v>
      </c>
      <c r="G70" s="137">
        <f ca="1">'AR6 Pathways'!AE47-'AR6 Pathways'!$AA$47</f>
        <v>-107.12068273936069</v>
      </c>
      <c r="H70" s="137">
        <f ca="1">'AR6 Pathways'!AF47-'AR6 Pathways'!$AA$47</f>
        <v>-113.87787270000001</v>
      </c>
    </row>
    <row r="71" spans="1:16">
      <c r="A71" t="s">
        <v>133</v>
      </c>
      <c r="B71" t="str">
        <f>'AR6 Pathways'!D4</f>
        <v>Mt CH4/yr</v>
      </c>
      <c r="D71" s="137">
        <f ca="1">'AR6 Pathways'!AB5-'AR6 Pathways'!$AA$5</f>
        <v>-127.60371983752091</v>
      </c>
      <c r="E71" s="137">
        <f ca="1">'AR6 Pathways'!AC5-'AR6 Pathways'!$AA$5</f>
        <v>-171.384621335454</v>
      </c>
      <c r="F71" s="137">
        <f ca="1">'AR6 Pathways'!AD5-'AR6 Pathways'!$AA$5</f>
        <v>-205.36488035448292</v>
      </c>
      <c r="G71" s="137">
        <f ca="1">'AR6 Pathways'!AE5-'AR6 Pathways'!$AA$5</f>
        <v>-213.9039443708227</v>
      </c>
      <c r="H71" s="137">
        <f ca="1">'AR6 Pathways'!AF5-'AR6 Pathways'!$AA$5</f>
        <v>-216.01212832315031</v>
      </c>
    </row>
    <row r="72" spans="1:16">
      <c r="A72" t="s">
        <v>82</v>
      </c>
      <c r="B72" t="str">
        <f>'AR6 Pathways'!D25</f>
        <v>Mt CO2-equiv/yr</v>
      </c>
      <c r="D72" s="137">
        <f ca="1">'AR6 Pathways'!AB26-'AR6 Pathways'!$AA$26</f>
        <v>-26240.65263548278</v>
      </c>
      <c r="E72" s="137">
        <f ca="1">'AR6 Pathways'!AC26-'AR6 Pathways'!$AA$26</f>
        <v>-38572.890421606608</v>
      </c>
      <c r="F72" s="137">
        <f ca="1">'AR6 Pathways'!AD26-'AR6 Pathways'!$AA$26</f>
        <v>-47219.963605458222</v>
      </c>
      <c r="G72" s="137">
        <f ca="1">'AR6 Pathways'!AE26-'AR6 Pathways'!$AA$26</f>
        <v>-52746.032086562031</v>
      </c>
      <c r="H72" s="137">
        <f ca="1">'AR6 Pathways'!AF26-'AR6 Pathways'!$AA$26</f>
        <v>-54166.127542942573</v>
      </c>
    </row>
    <row r="73" spans="1:16">
      <c r="C73" s="138"/>
    </row>
    <row r="74" spans="1:16">
      <c r="D74" s="130"/>
    </row>
    <row r="75" spans="1:16">
      <c r="C75" s="138"/>
      <c r="D75" t="s">
        <v>134</v>
      </c>
      <c r="L75" t="s">
        <v>135</v>
      </c>
    </row>
    <row r="76" spans="1:16">
      <c r="C76" s="138"/>
      <c r="D76">
        <v>2030</v>
      </c>
      <c r="E76">
        <v>2040</v>
      </c>
      <c r="F76">
        <v>2050</v>
      </c>
      <c r="G76">
        <v>2060</v>
      </c>
      <c r="H76">
        <v>2070</v>
      </c>
      <c r="L76">
        <v>2030</v>
      </c>
      <c r="M76">
        <v>2040</v>
      </c>
      <c r="N76">
        <v>2050</v>
      </c>
      <c r="O76">
        <v>2060</v>
      </c>
      <c r="P76">
        <v>2070</v>
      </c>
    </row>
    <row r="77" spans="1:16">
      <c r="A77" t="s">
        <v>35</v>
      </c>
      <c r="B77" t="str">
        <f>B68</f>
        <v>Mt CO2/yr</v>
      </c>
      <c r="C77" s="138"/>
      <c r="D77" s="127">
        <f t="shared" ref="D77:H81" ca="1" si="33">$C$25*D68</f>
        <v>-52.695810768395546</v>
      </c>
      <c r="E77">
        <f t="shared" ca="1" si="33"/>
        <v>-79.155598142063084</v>
      </c>
      <c r="F77">
        <f t="shared" ca="1" si="33"/>
        <v>-97.683808964155361</v>
      </c>
      <c r="G77">
        <f t="shared" ca="1" si="33"/>
        <v>-110.54092567038576</v>
      </c>
      <c r="H77">
        <f t="shared" ca="1" si="33"/>
        <v>-113.69468160909724</v>
      </c>
      <c r="L77" s="127">
        <f t="shared" ref="L77:P81" ca="1" si="34">$C$26*D68</f>
        <v>-35.453325205435071</v>
      </c>
      <c r="M77">
        <f t="shared" ca="1" si="34"/>
        <v>-53.255261126837013</v>
      </c>
      <c r="N77">
        <f t="shared" ca="1" si="34"/>
        <v>-65.720895001180367</v>
      </c>
      <c r="O77">
        <f t="shared" ca="1" si="34"/>
        <v>-74.371061554146706</v>
      </c>
      <c r="P77" s="127">
        <f t="shared" ca="1" si="34"/>
        <v>-76.492883636079057</v>
      </c>
    </row>
    <row r="78" spans="1:16">
      <c r="A78" t="s">
        <v>89</v>
      </c>
      <c r="B78" t="str">
        <f>B69</f>
        <v>Mt CO2-equiv/yr</v>
      </c>
      <c r="C78" s="138"/>
      <c r="D78">
        <f t="shared" ca="1" si="33"/>
        <v>-60.242249939204726</v>
      </c>
      <c r="E78">
        <f t="shared" ca="1" si="33"/>
        <v>-88.545622452656858</v>
      </c>
      <c r="F78">
        <f t="shared" ca="1" si="33"/>
        <v>-109.00854678392453</v>
      </c>
      <c r="G78">
        <f t="shared" ca="1" si="33"/>
        <v>-122.30330852578342</v>
      </c>
      <c r="H78">
        <f t="shared" ca="1" si="33"/>
        <v>-125.32949051938061</v>
      </c>
      <c r="L78">
        <f t="shared" ca="1" si="34"/>
        <v>-40.53050986517264</v>
      </c>
      <c r="M78">
        <f t="shared" ca="1" si="34"/>
        <v>-59.572795304906521</v>
      </c>
      <c r="N78">
        <f t="shared" ca="1" si="34"/>
        <v>-73.340089144623875</v>
      </c>
      <c r="O78">
        <f t="shared" ca="1" si="34"/>
        <v>-82.284699820309484</v>
      </c>
      <c r="P78" s="127">
        <f t="shared" ca="1" si="34"/>
        <v>-84.320691159761068</v>
      </c>
    </row>
    <row r="79" spans="1:16">
      <c r="A79" t="s">
        <v>88</v>
      </c>
      <c r="B79" t="str">
        <f>B70</f>
        <v>Mt CH4/yr</v>
      </c>
      <c r="D79">
        <f t="shared" ca="1" si="33"/>
        <v>-0.15253598602826612</v>
      </c>
      <c r="E79">
        <f t="shared" ca="1" si="33"/>
        <v>-0.22452606438374959</v>
      </c>
      <c r="F79">
        <f t="shared" ca="1" si="33"/>
        <v>-0.2529584610729384</v>
      </c>
      <c r="G79">
        <f t="shared" ca="1" si="33"/>
        <v>-0.26335870110703213</v>
      </c>
      <c r="H79">
        <f t="shared" ca="1" si="33"/>
        <v>-0.27997141048919111</v>
      </c>
      <c r="L79">
        <f t="shared" ca="1" si="34"/>
        <v>-0.10262500641578944</v>
      </c>
      <c r="M79">
        <f t="shared" ca="1" si="34"/>
        <v>-0.15105936243546092</v>
      </c>
      <c r="N79">
        <f t="shared" ca="1" si="34"/>
        <v>-0.17018845432138197</v>
      </c>
      <c r="O79">
        <f t="shared" ca="1" si="34"/>
        <v>-0.17718565365785091</v>
      </c>
      <c r="P79">
        <f t="shared" ca="1" si="34"/>
        <v>-0.18836255329523735</v>
      </c>
    </row>
    <row r="80" spans="1:16">
      <c r="A80" t="s">
        <v>133</v>
      </c>
      <c r="B80" t="str">
        <f>B71</f>
        <v>Mt CH4/yr</v>
      </c>
      <c r="D80">
        <f t="shared" ca="1" si="33"/>
        <v>-0.31371672634501452</v>
      </c>
      <c r="E80">
        <f t="shared" ca="1" si="33"/>
        <v>-0.4213530955030122</v>
      </c>
      <c r="F80">
        <f t="shared" ca="1" si="33"/>
        <v>-0.50489435616045319</v>
      </c>
      <c r="G80">
        <f t="shared" ca="1" si="33"/>
        <v>-0.52588784453734083</v>
      </c>
      <c r="H80">
        <f t="shared" ca="1" si="33"/>
        <v>-0.53107086403629788</v>
      </c>
      <c r="L80">
        <f t="shared" ca="1" si="34"/>
        <v>-0.21106613522615938</v>
      </c>
      <c r="M80">
        <f t="shared" ca="1" si="34"/>
        <v>-0.28348303410381076</v>
      </c>
      <c r="N80">
        <f t="shared" ca="1" si="34"/>
        <v>-0.33968893432570529</v>
      </c>
      <c r="O80">
        <f t="shared" ca="1" si="34"/>
        <v>-0.35381318746403462</v>
      </c>
      <c r="P80">
        <f t="shared" ca="1" si="34"/>
        <v>-0.35730028203878667</v>
      </c>
    </row>
    <row r="81" spans="1:16">
      <c r="A81" t="s">
        <v>82</v>
      </c>
      <c r="B81" t="str">
        <f>B72</f>
        <v>Mt CO2-equiv/yr</v>
      </c>
      <c r="D81">
        <f t="shared" ca="1" si="33"/>
        <v>-64.513257547996176</v>
      </c>
      <c r="E81">
        <f t="shared" ca="1" si="33"/>
        <v>-94.832352255401858</v>
      </c>
      <c r="F81">
        <f t="shared" ca="1" si="33"/>
        <v>-116.0913836939668</v>
      </c>
      <c r="G81">
        <f t="shared" ca="1" si="33"/>
        <v>-129.67735215678033</v>
      </c>
      <c r="H81">
        <f t="shared" ca="1" si="33"/>
        <v>-133.16869001307796</v>
      </c>
      <c r="L81">
        <f t="shared" ca="1" si="34"/>
        <v>-43.404010044814747</v>
      </c>
      <c r="M81">
        <f t="shared" ca="1" si="34"/>
        <v>-63.802457453099436</v>
      </c>
      <c r="N81">
        <f t="shared" ca="1" si="34"/>
        <v>-78.105365865622559</v>
      </c>
      <c r="O81">
        <f t="shared" ca="1" si="34"/>
        <v>-87.245898122729315</v>
      </c>
      <c r="P81" s="127">
        <f t="shared" ca="1" si="34"/>
        <v>-89.594842652027722</v>
      </c>
    </row>
    <row r="83" spans="1:16" ht="13.5" customHeight="1">
      <c r="E83" t="s">
        <v>136</v>
      </c>
      <c r="L83" t="s">
        <v>137</v>
      </c>
    </row>
    <row r="84" spans="1:16" ht="13.5" customHeight="1">
      <c r="C84" s="141" t="s">
        <v>138</v>
      </c>
      <c r="D84">
        <f>D76</f>
        <v>2030</v>
      </c>
      <c r="E84">
        <f t="shared" ref="E84:H84" si="35">E76</f>
        <v>2040</v>
      </c>
      <c r="F84">
        <f t="shared" si="35"/>
        <v>2050</v>
      </c>
      <c r="G84">
        <f t="shared" si="35"/>
        <v>2060</v>
      </c>
      <c r="H84">
        <f t="shared" si="35"/>
        <v>2070</v>
      </c>
      <c r="K84" s="141" t="s">
        <v>138</v>
      </c>
      <c r="L84">
        <f>L76</f>
        <v>2030</v>
      </c>
      <c r="M84">
        <f t="shared" ref="M84:P84" si="36">M76</f>
        <v>2040</v>
      </c>
      <c r="N84">
        <f t="shared" si="36"/>
        <v>2050</v>
      </c>
      <c r="O84">
        <f t="shared" si="36"/>
        <v>2060</v>
      </c>
      <c r="P84">
        <f t="shared" si="36"/>
        <v>2070</v>
      </c>
    </row>
    <row r="85" spans="1:16" ht="13.5" customHeight="1">
      <c r="A85" t="s">
        <v>35</v>
      </c>
      <c r="B85" t="str">
        <f>B77</f>
        <v>Mt CO2/yr</v>
      </c>
      <c r="C85" s="199">
        <f>'1990-2050 Central estimate AR5'!AG82/1000</f>
        <v>26.357079999999993</v>
      </c>
      <c r="D85" s="112">
        <f ca="1">D77+$C85</f>
        <v>-26.338730768395553</v>
      </c>
      <c r="E85" s="112">
        <f ca="1">E77+$C85</f>
        <v>-52.798518142063088</v>
      </c>
      <c r="F85" s="112">
        <f t="shared" ref="F85:G85" ca="1" si="37">F77+$C85</f>
        <v>-71.326728964155365</v>
      </c>
      <c r="G85" s="112">
        <f t="shared" ca="1" si="37"/>
        <v>-84.183845670385764</v>
      </c>
      <c r="H85" s="112">
        <f ca="1">H77+$C85</f>
        <v>-87.337601609097248</v>
      </c>
      <c r="K85" s="112">
        <f>C85</f>
        <v>26.357079999999993</v>
      </c>
      <c r="L85" s="112">
        <f ca="1">L77+$C85</f>
        <v>-9.0962452054350784</v>
      </c>
      <c r="M85" s="112">
        <f t="shared" ref="M85:P85" ca="1" si="38">M77+$C85</f>
        <v>-26.89818112683702</v>
      </c>
      <c r="N85" s="112">
        <f t="shared" ca="1" si="38"/>
        <v>-39.36381500118037</v>
      </c>
      <c r="O85" s="112">
        <f t="shared" ca="1" si="38"/>
        <v>-48.01398155414671</v>
      </c>
      <c r="P85" s="112">
        <f t="shared" ca="1" si="38"/>
        <v>-50.135803636079061</v>
      </c>
    </row>
    <row r="86" spans="1:16" ht="13.5" customHeight="1">
      <c r="A86" t="s">
        <v>89</v>
      </c>
      <c r="B86" t="str">
        <f t="shared" ref="B86:B89" si="39">B78</f>
        <v>Mt CO2-equiv/yr</v>
      </c>
      <c r="C86" s="199">
        <f>C89-'Biogenic CH4 NZ'!AH3/1000</f>
        <v>35.768890501400001</v>
      </c>
      <c r="D86" s="112">
        <f t="shared" ref="D86:H87" ca="1" si="40">D78+$C86</f>
        <v>-24.473359437804724</v>
      </c>
      <c r="E86" s="112">
        <f t="shared" ca="1" si="40"/>
        <v>-52.776731951256856</v>
      </c>
      <c r="F86" s="112">
        <f t="shared" ca="1" si="40"/>
        <v>-73.239656282524521</v>
      </c>
      <c r="G86" s="112">
        <f ca="1">G78+$C86</f>
        <v>-86.534418024383427</v>
      </c>
      <c r="H86" s="112">
        <f t="shared" ca="1" si="40"/>
        <v>-89.560600017980619</v>
      </c>
      <c r="K86" s="112">
        <f t="shared" ref="K86:K89" si="41">C86</f>
        <v>35.768890501400001</v>
      </c>
      <c r="L86" s="112">
        <f t="shared" ref="L86:P89" ca="1" si="42">L78+$C86</f>
        <v>-4.7616193637726383</v>
      </c>
      <c r="M86" s="112">
        <f t="shared" ca="1" si="42"/>
        <v>-23.803904803506519</v>
      </c>
      <c r="N86" s="112">
        <f t="shared" ca="1" si="42"/>
        <v>-37.571198643223873</v>
      </c>
      <c r="O86" s="112">
        <f ca="1">O78+$C86</f>
        <v>-46.515809318909483</v>
      </c>
      <c r="P86" s="112">
        <f t="shared" ca="1" si="42"/>
        <v>-48.551800658361067</v>
      </c>
    </row>
    <row r="87" spans="1:16" ht="13.5" customHeight="1">
      <c r="A87" t="s">
        <v>88</v>
      </c>
      <c r="B87" t="str">
        <f t="shared" si="39"/>
        <v>Mt CH4/yr</v>
      </c>
      <c r="C87" s="199">
        <f>'Biogenic CH4 NZ'!AH5/1000</f>
        <v>1.310530129357143</v>
      </c>
      <c r="D87" s="112">
        <f ca="1">D79+$C87</f>
        <v>1.1579941433288767</v>
      </c>
      <c r="E87" s="112">
        <f t="shared" ca="1" si="40"/>
        <v>1.0860040649733933</v>
      </c>
      <c r="F87" s="112">
        <f t="shared" ca="1" si="40"/>
        <v>1.0575716682842047</v>
      </c>
      <c r="G87" s="112">
        <f t="shared" ca="1" si="40"/>
        <v>1.0471714282501108</v>
      </c>
      <c r="H87" s="112">
        <f t="shared" ca="1" si="40"/>
        <v>1.0305587188679519</v>
      </c>
      <c r="K87" s="112">
        <f t="shared" si="41"/>
        <v>1.310530129357143</v>
      </c>
      <c r="L87" s="112">
        <f t="shared" ca="1" si="42"/>
        <v>1.2079051229413535</v>
      </c>
      <c r="M87" s="112">
        <f t="shared" ca="1" si="42"/>
        <v>1.1594707669216819</v>
      </c>
      <c r="N87" s="112">
        <f t="shared" ca="1" si="42"/>
        <v>1.1403416750357609</v>
      </c>
      <c r="O87" s="112">
        <f t="shared" ca="1" si="42"/>
        <v>1.1333444756992921</v>
      </c>
      <c r="P87" s="112">
        <f t="shared" ca="1" si="42"/>
        <v>1.1221675760619056</v>
      </c>
    </row>
    <row r="88" spans="1:16" ht="13.5" customHeight="1">
      <c r="A88" t="s">
        <v>133</v>
      </c>
      <c r="B88" t="str">
        <f t="shared" si="39"/>
        <v>Mt CH4/yr</v>
      </c>
      <c r="C88" s="199">
        <f>'1990-2050 Central estimate AR5'!AG83/GWP_CH4_AR5/1000</f>
        <v>1.3361140579285715</v>
      </c>
      <c r="D88" s="112">
        <f t="shared" ref="D88:H89" ca="1" si="43">D80+$C88</f>
        <v>1.0223973315835571</v>
      </c>
      <c r="E88" s="112">
        <f t="shared" ca="1" si="43"/>
        <v>0.91476096242555927</v>
      </c>
      <c r="F88" s="112">
        <f t="shared" ca="1" si="43"/>
        <v>0.83121970176811832</v>
      </c>
      <c r="G88" s="112">
        <f t="shared" ca="1" si="43"/>
        <v>0.81022621339123069</v>
      </c>
      <c r="H88" s="112">
        <f t="shared" ca="1" si="43"/>
        <v>0.80504319389227363</v>
      </c>
      <c r="K88" s="112">
        <f t="shared" si="41"/>
        <v>1.3361140579285715</v>
      </c>
      <c r="L88" s="112">
        <f t="shared" ca="1" si="42"/>
        <v>1.1250479227024122</v>
      </c>
      <c r="M88" s="112">
        <f t="shared" ca="1" si="42"/>
        <v>1.0526310238247607</v>
      </c>
      <c r="N88" s="112">
        <f t="shared" ca="1" si="42"/>
        <v>0.99642512360286628</v>
      </c>
      <c r="O88" s="112">
        <f t="shared" ca="1" si="42"/>
        <v>0.98230087046453685</v>
      </c>
      <c r="P88" s="112">
        <f t="shared" ca="1" si="42"/>
        <v>0.9788137758897848</v>
      </c>
    </row>
    <row r="89" spans="1:16" ht="13.5" customHeight="1">
      <c r="A89" t="s">
        <v>139</v>
      </c>
      <c r="B89" t="str">
        <f t="shared" si="39"/>
        <v>Mt CO2-equiv/yr</v>
      </c>
      <c r="C89" s="200">
        <f>'Scenario Totals'!AF15/1000</f>
        <v>72.463734123400002</v>
      </c>
      <c r="D89" s="112">
        <f ca="1">D81+$C89</f>
        <v>7.950476575403826</v>
      </c>
      <c r="E89" s="112">
        <f t="shared" ca="1" si="43"/>
        <v>-22.368618132001856</v>
      </c>
      <c r="F89" s="112">
        <f t="shared" ca="1" si="43"/>
        <v>-43.627649570566803</v>
      </c>
      <c r="G89" s="112">
        <f t="shared" ca="1" si="43"/>
        <v>-57.213618033380328</v>
      </c>
      <c r="H89" s="112">
        <f t="shared" ca="1" si="43"/>
        <v>-60.704955889677962</v>
      </c>
      <c r="K89" s="112">
        <f t="shared" si="41"/>
        <v>72.463734123400002</v>
      </c>
      <c r="L89" s="112">
        <f ca="1">L81+$C89</f>
        <v>29.059724078585255</v>
      </c>
      <c r="M89" s="112">
        <f t="shared" ca="1" si="42"/>
        <v>8.6612766703005661</v>
      </c>
      <c r="N89" s="112">
        <f t="shared" ca="1" si="42"/>
        <v>-5.6416317422225575</v>
      </c>
      <c r="O89" s="112">
        <f t="shared" ca="1" si="42"/>
        <v>-14.782163999329313</v>
      </c>
      <c r="P89" s="112">
        <f t="shared" ca="1" si="42"/>
        <v>-17.13110852862772</v>
      </c>
    </row>
    <row r="90" spans="1:16" ht="13.5" customHeight="1"/>
    <row r="91" spans="1:16" ht="13.5" customHeight="1"/>
    <row r="93" spans="1:16" s="196" customFormat="1">
      <c r="D93" s="197" t="s">
        <v>140</v>
      </c>
    </row>
    <row r="94" spans="1:16">
      <c r="B94" t="s">
        <v>65</v>
      </c>
      <c r="D94" t="s">
        <v>132</v>
      </c>
    </row>
    <row r="95" spans="1:16">
      <c r="D95">
        <v>2030</v>
      </c>
      <c r="E95">
        <v>2040</v>
      </c>
      <c r="F95">
        <v>2050</v>
      </c>
      <c r="G95">
        <v>2060</v>
      </c>
      <c r="H95">
        <v>2070</v>
      </c>
    </row>
    <row r="96" spans="1:16">
      <c r="A96" t="s">
        <v>35</v>
      </c>
      <c r="B96" t="str">
        <f>'AR6 Pathways'!D10</f>
        <v>Mt CO2/yr</v>
      </c>
      <c r="D96" s="138">
        <f ca="1">'AR6 Pathways'!AB10-'AR6 Pathways'!$AA$10</f>
        <v>-18419.121476694982</v>
      </c>
      <c r="E96" s="138">
        <f ca="1">'AR6 Pathways'!AC10-'AR6 Pathways'!$AA$10</f>
        <v>-30592.572512096252</v>
      </c>
      <c r="F96" s="138">
        <f ca="1">'AR6 Pathways'!AD10-'AR6 Pathways'!$AA$10</f>
        <v>-38505.601300000002</v>
      </c>
      <c r="G96" s="138">
        <f ca="1">'AR6 Pathways'!AE10-'AR6 Pathways'!$AA$10</f>
        <v>-41083.306000000004</v>
      </c>
      <c r="H96" s="138">
        <f ca="1">'AR6 Pathways'!AF10-'AR6 Pathways'!$AA$10</f>
        <v>-42474.433165079739</v>
      </c>
      <c r="K96" s="138"/>
      <c r="L96" s="138"/>
      <c r="M96" s="138"/>
      <c r="N96" s="138"/>
      <c r="O96" s="138"/>
    </row>
    <row r="97" spans="1:16">
      <c r="A97" t="s">
        <v>89</v>
      </c>
      <c r="B97" t="str">
        <f>'AR6 Pathways'!D49</f>
        <v>Mt CO2-equiv/yr</v>
      </c>
      <c r="D97" s="138">
        <f ca="1">'AR6 Pathways'!AB49-'AR6 Pathways'!$AA$49</f>
        <v>-22044.831606204163</v>
      </c>
      <c r="E97" s="138">
        <f ca="1">'AR6 Pathways'!AC49-'AR6 Pathways'!$AA$49</f>
        <v>-35215.129511472893</v>
      </c>
      <c r="F97" s="138">
        <f ca="1">'AR6 Pathways'!AD49-'AR6 Pathways'!$AA$49</f>
        <v>-43561.2634373287</v>
      </c>
      <c r="G97" s="138">
        <f ca="1">'AR6 Pathways'!AE49-'AR6 Pathways'!$AA$49</f>
        <v>-46716.605636566805</v>
      </c>
      <c r="H97" s="138">
        <f ca="1">'AR6 Pathways'!AF49-'AR6 Pathways'!$AA$49</f>
        <v>-48326.144263334951</v>
      </c>
      <c r="K97" s="138"/>
      <c r="L97" s="138"/>
      <c r="M97" s="138"/>
      <c r="N97" s="138"/>
      <c r="O97" s="138"/>
    </row>
    <row r="98" spans="1:16">
      <c r="A98" t="s">
        <v>88</v>
      </c>
      <c r="B98" t="str">
        <f>'AR6 Pathways'!D46</f>
        <v>Mt CH4/yr</v>
      </c>
      <c r="D98" s="138">
        <f ca="1">'AR6 Pathways'!AB46-'AR6 Pathways'!$AA$46</f>
        <v>-42.392349999999965</v>
      </c>
      <c r="E98" s="138">
        <f ca="1">'AR6 Pathways'!AC46-'AR6 Pathways'!$AA$46</f>
        <v>-59.352881559038167</v>
      </c>
      <c r="F98" s="138">
        <f ca="1">'AR6 Pathways'!AD46-'AR6 Pathways'!$AA$46</f>
        <v>-75.347571458649583</v>
      </c>
      <c r="G98" s="138">
        <f ca="1">'AR6 Pathways'!AE46-'AR6 Pathways'!$AA$46</f>
        <v>-72.285856599950762</v>
      </c>
      <c r="H98" s="138">
        <f ca="1">'AR6 Pathways'!AF46-'AR6 Pathways'!$AA$46</f>
        <v>-72.154204441595084</v>
      </c>
      <c r="K98" s="138"/>
      <c r="L98" s="138"/>
      <c r="M98" s="138"/>
      <c r="N98" s="138"/>
      <c r="O98" s="138"/>
    </row>
    <row r="99" spans="1:16">
      <c r="A99" t="s">
        <v>133</v>
      </c>
      <c r="B99" t="str">
        <f>'AR6 Pathways'!D4</f>
        <v>Mt CH4/yr</v>
      </c>
      <c r="D99" s="138">
        <f ca="1">'AR6 Pathways'!AB4-'AR6 Pathways'!$AA$4</f>
        <v>-117.16892414272198</v>
      </c>
      <c r="E99" s="138">
        <f ca="1">'AR6 Pathways'!AC4-'AR6 Pathways'!$AA$4</f>
        <v>-155.27249999999998</v>
      </c>
      <c r="F99" s="138">
        <f ca="1">'AR6 Pathways'!AD4-'AR6 Pathways'!$AA$4</f>
        <v>-180.9213</v>
      </c>
      <c r="G99" s="138">
        <f ca="1">'AR6 Pathways'!AE4-'AR6 Pathways'!$AA$4</f>
        <v>-195.47702173053648</v>
      </c>
      <c r="H99" s="138">
        <f ca="1">'AR6 Pathways'!AF4-'AR6 Pathways'!$AA$4</f>
        <v>-203.21969999999999</v>
      </c>
      <c r="K99" s="138"/>
      <c r="L99" s="138"/>
      <c r="M99" s="138"/>
      <c r="N99" s="138"/>
      <c r="O99" s="138"/>
    </row>
    <row r="100" spans="1:16">
      <c r="A100" t="s">
        <v>82</v>
      </c>
      <c r="B100" t="str">
        <f>'AR6 Pathways'!D25</f>
        <v>Mt CO2-equiv/yr</v>
      </c>
      <c r="D100" s="138">
        <f ca="1">'AR6 Pathways'!AB25-'AR6 Pathways'!$AA$25</f>
        <v>-23231.817406204162</v>
      </c>
      <c r="E100" s="138">
        <f ca="1">'AR6 Pathways'!AC25-'AR6 Pathways'!$AA$25</f>
        <v>-36877.010195125957</v>
      </c>
      <c r="F100" s="138">
        <f ca="1">'AR6 Pathways'!AD25-'AR6 Pathways'!$AA$25</f>
        <v>-45670.995438170889</v>
      </c>
      <c r="G100" s="138">
        <f ca="1">'AR6 Pathways'!AE25-'AR6 Pathways'!$AA$25</f>
        <v>-48740.609621365431</v>
      </c>
      <c r="H100" s="138">
        <f ca="1">'AR6 Pathways'!AF25-'AR6 Pathways'!$AA$25</f>
        <v>-50346.461987699615</v>
      </c>
      <c r="K100" s="138"/>
      <c r="L100" s="138"/>
      <c r="M100" s="138"/>
      <c r="N100" s="138"/>
      <c r="O100" s="138"/>
    </row>
    <row r="101" spans="1:16">
      <c r="C101" s="138"/>
    </row>
    <row r="102" spans="1:16">
      <c r="D102" s="130"/>
    </row>
    <row r="103" spans="1:16">
      <c r="C103" s="138"/>
      <c r="D103" t="s">
        <v>134</v>
      </c>
      <c r="L103" t="s">
        <v>135</v>
      </c>
    </row>
    <row r="104" spans="1:16">
      <c r="C104" s="138"/>
      <c r="D104">
        <v>2030</v>
      </c>
      <c r="E104">
        <v>2040</v>
      </c>
      <c r="F104">
        <v>2050</v>
      </c>
      <c r="G104">
        <v>2060</v>
      </c>
      <c r="H104">
        <v>2070</v>
      </c>
      <c r="L104">
        <v>2030</v>
      </c>
      <c r="M104">
        <v>2040</v>
      </c>
      <c r="N104">
        <v>2050</v>
      </c>
      <c r="O104">
        <v>2060</v>
      </c>
      <c r="P104">
        <v>2070</v>
      </c>
    </row>
    <row r="105" spans="1:16">
      <c r="A105" t="s">
        <v>35</v>
      </c>
      <c r="B105" t="str">
        <f>B68</f>
        <v>Mt CO2/yr</v>
      </c>
      <c r="C105" s="138"/>
      <c r="D105">
        <f t="shared" ref="D105:H109" ca="1" si="44">$C$25*D96</f>
        <v>-45.283840464663385</v>
      </c>
      <c r="E105">
        <f t="shared" ca="1" si="44"/>
        <v>-75.212554235783884</v>
      </c>
      <c r="F105">
        <f t="shared" ca="1" si="44"/>
        <v>-94.666920377899103</v>
      </c>
      <c r="G105">
        <f t="shared" ca="1" si="44"/>
        <v>-101.00426760412296</v>
      </c>
      <c r="H105">
        <f t="shared" ca="1" si="44"/>
        <v>-104.42438623948981</v>
      </c>
      <c r="L105">
        <f t="shared" ref="L105:P109" ca="1" si="45">$C$26*D96</f>
        <v>-30.46661013720718</v>
      </c>
      <c r="M105">
        <f t="shared" ca="1" si="45"/>
        <v>-50.602412335439972</v>
      </c>
      <c r="N105">
        <f t="shared" ca="1" si="45"/>
        <v>-63.691156192772908</v>
      </c>
      <c r="O105">
        <f t="shared" ca="1" si="45"/>
        <v>-67.954873343621429</v>
      </c>
      <c r="P105">
        <f t="shared" ca="1" si="45"/>
        <v>-70.255902143685972</v>
      </c>
    </row>
    <row r="106" spans="1:16">
      <c r="A106" t="s">
        <v>89</v>
      </c>
      <c r="B106" t="str">
        <f>B69</f>
        <v>Mt CO2-equiv/yr</v>
      </c>
      <c r="C106" s="138"/>
      <c r="D106">
        <f t="shared" ca="1" si="44"/>
        <v>-54.197733523219206</v>
      </c>
      <c r="E106">
        <f t="shared" ca="1" si="44"/>
        <v>-86.577218612607652</v>
      </c>
      <c r="F106">
        <f t="shared" ca="1" si="44"/>
        <v>-107.09638385473761</v>
      </c>
      <c r="G106">
        <f t="shared" ca="1" si="44"/>
        <v>-114.85386636781548</v>
      </c>
      <c r="H106">
        <f t="shared" ca="1" si="44"/>
        <v>-118.81095468435122</v>
      </c>
      <c r="L106">
        <f t="shared" ca="1" si="45"/>
        <v>-36.463806970185558</v>
      </c>
      <c r="M106">
        <f t="shared" ca="1" si="45"/>
        <v>-58.24846875106315</v>
      </c>
      <c r="N106">
        <f t="shared" ca="1" si="45"/>
        <v>-72.053601031323979</v>
      </c>
      <c r="O106">
        <f t="shared" ca="1" si="45"/>
        <v>-77.272773984567053</v>
      </c>
      <c r="P106">
        <f t="shared" ca="1" si="45"/>
        <v>-79.935071744238485</v>
      </c>
    </row>
    <row r="107" spans="1:16">
      <c r="A107" t="s">
        <v>88</v>
      </c>
      <c r="B107" t="str">
        <f>B70</f>
        <v>Mt CH4/yr</v>
      </c>
      <c r="D107">
        <f t="shared" ca="1" si="44"/>
        <v>-0.10422258286048444</v>
      </c>
      <c r="E107">
        <f t="shared" ca="1" si="44"/>
        <v>-0.14592044593648099</v>
      </c>
      <c r="F107">
        <f t="shared" ca="1" si="44"/>
        <v>-0.18524376472843299</v>
      </c>
      <c r="G107">
        <f t="shared" ca="1" si="44"/>
        <v>-0.17771646721942688</v>
      </c>
      <c r="H107">
        <f t="shared" ca="1" si="44"/>
        <v>-0.17739279731240387</v>
      </c>
      <c r="L107">
        <f t="shared" ca="1" si="45"/>
        <v>-7.0120130424471364E-2</v>
      </c>
      <c r="M107">
        <f t="shared" ca="1" si="45"/>
        <v>-9.8174123302623262E-2</v>
      </c>
      <c r="N107">
        <f t="shared" ca="1" si="45"/>
        <v>-0.1246305415445874</v>
      </c>
      <c r="O107">
        <f t="shared" ca="1" si="45"/>
        <v>-0.11956623524369812</v>
      </c>
      <c r="P107">
        <f t="shared" ca="1" si="45"/>
        <v>-0.11934847268713866</v>
      </c>
    </row>
    <row r="108" spans="1:16">
      <c r="A108" t="s">
        <v>133</v>
      </c>
      <c r="B108" t="str">
        <f>B71</f>
        <v>Mt CH4/yr</v>
      </c>
      <c r="D108">
        <f t="shared" ca="1" si="44"/>
        <v>-0.28806253734786269</v>
      </c>
      <c r="E108">
        <f t="shared" ca="1" si="44"/>
        <v>-0.38174106878256531</v>
      </c>
      <c r="F108">
        <f t="shared" ca="1" si="44"/>
        <v>-0.44479924279915078</v>
      </c>
      <c r="G108">
        <f t="shared" ca="1" si="44"/>
        <v>-0.48058482472973479</v>
      </c>
      <c r="H108">
        <f t="shared" ca="1" si="44"/>
        <v>-0.49962038014247401</v>
      </c>
      <c r="L108">
        <f t="shared" ca="1" si="45"/>
        <v>-0.19380619952851549</v>
      </c>
      <c r="M108">
        <f t="shared" ca="1" si="45"/>
        <v>-0.25683237544825277</v>
      </c>
      <c r="N108">
        <f t="shared" ca="1" si="45"/>
        <v>-0.29925741678781481</v>
      </c>
      <c r="O108">
        <f t="shared" ca="1" si="45"/>
        <v>-0.32333367361640608</v>
      </c>
      <c r="P108">
        <f t="shared" ca="1" si="45"/>
        <v>-0.33614064492348161</v>
      </c>
    </row>
    <row r="109" spans="1:16">
      <c r="A109" t="s">
        <v>82</v>
      </c>
      <c r="B109" t="str">
        <f>B72</f>
        <v>Mt CO2-equiv/yr</v>
      </c>
      <c r="D109">
        <f t="shared" ca="1" si="44"/>
        <v>-57.115965843312772</v>
      </c>
      <c r="E109">
        <f t="shared" ca="1" si="44"/>
        <v>-90.662991098829096</v>
      </c>
      <c r="F109">
        <f t="shared" ca="1" si="44"/>
        <v>-112.28320926713373</v>
      </c>
      <c r="G109">
        <f t="shared" ca="1" si="44"/>
        <v>-119.82992744995944</v>
      </c>
      <c r="H109">
        <f t="shared" ca="1" si="44"/>
        <v>-123.77795300909852</v>
      </c>
      <c r="L109">
        <f t="shared" ca="1" si="45"/>
        <v>-38.427170622070754</v>
      </c>
      <c r="M109">
        <f t="shared" ca="1" si="45"/>
        <v>-60.997344203536592</v>
      </c>
      <c r="N109">
        <f t="shared" ca="1" si="45"/>
        <v>-75.543256194572422</v>
      </c>
      <c r="O109">
        <f t="shared" ca="1" si="45"/>
        <v>-80.620628571390611</v>
      </c>
      <c r="P109">
        <f t="shared" ca="1" si="45"/>
        <v>-83.276828979478367</v>
      </c>
    </row>
    <row r="111" spans="1:16">
      <c r="E111" t="s">
        <v>136</v>
      </c>
      <c r="L111" t="s">
        <v>137</v>
      </c>
    </row>
    <row r="112" spans="1:16">
      <c r="C112" s="141" t="s">
        <v>138</v>
      </c>
      <c r="D112">
        <f>D76</f>
        <v>2030</v>
      </c>
      <c r="E112">
        <f>E76</f>
        <v>2040</v>
      </c>
      <c r="F112">
        <f>F76</f>
        <v>2050</v>
      </c>
      <c r="G112">
        <f>G76</f>
        <v>2060</v>
      </c>
      <c r="H112">
        <f>H76</f>
        <v>2070</v>
      </c>
      <c r="K112" s="141" t="s">
        <v>138</v>
      </c>
      <c r="L112">
        <f>L76</f>
        <v>2030</v>
      </c>
      <c r="M112">
        <f>M76</f>
        <v>2040</v>
      </c>
      <c r="N112">
        <f>N76</f>
        <v>2050</v>
      </c>
      <c r="O112">
        <f>O76</f>
        <v>2060</v>
      </c>
      <c r="P112">
        <f>P76</f>
        <v>2070</v>
      </c>
    </row>
    <row r="113" spans="1:16">
      <c r="A113" t="s">
        <v>35</v>
      </c>
      <c r="B113" t="str">
        <f>B77</f>
        <v>Mt CO2/yr</v>
      </c>
      <c r="C113" s="142">
        <f>C85</f>
        <v>26.357079999999993</v>
      </c>
      <c r="D113" s="112">
        <f ca="1">D105+$C113</f>
        <v>-18.926760464663392</v>
      </c>
      <c r="E113" s="112">
        <f ca="1">E105+$C113</f>
        <v>-48.855474235783888</v>
      </c>
      <c r="F113" s="112">
        <f ca="1">F105+$C113</f>
        <v>-68.309840377899107</v>
      </c>
      <c r="G113" s="112">
        <f t="shared" ref="G113" ca="1" si="46">G105+$C113</f>
        <v>-74.647187604122962</v>
      </c>
      <c r="H113" s="112">
        <f ca="1">H105+$C113</f>
        <v>-78.06730623948981</v>
      </c>
      <c r="K113" s="112">
        <f>C113</f>
        <v>26.357079999999993</v>
      </c>
      <c r="L113" s="112">
        <f ca="1">L105+$C113</f>
        <v>-4.1095301372071873</v>
      </c>
      <c r="M113" s="112">
        <f t="shared" ref="M113:P113" ca="1" si="47">M105+$C113</f>
        <v>-24.245332335439979</v>
      </c>
      <c r="N113" s="112">
        <f t="shared" ca="1" si="47"/>
        <v>-37.334076192772912</v>
      </c>
      <c r="O113" s="112">
        <f t="shared" ca="1" si="47"/>
        <v>-41.597793343621433</v>
      </c>
      <c r="P113" s="112">
        <f t="shared" ca="1" si="47"/>
        <v>-43.898822143685976</v>
      </c>
    </row>
    <row r="114" spans="1:16">
      <c r="A114" t="s">
        <v>89</v>
      </c>
      <c r="B114" t="str">
        <f>B78</f>
        <v>Mt CO2-equiv/yr</v>
      </c>
      <c r="C114" s="142">
        <f>C86</f>
        <v>35.768890501400001</v>
      </c>
      <c r="D114" s="112">
        <f t="shared" ref="D114:H114" ca="1" si="48">D106+$C114</f>
        <v>-18.428843021819205</v>
      </c>
      <c r="E114" s="112">
        <f t="shared" ca="1" si="48"/>
        <v>-50.808328111207651</v>
      </c>
      <c r="F114" s="112">
        <f t="shared" ca="1" si="48"/>
        <v>-71.327493353337616</v>
      </c>
      <c r="G114" s="112">
        <f ca="1">G106+$C114</f>
        <v>-79.084975866415476</v>
      </c>
      <c r="H114" s="112">
        <f t="shared" ca="1" si="48"/>
        <v>-83.042064182951208</v>
      </c>
      <c r="K114" s="112">
        <f t="shared" ref="K114:K117" si="49">C114</f>
        <v>35.768890501400001</v>
      </c>
      <c r="L114" s="112">
        <f t="shared" ref="L114:N114" ca="1" si="50">L106+$C114</f>
        <v>-0.69491646878555713</v>
      </c>
      <c r="M114" s="112">
        <f t="shared" ca="1" si="50"/>
        <v>-22.479578249663149</v>
      </c>
      <c r="N114" s="112">
        <f t="shared" ca="1" si="50"/>
        <v>-36.284710529923977</v>
      </c>
      <c r="O114" s="112">
        <f ca="1">O106+$C114</f>
        <v>-41.503883483167051</v>
      </c>
      <c r="P114" s="112">
        <f t="shared" ref="P114" ca="1" si="51">P106+$C114</f>
        <v>-44.166181242838483</v>
      </c>
    </row>
    <row r="115" spans="1:16">
      <c r="A115" t="s">
        <v>88</v>
      </c>
      <c r="B115" t="str">
        <f>B79</f>
        <v>Mt CH4/yr</v>
      </c>
      <c r="C115" s="142">
        <f>C87</f>
        <v>1.310530129357143</v>
      </c>
      <c r="D115" s="112">
        <f ca="1">D107+$C115</f>
        <v>1.2063075464966586</v>
      </c>
      <c r="E115" s="112">
        <f t="shared" ref="E115:H115" ca="1" si="52">E107+$C115</f>
        <v>1.1646096834206621</v>
      </c>
      <c r="F115" s="112">
        <f t="shared" ca="1" si="52"/>
        <v>1.1252863646287099</v>
      </c>
      <c r="G115" s="112">
        <f t="shared" ca="1" si="52"/>
        <v>1.1328136621377161</v>
      </c>
      <c r="H115" s="112">
        <f t="shared" ca="1" si="52"/>
        <v>1.1331373320447391</v>
      </c>
      <c r="K115" s="112">
        <f t="shared" si="49"/>
        <v>1.310530129357143</v>
      </c>
      <c r="L115" s="112">
        <f t="shared" ref="L115:P115" ca="1" si="53">L107+$C115</f>
        <v>1.2404099989326716</v>
      </c>
      <c r="M115" s="112">
        <f t="shared" ca="1" si="53"/>
        <v>1.2123560060545198</v>
      </c>
      <c r="N115" s="112">
        <f ca="1">N107+$C115</f>
        <v>1.1858995878125556</v>
      </c>
      <c r="O115" s="112">
        <f t="shared" ca="1" si="53"/>
        <v>1.1909638941134448</v>
      </c>
      <c r="P115" s="112">
        <f t="shared" ca="1" si="53"/>
        <v>1.1911816566700044</v>
      </c>
    </row>
    <row r="116" spans="1:16">
      <c r="A116" t="s">
        <v>133</v>
      </c>
      <c r="B116" t="str">
        <f>B80</f>
        <v>Mt CH4/yr</v>
      </c>
      <c r="C116" s="142">
        <f>C88</f>
        <v>1.3361140579285715</v>
      </c>
      <c r="D116" s="112">
        <f t="shared" ref="D116:H116" ca="1" si="54">D108+$C116</f>
        <v>1.0480515205807088</v>
      </c>
      <c r="E116" s="112">
        <f t="shared" ca="1" si="54"/>
        <v>0.95437298914600621</v>
      </c>
      <c r="F116" s="112">
        <f t="shared" ca="1" si="54"/>
        <v>0.89131481512942079</v>
      </c>
      <c r="G116" s="112">
        <f t="shared" ca="1" si="54"/>
        <v>0.85552923319883667</v>
      </c>
      <c r="H116" s="112">
        <f t="shared" ca="1" si="54"/>
        <v>0.83649367778609751</v>
      </c>
      <c r="K116" s="112">
        <f t="shared" si="49"/>
        <v>1.3361140579285715</v>
      </c>
      <c r="L116" s="112">
        <f t="shared" ref="L116:P116" ca="1" si="55">L108+$C116</f>
        <v>1.1423078584000561</v>
      </c>
      <c r="M116" s="112">
        <f t="shared" ca="1" si="55"/>
        <v>1.0792816824803189</v>
      </c>
      <c r="N116" s="112">
        <f t="shared" ca="1" si="55"/>
        <v>1.0368566411407567</v>
      </c>
      <c r="O116" s="112">
        <f t="shared" ca="1" si="55"/>
        <v>1.0127803843121654</v>
      </c>
      <c r="P116" s="112">
        <f t="shared" ca="1" si="55"/>
        <v>0.99997341300508991</v>
      </c>
    </row>
    <row r="117" spans="1:16">
      <c r="A117" t="s">
        <v>139</v>
      </c>
      <c r="B117" t="str">
        <f>B81</f>
        <v>Mt CO2-equiv/yr</v>
      </c>
      <c r="C117" s="142">
        <f>C89</f>
        <v>72.463734123400002</v>
      </c>
      <c r="D117" s="112">
        <f t="shared" ref="D117:H117" ca="1" si="56">D109+$C117</f>
        <v>15.34776828008723</v>
      </c>
      <c r="E117" s="112">
        <f t="shared" ca="1" si="56"/>
        <v>-18.199256975429094</v>
      </c>
      <c r="F117" s="112">
        <f t="shared" ca="1" si="56"/>
        <v>-39.819475143733726</v>
      </c>
      <c r="G117" s="112">
        <f t="shared" ca="1" si="56"/>
        <v>-47.36619332655944</v>
      </c>
      <c r="H117" s="112">
        <f t="shared" ca="1" si="56"/>
        <v>-51.314218885698523</v>
      </c>
      <c r="K117" s="112">
        <f t="shared" si="49"/>
        <v>72.463734123400002</v>
      </c>
      <c r="L117" s="112">
        <f ca="1">L109+$C117</f>
        <v>34.036563501329248</v>
      </c>
      <c r="M117" s="112">
        <f t="shared" ref="M117:P117" ca="1" si="57">M109+$C117</f>
        <v>11.46638991986341</v>
      </c>
      <c r="N117" s="112">
        <f t="shared" ca="1" si="57"/>
        <v>-3.0795220711724198</v>
      </c>
      <c r="O117" s="112">
        <f t="shared" ca="1" si="57"/>
        <v>-8.1568944479906094</v>
      </c>
      <c r="P117" s="112">
        <f t="shared" ca="1" si="57"/>
        <v>-10.813094856078365</v>
      </c>
    </row>
    <row r="150" spans="1:8" s="23" customFormat="1">
      <c r="D150" s="198" t="s">
        <v>141</v>
      </c>
    </row>
    <row r="151" spans="1:8">
      <c r="B151" t="s">
        <v>65</v>
      </c>
      <c r="D151" t="s">
        <v>132</v>
      </c>
    </row>
    <row r="152" spans="1:8">
      <c r="D152">
        <v>2030</v>
      </c>
      <c r="E152">
        <v>2040</v>
      </c>
      <c r="F152">
        <v>2050</v>
      </c>
      <c r="G152">
        <v>2060</v>
      </c>
      <c r="H152">
        <v>2070</v>
      </c>
    </row>
    <row r="153" spans="1:8">
      <c r="A153" t="s">
        <v>35</v>
      </c>
      <c r="B153" t="str">
        <f>B96</f>
        <v>Mt CO2/yr</v>
      </c>
      <c r="D153" s="138">
        <f ca="1">'AR6 Pathways'!AB12-'AR6 Pathways'!$AA$12</f>
        <v>-18312.825399999998</v>
      </c>
      <c r="E153" s="138">
        <f ca="1">'AR6 Pathways'!AC12-'AR6 Pathways'!$AA$12</f>
        <v>-31013.973962929049</v>
      </c>
      <c r="F153" s="138">
        <f ca="1">'AR6 Pathways'!AD12-'AR6 Pathways'!$AA$12</f>
        <v>-38524.772405710726</v>
      </c>
      <c r="G153" s="138">
        <f ca="1">'AR6 Pathways'!AE12-'AR6 Pathways'!$AA$12</f>
        <v>-42024.919986000001</v>
      </c>
      <c r="H153" s="138">
        <f ca="1">'AR6 Pathways'!AF12-'AR6 Pathways'!$AA$12</f>
        <v>-42103.0458</v>
      </c>
    </row>
    <row r="154" spans="1:8">
      <c r="A154" t="s">
        <v>89</v>
      </c>
      <c r="B154" t="str">
        <f>B97</f>
        <v>Mt CO2-equiv/yr</v>
      </c>
      <c r="D154" s="138">
        <f ca="1">'AR6 Pathways'!AB51-'AR6 Pathways'!$AA$51</f>
        <v>-22201.102968958527</v>
      </c>
      <c r="E154" s="138">
        <f ca="1">'AR6 Pathways'!AC51-'AR6 Pathways'!$AA$51</f>
        <v>-35583.834368526725</v>
      </c>
      <c r="F154" s="138">
        <f ca="1">'AR6 Pathways'!AD51-'AR6 Pathways'!$AA$51</f>
        <v>-43490.039624528232</v>
      </c>
      <c r="G154" s="138">
        <f ca="1">'AR6 Pathways'!AE51-'AR6 Pathways'!$AA$51</f>
        <v>-47235.12890965362</v>
      </c>
      <c r="H154" s="138">
        <f ca="1">'AR6 Pathways'!AF51-'AR6 Pathways'!$AA$51</f>
        <v>-47270.083928512184</v>
      </c>
    </row>
    <row r="155" spans="1:8">
      <c r="A155" t="s">
        <v>88</v>
      </c>
      <c r="B155" t="str">
        <f>B98</f>
        <v>Mt CH4/yr</v>
      </c>
      <c r="D155" s="138">
        <f ca="1">'AR6 Pathways'!AB48-'AR6 Pathways'!$AA$48</f>
        <v>-21.524874722000334</v>
      </c>
      <c r="E155" s="138">
        <f ca="1">'AR6 Pathways'!AC48-'AR6 Pathways'!$AA$48</f>
        <v>-39.706131797790533</v>
      </c>
      <c r="F155" s="138">
        <f ca="1">'AR6 Pathways'!AD48-'AR6 Pathways'!$AA$48</f>
        <v>-49.246470823669455</v>
      </c>
      <c r="G155" s="138">
        <f ca="1">'AR6 Pathways'!AE48-'AR6 Pathways'!$AA$48</f>
        <v>-51.462805263572818</v>
      </c>
      <c r="H155" s="138">
        <f ca="1">'AR6 Pathways'!AF48-'AR6 Pathways'!$AA$48</f>
        <v>-57.615794557189929</v>
      </c>
    </row>
    <row r="156" spans="1:8">
      <c r="A156" t="s">
        <v>133</v>
      </c>
      <c r="B156" t="str">
        <f>B99</f>
        <v>Mt CH4/yr</v>
      </c>
      <c r="D156" s="138">
        <f ca="1">'AR6 Pathways'!AB6-'AR6 Pathways'!$AA$6</f>
        <v>-120.31450000000001</v>
      </c>
      <c r="E156" s="138">
        <f ca="1">'AR6 Pathways'!AC6-'AR6 Pathways'!$AA$6</f>
        <v>-162.12650000000002</v>
      </c>
      <c r="F156" s="138">
        <f ca="1">'AR6 Pathways'!AD6-'AR6 Pathways'!$AA$6</f>
        <v>-184.21030000000002</v>
      </c>
      <c r="G156" s="138">
        <f ca="1">'AR6 Pathways'!AE6-'AR6 Pathways'!$AA$6</f>
        <v>-186.40080000000003</v>
      </c>
      <c r="H156" s="138">
        <f ca="1">'AR6 Pathways'!AF6-'AR6 Pathways'!$AA$6</f>
        <v>-190.91290000000004</v>
      </c>
    </row>
    <row r="157" spans="1:8">
      <c r="A157" t="s">
        <v>82</v>
      </c>
      <c r="B157" t="str">
        <f>B100</f>
        <v>Mt CO2-equiv/yr</v>
      </c>
      <c r="D157" s="138">
        <f ca="1">'AR6 Pathways'!AB27-'AR6 Pathways'!$AA$27</f>
        <v>-22803.799461174538</v>
      </c>
      <c r="E157" s="138">
        <f ca="1">'AR6 Pathways'!AC27-'AR6 Pathways'!$AA$27</f>
        <v>-36695.606058864862</v>
      </c>
      <c r="F157" s="138">
        <f ca="1">'AR6 Pathways'!AD27-'AR6 Pathways'!$AA$27</f>
        <v>-44868.940807590974</v>
      </c>
      <c r="G157" s="138">
        <f ca="1">'AR6 Pathways'!AE27-'AR6 Pathways'!$AA$27</f>
        <v>-48676.08745703366</v>
      </c>
      <c r="H157" s="138">
        <f ca="1">'AR6 Pathways'!AF27-'AR6 Pathways'!$AA$27</f>
        <v>-48883.326176113507</v>
      </c>
    </row>
    <row r="164" spans="1:16">
      <c r="D164" t="s">
        <v>134</v>
      </c>
      <c r="L164" t="s">
        <v>135</v>
      </c>
    </row>
    <row r="165" spans="1:16">
      <c r="D165">
        <v>2030</v>
      </c>
      <c r="E165">
        <v>2040</v>
      </c>
      <c r="F165">
        <v>2050</v>
      </c>
      <c r="G165">
        <v>2060</v>
      </c>
      <c r="H165">
        <v>2070</v>
      </c>
      <c r="L165">
        <v>2030</v>
      </c>
      <c r="M165">
        <v>2040</v>
      </c>
      <c r="N165">
        <v>2050</v>
      </c>
      <c r="O165">
        <v>2060</v>
      </c>
      <c r="P165">
        <v>2070</v>
      </c>
    </row>
    <row r="166" spans="1:16">
      <c r="A166" t="s">
        <v>35</v>
      </c>
      <c r="B166" t="str">
        <f>B153</f>
        <v>Mt CO2/yr</v>
      </c>
      <c r="D166">
        <f t="shared" ref="D166:H170" ca="1" si="58">$C$25*D153</f>
        <v>-45.022509076781205</v>
      </c>
      <c r="E166">
        <f t="shared" ca="1" si="58"/>
        <v>-76.24857954759014</v>
      </c>
      <c r="F166">
        <f t="shared" ca="1" si="58"/>
        <v>-94.714052989171265</v>
      </c>
      <c r="G166">
        <f t="shared" ca="1" si="58"/>
        <v>-103.31924758703204</v>
      </c>
      <c r="H166">
        <f t="shared" ca="1" si="58"/>
        <v>-103.51132172595469</v>
      </c>
      <c r="L166">
        <f t="shared" ref="L166:P170" ca="1" si="59">$C$26*D153</f>
        <v>-30.2907884438719</v>
      </c>
      <c r="M166">
        <f t="shared" ca="1" si="59"/>
        <v>-51.29944198096463</v>
      </c>
      <c r="N166">
        <f t="shared" ca="1" si="59"/>
        <v>-63.722866641304712</v>
      </c>
      <c r="O166">
        <f t="shared" ca="1" si="59"/>
        <v>-69.512373588543596</v>
      </c>
      <c r="P166">
        <f t="shared" ca="1" si="59"/>
        <v>-69.641599551888348</v>
      </c>
    </row>
    <row r="167" spans="1:16">
      <c r="A167" t="s">
        <v>89</v>
      </c>
      <c r="B167" t="str">
        <f t="shared" ref="B167:B170" si="60">B154</f>
        <v>Mt CO2-equiv/yr</v>
      </c>
      <c r="D167">
        <f t="shared" ca="1" si="58"/>
        <v>-54.581930319419172</v>
      </c>
      <c r="E167">
        <f t="shared" ca="1" si="58"/>
        <v>-87.48368811749134</v>
      </c>
      <c r="F167">
        <f t="shared" ca="1" si="58"/>
        <v>-106.92127844701106</v>
      </c>
      <c r="G167">
        <f t="shared" ca="1" si="58"/>
        <v>-116.12866794862853</v>
      </c>
      <c r="H167">
        <f t="shared" ca="1" si="58"/>
        <v>-116.21460567912416</v>
      </c>
      <c r="L167">
        <f t="shared" ca="1" si="59"/>
        <v>-36.7222915396408</v>
      </c>
      <c r="M167">
        <f t="shared" ca="1" si="59"/>
        <v>-58.858334273138496</v>
      </c>
      <c r="N167">
        <f t="shared" ca="1" si="59"/>
        <v>-71.935791496280572</v>
      </c>
      <c r="O167">
        <f t="shared" ca="1" si="59"/>
        <v>-78.130450417625653</v>
      </c>
      <c r="P167">
        <f t="shared" ca="1" si="59"/>
        <v>-78.188268643823349</v>
      </c>
    </row>
    <row r="168" spans="1:16">
      <c r="A168" t="s">
        <v>88</v>
      </c>
      <c r="B168" t="str">
        <f t="shared" si="60"/>
        <v>Mt CH4/yr</v>
      </c>
      <c r="D168">
        <f t="shared" ca="1" si="58"/>
        <v>-5.2919407375982427E-2</v>
      </c>
      <c r="E168">
        <f t="shared" ca="1" si="58"/>
        <v>-9.7618452653946849E-2</v>
      </c>
      <c r="F168">
        <f t="shared" ca="1" si="58"/>
        <v>-0.12107359903393711</v>
      </c>
      <c r="G168">
        <f t="shared" ca="1" si="58"/>
        <v>-0.12652250903325005</v>
      </c>
      <c r="H168">
        <f t="shared" ca="1" si="58"/>
        <v>-0.14164977695997935</v>
      </c>
      <c r="L168">
        <f t="shared" ca="1" si="59"/>
        <v>-3.5603759236680001E-2</v>
      </c>
      <c r="M168">
        <f t="shared" ca="1" si="59"/>
        <v>-6.5676923791965394E-2</v>
      </c>
      <c r="N168">
        <f t="shared" ca="1" si="59"/>
        <v>-8.145736098849507E-2</v>
      </c>
      <c r="O168">
        <f t="shared" ca="1" si="59"/>
        <v>-8.5123344591439276E-2</v>
      </c>
      <c r="P168">
        <f t="shared" ca="1" si="59"/>
        <v>-9.5300850952110674E-2</v>
      </c>
    </row>
    <row r="169" spans="1:16">
      <c r="A169" t="s">
        <v>133</v>
      </c>
      <c r="B169" t="str">
        <f t="shared" si="60"/>
        <v>Mt CH4/yr</v>
      </c>
      <c r="D169">
        <f t="shared" ca="1" si="58"/>
        <v>-0.2957960090810669</v>
      </c>
      <c r="E169">
        <f t="shared" ca="1" si="58"/>
        <v>-0.39859178790820388</v>
      </c>
      <c r="F169">
        <f t="shared" ca="1" si="58"/>
        <v>-0.45288532613796395</v>
      </c>
      <c r="G169">
        <f t="shared" ca="1" si="58"/>
        <v>-0.45827072156322091</v>
      </c>
      <c r="H169">
        <f t="shared" ca="1" si="58"/>
        <v>-0.46936382482654065</v>
      </c>
      <c r="L169">
        <f t="shared" ca="1" si="59"/>
        <v>-0.19900921821873682</v>
      </c>
      <c r="M169">
        <f t="shared" ca="1" si="59"/>
        <v>-0.26816940616085372</v>
      </c>
      <c r="N169">
        <f t="shared" ca="1" si="59"/>
        <v>-0.30469766978077434</v>
      </c>
      <c r="O169">
        <f t="shared" ca="1" si="59"/>
        <v>-0.30832092128003791</v>
      </c>
      <c r="P169">
        <f t="shared" ca="1" si="59"/>
        <v>-0.31578427352373889</v>
      </c>
    </row>
    <row r="170" spans="1:16">
      <c r="A170" t="s">
        <v>82</v>
      </c>
      <c r="B170" t="str">
        <f t="shared" si="60"/>
        <v>Mt CO2-equiv/yr</v>
      </c>
      <c r="D170">
        <f t="shared" ca="1" si="58"/>
        <v>-56.063673725946678</v>
      </c>
      <c r="E170">
        <f t="shared" ca="1" si="58"/>
        <v>-90.217004791801855</v>
      </c>
      <c r="F170">
        <f t="shared" ca="1" si="58"/>
        <v>-110.3113392199613</v>
      </c>
      <c r="G170">
        <f t="shared" ca="1" si="58"/>
        <v>-119.67129820155954</v>
      </c>
      <c r="H170">
        <f t="shared" ca="1" si="58"/>
        <v>-120.1807994340036</v>
      </c>
      <c r="L170">
        <f t="shared" ca="1" si="59"/>
        <v>-37.719196798267845</v>
      </c>
      <c r="M170">
        <f t="shared" ca="1" si="59"/>
        <v>-60.697288139313528</v>
      </c>
      <c r="N170">
        <f t="shared" ca="1" si="59"/>
        <v>-74.216597603958434</v>
      </c>
      <c r="O170">
        <f t="shared" ca="1" si="59"/>
        <v>-80.513904066185944</v>
      </c>
      <c r="P170">
        <f t="shared" ca="1" si="59"/>
        <v>-80.856692470482457</v>
      </c>
    </row>
    <row r="172" spans="1:16">
      <c r="E172" t="s">
        <v>136</v>
      </c>
      <c r="L172" t="s">
        <v>137</v>
      </c>
    </row>
    <row r="173" spans="1:16">
      <c r="C173" t="s">
        <v>138</v>
      </c>
      <c r="D173">
        <f>D165</f>
        <v>2030</v>
      </c>
      <c r="E173">
        <f t="shared" ref="E173:H173" si="61">E165</f>
        <v>2040</v>
      </c>
      <c r="F173">
        <f t="shared" si="61"/>
        <v>2050</v>
      </c>
      <c r="G173">
        <f t="shared" si="61"/>
        <v>2060</v>
      </c>
      <c r="H173">
        <f t="shared" si="61"/>
        <v>2070</v>
      </c>
      <c r="K173" t="s">
        <v>138</v>
      </c>
      <c r="L173">
        <f>L97</f>
        <v>0</v>
      </c>
      <c r="M173">
        <f>M97</f>
        <v>0</v>
      </c>
      <c r="N173">
        <f>N97</f>
        <v>0</v>
      </c>
      <c r="O173">
        <f>O97</f>
        <v>0</v>
      </c>
      <c r="P173">
        <f>P97</f>
        <v>0</v>
      </c>
    </row>
    <row r="174" spans="1:16">
      <c r="A174" t="s">
        <v>35</v>
      </c>
      <c r="B174" t="str">
        <f>B166</f>
        <v>Mt CO2/yr</v>
      </c>
      <c r="C174" s="112">
        <f>C113</f>
        <v>26.357079999999993</v>
      </c>
      <c r="D174">
        <f ca="1">D166+$C174</f>
        <v>-18.665429076781212</v>
      </c>
      <c r="E174">
        <f ca="1">E166+$C174</f>
        <v>-49.891499547590143</v>
      </c>
      <c r="F174">
        <f ca="1">F166+$C174</f>
        <v>-68.356972989171268</v>
      </c>
      <c r="G174">
        <f t="shared" ref="G174" ca="1" si="62">G166+$C174</f>
        <v>-76.962167587032042</v>
      </c>
      <c r="H174">
        <f ca="1">H166+$C174</f>
        <v>-77.154241725954691</v>
      </c>
      <c r="K174">
        <f>C174</f>
        <v>26.357079999999993</v>
      </c>
      <c r="L174">
        <f ca="1">L166+$C174</f>
        <v>-3.9337084438719074</v>
      </c>
      <c r="M174">
        <f t="shared" ref="M174:P175" ca="1" si="63">M166+$C174</f>
        <v>-24.942361980964638</v>
      </c>
      <c r="N174">
        <f t="shared" ca="1" si="63"/>
        <v>-37.365786641304723</v>
      </c>
      <c r="O174">
        <f t="shared" ca="1" si="63"/>
        <v>-43.1552935885436</v>
      </c>
      <c r="P174">
        <f t="shared" ca="1" si="63"/>
        <v>-43.284519551888351</v>
      </c>
    </row>
    <row r="175" spans="1:16">
      <c r="A175" t="s">
        <v>89</v>
      </c>
      <c r="B175" t="str">
        <f t="shared" ref="B175:B178" si="64">B167</f>
        <v>Mt CO2-equiv/yr</v>
      </c>
      <c r="C175" s="112">
        <f>C114</f>
        <v>35.768890501400001</v>
      </c>
      <c r="D175">
        <f t="shared" ref="D175:F175" ca="1" si="65">D167+$C175</f>
        <v>-18.81303981801917</v>
      </c>
      <c r="E175">
        <f t="shared" ca="1" si="65"/>
        <v>-51.714797616091339</v>
      </c>
      <c r="F175">
        <f t="shared" ca="1" si="65"/>
        <v>-71.152387945611054</v>
      </c>
      <c r="G175">
        <f ca="1">G167+$C175</f>
        <v>-80.359777447228538</v>
      </c>
      <c r="H175">
        <f t="shared" ref="H175" ca="1" si="66">H167+$C175</f>
        <v>-80.445715177724168</v>
      </c>
      <c r="K175">
        <f t="shared" ref="K175:K178" si="67">C175</f>
        <v>35.768890501400001</v>
      </c>
      <c r="L175">
        <f t="shared" ref="L175:N175" ca="1" si="68">L167+$C175</f>
        <v>-0.95340103824079847</v>
      </c>
      <c r="M175">
        <f t="shared" ca="1" si="68"/>
        <v>-23.089443771738495</v>
      </c>
      <c r="N175">
        <f t="shared" ca="1" si="68"/>
        <v>-36.166900994880571</v>
      </c>
      <c r="O175">
        <f ca="1">O167+$C175</f>
        <v>-42.361559916225652</v>
      </c>
      <c r="P175">
        <f t="shared" ca="1" si="63"/>
        <v>-42.419378142423348</v>
      </c>
    </row>
    <row r="176" spans="1:16">
      <c r="A176" t="s">
        <v>88</v>
      </c>
      <c r="B176" t="str">
        <f t="shared" si="64"/>
        <v>Mt CH4/yr</v>
      </c>
      <c r="C176" s="112">
        <f>C115</f>
        <v>1.310530129357143</v>
      </c>
      <c r="D176">
        <f ca="1">D168+$C176</f>
        <v>1.2576107219811605</v>
      </c>
      <c r="E176">
        <f t="shared" ref="E176:H176" ca="1" si="69">E168+$C176</f>
        <v>1.2129116767031962</v>
      </c>
      <c r="F176">
        <f t="shared" ca="1" si="69"/>
        <v>1.1894565303232059</v>
      </c>
      <c r="G176">
        <f t="shared" ca="1" si="69"/>
        <v>1.184007620323893</v>
      </c>
      <c r="H176">
        <f t="shared" ca="1" si="69"/>
        <v>1.1688803523971636</v>
      </c>
      <c r="K176">
        <f t="shared" si="67"/>
        <v>1.310530129357143</v>
      </c>
      <c r="L176">
        <f t="shared" ref="L176:M176" ca="1" si="70">L168+$C176</f>
        <v>1.2749263701204629</v>
      </c>
      <c r="M176">
        <f t="shared" ca="1" si="70"/>
        <v>1.2448532055651775</v>
      </c>
      <c r="N176">
        <f ca="1">N168+$C176</f>
        <v>1.229072768368648</v>
      </c>
      <c r="O176">
        <f t="shared" ref="O176:P176" ca="1" si="71">O168+$C176</f>
        <v>1.2254067847657037</v>
      </c>
      <c r="P176">
        <f t="shared" ca="1" si="71"/>
        <v>1.2152292784050323</v>
      </c>
    </row>
    <row r="177" spans="1:16">
      <c r="A177" t="s">
        <v>133</v>
      </c>
      <c r="B177" t="str">
        <f t="shared" si="64"/>
        <v>Mt CH4/yr</v>
      </c>
      <c r="C177" s="112">
        <f>C116</f>
        <v>1.3361140579285715</v>
      </c>
      <c r="D177">
        <f t="shared" ref="D177:H177" ca="1" si="72">D169+$C177</f>
        <v>1.0403180488475046</v>
      </c>
      <c r="E177">
        <f t="shared" ca="1" si="72"/>
        <v>0.93752227002036759</v>
      </c>
      <c r="F177">
        <f t="shared" ca="1" si="72"/>
        <v>0.88322873179060757</v>
      </c>
      <c r="G177">
        <f t="shared" ca="1" si="72"/>
        <v>0.87784333636535061</v>
      </c>
      <c r="H177">
        <f t="shared" ca="1" si="72"/>
        <v>0.86675023310203092</v>
      </c>
      <c r="K177">
        <f t="shared" si="67"/>
        <v>1.3361140579285715</v>
      </c>
      <c r="L177">
        <f t="shared" ref="L177:P177" ca="1" si="73">L169+$C177</f>
        <v>1.1371048397098347</v>
      </c>
      <c r="M177">
        <f t="shared" ca="1" si="73"/>
        <v>1.0679446517677178</v>
      </c>
      <c r="N177">
        <f t="shared" ca="1" si="73"/>
        <v>1.0314163881477971</v>
      </c>
      <c r="O177">
        <f t="shared" ca="1" si="73"/>
        <v>1.0277931366485336</v>
      </c>
      <c r="P177">
        <f t="shared" ca="1" si="73"/>
        <v>1.0203297844048327</v>
      </c>
    </row>
    <row r="178" spans="1:16">
      <c r="A178" t="s">
        <v>139</v>
      </c>
      <c r="B178" t="str">
        <f t="shared" si="64"/>
        <v>Mt CO2-equiv/yr</v>
      </c>
      <c r="C178" s="112">
        <f>C117</f>
        <v>72.463734123400002</v>
      </c>
      <c r="D178">
        <f t="shared" ref="D178:H178" ca="1" si="74">D170+$C178</f>
        <v>16.400060397453323</v>
      </c>
      <c r="E178">
        <f t="shared" ca="1" si="74"/>
        <v>-17.753270668401854</v>
      </c>
      <c r="F178">
        <f t="shared" ca="1" si="74"/>
        <v>-37.847605096561296</v>
      </c>
      <c r="G178">
        <f t="shared" ca="1" si="74"/>
        <v>-47.207564078159535</v>
      </c>
      <c r="H178">
        <f t="shared" ca="1" si="74"/>
        <v>-47.717065310603601</v>
      </c>
      <c r="K178">
        <f t="shared" si="67"/>
        <v>72.463734123400002</v>
      </c>
      <c r="L178">
        <f ca="1">L170+$C178</f>
        <v>34.744537325132157</v>
      </c>
      <c r="M178">
        <f t="shared" ref="M178:P178" ca="1" si="75">M170+$C178</f>
        <v>11.766445984086474</v>
      </c>
      <c r="N178">
        <f t="shared" ca="1" si="75"/>
        <v>-1.7528634805584318</v>
      </c>
      <c r="O178">
        <f t="shared" ca="1" si="75"/>
        <v>-8.0501699427859421</v>
      </c>
      <c r="P178">
        <f t="shared" ca="1" si="75"/>
        <v>-8.3929583470824554</v>
      </c>
    </row>
    <row r="183" spans="1:16">
      <c r="O183" s="138"/>
    </row>
    <row r="184" spans="1:16">
      <c r="O184" s="138"/>
    </row>
    <row r="185" spans="1:16">
      <c r="O185" s="138"/>
    </row>
    <row r="186" spans="1:16">
      <c r="O186" s="138"/>
    </row>
    <row r="187" spans="1:16">
      <c r="K187" s="138"/>
      <c r="L187" s="138"/>
      <c r="M187" s="138"/>
      <c r="N187" s="138"/>
      <c r="O187" s="138"/>
    </row>
  </sheetData>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652F45-4A01-4694-B59A-7D308311E508}">
  <sheetPr codeName="Sheet5">
    <tabColor rgb="FF9966FF"/>
  </sheetPr>
  <dimension ref="A1:W48"/>
  <sheetViews>
    <sheetView zoomScale="85" zoomScaleNormal="85" workbookViewId="0">
      <selection activeCell="AA1" sqref="AA1"/>
    </sheetView>
  </sheetViews>
  <sheetFormatPr defaultRowHeight="15"/>
  <cols>
    <col min="1" max="1" width="27.42578125" customWidth="1"/>
    <col min="2" max="2" width="22.5703125" customWidth="1"/>
    <col min="8" max="8" width="10.5703125" bestFit="1" customWidth="1"/>
    <col min="20" max="20" width="21.28515625" customWidth="1"/>
    <col min="22" max="22" width="12.42578125" bestFit="1" customWidth="1"/>
  </cols>
  <sheetData>
    <row r="1" spans="1:23" ht="15.75">
      <c r="G1" s="52">
        <v>2010</v>
      </c>
      <c r="H1" s="52">
        <v>2020</v>
      </c>
      <c r="I1" s="52">
        <v>2030</v>
      </c>
      <c r="J1" s="52">
        <v>2040</v>
      </c>
      <c r="K1" s="52">
        <v>2050</v>
      </c>
      <c r="L1" s="52">
        <v>2060</v>
      </c>
      <c r="M1" s="52">
        <v>2070</v>
      </c>
      <c r="N1" s="52">
        <v>2080</v>
      </c>
      <c r="O1" s="52">
        <v>2090</v>
      </c>
      <c r="P1" s="52">
        <v>2100</v>
      </c>
    </row>
    <row r="4" spans="1:23">
      <c r="U4" s="143" t="s">
        <v>142</v>
      </c>
    </row>
    <row r="6" spans="1:23">
      <c r="A6" t="s">
        <v>35</v>
      </c>
      <c r="B6" s="3" t="s">
        <v>69</v>
      </c>
      <c r="C6" t="s">
        <v>143</v>
      </c>
      <c r="G6">
        <f ca="1">'AR6 Pathways'!AM10</f>
        <v>5.3799679725914578</v>
      </c>
      <c r="H6">
        <f ca="1">'AR6 Pathways'!AN10</f>
        <v>5.2105824188473058</v>
      </c>
      <c r="I6">
        <f ca="1">'AR6 Pathways'!AO10</f>
        <v>2.5893506620037443</v>
      </c>
      <c r="J6">
        <f ca="1">'AR6 Pathways'!AP10</f>
        <v>1.0540316652609201</v>
      </c>
      <c r="K6">
        <f ca="1">'AR6 Pathways'!AQ10</f>
        <v>0.1494525971144153</v>
      </c>
      <c r="L6">
        <f ca="1">'AR6 Pathways'!AR10</f>
        <v>-0.12823134939265829</v>
      </c>
      <c r="M6">
        <f ca="1">'AR6 Pathways'!AS10</f>
        <v>-0.27446516818185546</v>
      </c>
      <c r="N6">
        <f ca="1">'AR6 Pathways'!AT10</f>
        <v>-0.49117556131514384</v>
      </c>
      <c r="O6">
        <f ca="1">'AR6 Pathways'!AU10</f>
        <v>-0.62745990699258058</v>
      </c>
      <c r="P6">
        <f ca="1">'AR6 Pathways'!AV10</f>
        <v>-0.75598761139768889</v>
      </c>
      <c r="U6" s="47" t="s">
        <v>144</v>
      </c>
      <c r="W6" s="46" t="s">
        <v>145</v>
      </c>
    </row>
    <row r="7" spans="1:23">
      <c r="B7" s="3" t="s">
        <v>146</v>
      </c>
      <c r="C7" t="s">
        <v>143</v>
      </c>
      <c r="G7">
        <f ca="1">'AR6 Pathways'!AM11</f>
        <v>5.2556903718471117</v>
      </c>
      <c r="H7">
        <f ca="1">'AR6 Pathways'!AN11</f>
        <v>5.1556434882575131</v>
      </c>
      <c r="I7">
        <f ca="1">'AR6 Pathways'!AO11</f>
        <v>2.1552875638919922</v>
      </c>
      <c r="J7">
        <f ca="1">'AR6 Pathways'!AP11</f>
        <v>0.80168393057110865</v>
      </c>
      <c r="K7">
        <f ca="1">'AR6 Pathways'!AQ11</f>
        <v>-5.3639214775975635E-2</v>
      </c>
      <c r="L7">
        <f ca="1">'AR6 Pathways'!AR11</f>
        <v>-0.60965541652903121</v>
      </c>
      <c r="M7">
        <f ca="1">'AR6 Pathways'!AS11</f>
        <v>-0.74064784580115228</v>
      </c>
      <c r="N7">
        <f ca="1">'AR6 Pathways'!AT11</f>
        <v>-0.85107628523000844</v>
      </c>
      <c r="O7">
        <f ca="1">'AR6 Pathways'!AU11</f>
        <v>-1.1281322968303069</v>
      </c>
      <c r="P7">
        <f ca="1">'AR6 Pathways'!AV11</f>
        <v>-1.2581739089138162</v>
      </c>
      <c r="U7" t="s">
        <v>147</v>
      </c>
      <c r="V7" t="s">
        <v>148</v>
      </c>
    </row>
    <row r="8" spans="1:23">
      <c r="B8" s="3" t="s">
        <v>149</v>
      </c>
      <c r="C8" t="s">
        <v>143</v>
      </c>
      <c r="G8">
        <f ca="1">'AR6 Pathways'!AM12</f>
        <v>5.5977067016020818</v>
      </c>
      <c r="H8">
        <f ca="1">'AR6 Pathways'!AN12</f>
        <v>5.4507216726140477</v>
      </c>
      <c r="I8">
        <f ca="1">'AR6 Pathways'!AO12</f>
        <v>2.8456855608620781</v>
      </c>
      <c r="J8">
        <f ca="1">'AR6 Pathways'!AP12</f>
        <v>1.2483001284203101</v>
      </c>
      <c r="K8">
        <f ca="1">'AR6 Pathways'!AQ12</f>
        <v>0.38339105732758616</v>
      </c>
      <c r="L8">
        <f ca="1">'AR6 Pathways'!AR12</f>
        <v>2.6333292826761106E-3</v>
      </c>
      <c r="M8">
        <f ca="1">'AR6 Pathways'!AS12</f>
        <v>-5.6379697156094923E-3</v>
      </c>
      <c r="N8">
        <f ca="1">'AR6 Pathways'!AT12</f>
        <v>-4.7140976437335461E-3</v>
      </c>
      <c r="O8">
        <f ca="1">'AR6 Pathways'!AU12</f>
        <v>-5.5893320050717362E-3</v>
      </c>
      <c r="P8">
        <f ca="1">'AR6 Pathways'!AV12</f>
        <v>-1.3738815853914165E-3</v>
      </c>
      <c r="T8" t="s">
        <v>150</v>
      </c>
      <c r="U8">
        <v>290</v>
      </c>
      <c r="V8">
        <f>U8/4</f>
        <v>72.5</v>
      </c>
    </row>
    <row r="9" spans="1:23">
      <c r="B9" t="s">
        <v>151</v>
      </c>
      <c r="C9" t="s">
        <v>143</v>
      </c>
      <c r="H9" s="112">
        <f>Capacity!C6/'AR6 Pathways'!AA58</f>
        <v>5.1780047935248108</v>
      </c>
      <c r="I9" s="112">
        <f ca="1">Capacity!D6/'AR6 Pathways'!AB58</f>
        <v>2.7915185714901094</v>
      </c>
      <c r="J9" s="112">
        <f ca="1">Capacity!E6/'AR6 Pathways'!AC58</f>
        <v>0.68771704118020327</v>
      </c>
      <c r="K9" s="112">
        <f ca="1">Capacity!F6/'AR6 Pathways'!AD58</f>
        <v>-1.1702381847222334</v>
      </c>
      <c r="L9" s="112">
        <f ca="1">Capacity!G6/'AR6 Pathways'!AE58</f>
        <v>-1.1261815537412625</v>
      </c>
      <c r="M9" s="112">
        <f ca="1">Capacity!H6/'AR6 Pathways'!AF58</f>
        <v>-1.0897074230890118</v>
      </c>
      <c r="T9" t="s">
        <v>152</v>
      </c>
      <c r="U9">
        <v>305</v>
      </c>
      <c r="V9">
        <f>U9/5</f>
        <v>61</v>
      </c>
    </row>
    <row r="10" spans="1:23">
      <c r="T10" t="s">
        <v>153</v>
      </c>
      <c r="U10">
        <v>240</v>
      </c>
      <c r="V10">
        <f>U10/5</f>
        <v>48</v>
      </c>
    </row>
    <row r="11" spans="1:23">
      <c r="A11" t="s">
        <v>115</v>
      </c>
      <c r="B11" s="3" t="s">
        <v>69</v>
      </c>
      <c r="C11" t="s">
        <v>154</v>
      </c>
      <c r="G11">
        <f ca="1">'AR6 Pathways'!AM46</f>
        <v>0.84007100529458767</v>
      </c>
      <c r="H11">
        <f ca="1">'AR6 Pathways'!AN46</f>
        <v>0.81191563040807091</v>
      </c>
      <c r="I11">
        <f ca="1">'AR6 Pathways'!AO46</f>
        <v>0.60656006208813351</v>
      </c>
      <c r="J11">
        <f ca="1">'AR6 Pathways'!AP46</f>
        <v>0.51668939467615849</v>
      </c>
      <c r="K11">
        <f ca="1">'AR6 Pathways'!AQ46</f>
        <v>0.44675751885366144</v>
      </c>
      <c r="L11">
        <f ca="1">'AR6 Pathways'!AR46</f>
        <v>0.44596470053679754</v>
      </c>
      <c r="M11">
        <f ca="1">'AR6 Pathways'!AS46</f>
        <v>0.44339224595145532</v>
      </c>
      <c r="N11">
        <f ca="1">'AR6 Pathways'!AT46</f>
        <v>0.4472532596741377</v>
      </c>
      <c r="O11">
        <f ca="1">'AR6 Pathways'!AU46</f>
        <v>0.43467727906515452</v>
      </c>
      <c r="P11">
        <f ca="1">'AR6 Pathways'!AV46</f>
        <v>0.42304638002752581</v>
      </c>
    </row>
    <row r="12" spans="1:23">
      <c r="B12" s="3" t="s">
        <v>146</v>
      </c>
      <c r="C12" t="s">
        <v>154</v>
      </c>
      <c r="G12">
        <f ca="1">'AR6 Pathways'!AM47</f>
        <v>0.79250005071855822</v>
      </c>
      <c r="H12">
        <f ca="1">'AR6 Pathways'!AN47</f>
        <v>0.79060898333388085</v>
      </c>
      <c r="I12">
        <f ca="1">'AR6 Pathways'!AO47</f>
        <v>0.51807105606165627</v>
      </c>
      <c r="J12">
        <f ca="1">'AR6 Pathways'!AP47</f>
        <v>0.3938043945309444</v>
      </c>
      <c r="K12">
        <f ca="1">'AR6 Pathways'!AQ47</f>
        <v>0.34208241835076103</v>
      </c>
      <c r="L12">
        <f ca="1">'AR6 Pathways'!AR47</f>
        <v>0.32160255604312343</v>
      </c>
      <c r="M12">
        <f ca="1">'AR6 Pathways'!AS47</f>
        <v>0.2991411743407974</v>
      </c>
      <c r="N12">
        <f ca="1">'AR6 Pathways'!AT47</f>
        <v>0.28286762778634172</v>
      </c>
      <c r="O12">
        <f ca="1">'AR6 Pathways'!AU47</f>
        <v>0.27785149784545471</v>
      </c>
      <c r="P12">
        <f ca="1">'AR6 Pathways'!AV47</f>
        <v>0.26375823077124083</v>
      </c>
      <c r="T12">
        <v>2030</v>
      </c>
      <c r="V12">
        <f>AVERAGE(V9:V10)</f>
        <v>54.5</v>
      </c>
    </row>
    <row r="13" spans="1:23">
      <c r="B13" s="3" t="s">
        <v>149</v>
      </c>
      <c r="C13" t="s">
        <v>154</v>
      </c>
      <c r="G13">
        <f ca="1">'AR6 Pathways'!AM48</f>
        <v>0.91406190587803982</v>
      </c>
      <c r="H13">
        <f ca="1">'AR6 Pathways'!AN48</f>
        <v>0.81715914870193085</v>
      </c>
      <c r="I13">
        <f ca="1">'AR6 Pathways'!AO48</f>
        <v>0.68349751662540914</v>
      </c>
      <c r="J13">
        <f ca="1">'AR6 Pathways'!AP48</f>
        <v>0.58731570665183919</v>
      </c>
      <c r="K13">
        <f ca="1">'AR6 Pathways'!AQ48</f>
        <v>0.53568325168382913</v>
      </c>
      <c r="L13">
        <f ca="1">'AR6 Pathways'!AR48</f>
        <v>0.517201023533294</v>
      </c>
      <c r="M13">
        <f ca="1">'AR6 Pathways'!AS48</f>
        <v>0.49556698709424452</v>
      </c>
      <c r="N13">
        <f ca="1">'AR6 Pathways'!AT48</f>
        <v>0.46796526646852199</v>
      </c>
      <c r="O13">
        <f ca="1">'AR6 Pathways'!AU48</f>
        <v>0.44870263294823287</v>
      </c>
      <c r="P13">
        <f ca="1">'AR6 Pathways'!AV48</f>
        <v>0.42952147929347823</v>
      </c>
    </row>
    <row r="14" spans="1:23">
      <c r="B14" t="s">
        <v>155</v>
      </c>
      <c r="C14" t="s">
        <v>154</v>
      </c>
      <c r="H14">
        <f ca="1">'Biogenic CH4 NZ'!AH7/'NZ Pop hist'!B34*1000</f>
        <v>7.2089198110093911</v>
      </c>
      <c r="I14">
        <f ca="1">0.9*'Biogenic CH4 NZ'!AE7/'AR6 Pathways'!AB58/1000</f>
        <v>6.075723243839648</v>
      </c>
      <c r="J14" s="111">
        <f ca="1">AVERAGE(I14,K14)</f>
        <v>5.3136504894195795</v>
      </c>
      <c r="K14" s="111">
        <f ca="1">(1-0.24)*'Biogenic CH4 NZ'!AE7/'AR6 Pathways'!AD58/1000</f>
        <v>4.5515777349995101</v>
      </c>
      <c r="L14" s="111">
        <f ca="1">K14</f>
        <v>4.5515777349995101</v>
      </c>
      <c r="M14" s="111">
        <f ca="1">L14</f>
        <v>4.5515777349995101</v>
      </c>
      <c r="T14" t="s">
        <v>156</v>
      </c>
      <c r="V14" s="127">
        <f ca="1">0.9*'Biogenic CH4 NZ'!AE7</f>
        <v>33039.783000000003</v>
      </c>
      <c r="W14" t="s">
        <v>157</v>
      </c>
    </row>
    <row r="15" spans="1:23">
      <c r="B15" t="s">
        <v>158</v>
      </c>
      <c r="C15" t="s">
        <v>154</v>
      </c>
      <c r="H15">
        <f ca="1">H14</f>
        <v>7.2089198110093911</v>
      </c>
      <c r="I15">
        <f ca="1">I14</f>
        <v>6.075723243839648</v>
      </c>
      <c r="J15" s="111">
        <f ca="1">AVERAGE(I15,K15)</f>
        <v>4.6249249110972848</v>
      </c>
      <c r="K15" s="111">
        <f ca="1">(1-0.47)*'Biogenic CH4 NZ'!AE7/'AR6 Pathways'!AD58/1000</f>
        <v>3.174126578354922</v>
      </c>
      <c r="L15" s="111">
        <f ca="1">K15</f>
        <v>3.174126578354922</v>
      </c>
      <c r="M15" s="111">
        <f ca="1">L15</f>
        <v>3.174126578354922</v>
      </c>
    </row>
    <row r="16" spans="1:23">
      <c r="B16" s="3" t="s">
        <v>69</v>
      </c>
      <c r="C16" t="s">
        <v>159</v>
      </c>
      <c r="H16">
        <f t="shared" ref="H16:P16" ca="1" si="0">H11/GWP_Methane</f>
        <v>2.8996986800288248E-2</v>
      </c>
      <c r="I16">
        <f t="shared" ca="1" si="0"/>
        <v>2.1662859360290481E-2</v>
      </c>
      <c r="J16">
        <f t="shared" ca="1" si="0"/>
        <v>1.8453192667005659E-2</v>
      </c>
      <c r="K16">
        <f t="shared" ca="1" si="0"/>
        <v>1.5955625673345051E-2</v>
      </c>
      <c r="L16">
        <f t="shared" ca="1" si="0"/>
        <v>1.5927310733457056E-2</v>
      </c>
      <c r="M16">
        <f t="shared" ca="1" si="0"/>
        <v>1.583543735540912E-2</v>
      </c>
      <c r="N16">
        <f t="shared" ca="1" si="0"/>
        <v>1.5973330702647774E-2</v>
      </c>
      <c r="O16">
        <f t="shared" ca="1" si="0"/>
        <v>1.5524188538041233E-2</v>
      </c>
      <c r="P16">
        <f t="shared" ca="1" si="0"/>
        <v>1.5108799286697351E-2</v>
      </c>
    </row>
    <row r="17" spans="1:23">
      <c r="B17" t="s">
        <v>155</v>
      </c>
      <c r="C17" t="s">
        <v>159</v>
      </c>
      <c r="H17">
        <f t="shared" ref="H17:M18" ca="1" si="1">H14/GWP_Methane</f>
        <v>0.25746142182176396</v>
      </c>
      <c r="I17">
        <f t="shared" ca="1" si="1"/>
        <v>0.216990115851416</v>
      </c>
      <c r="J17">
        <f t="shared" ca="1" si="1"/>
        <v>0.18977323176498498</v>
      </c>
      <c r="K17">
        <f t="shared" ca="1" si="1"/>
        <v>0.16255634767855393</v>
      </c>
      <c r="L17">
        <f t="shared" ca="1" si="1"/>
        <v>0.16255634767855393</v>
      </c>
      <c r="M17">
        <f t="shared" ca="1" si="1"/>
        <v>0.16255634767855393</v>
      </c>
    </row>
    <row r="18" spans="1:23">
      <c r="B18" t="s">
        <v>158</v>
      </c>
      <c r="C18" t="s">
        <v>159</v>
      </c>
      <c r="H18">
        <f t="shared" ca="1" si="1"/>
        <v>0.25746142182176396</v>
      </c>
      <c r="I18">
        <f t="shared" ca="1" si="1"/>
        <v>0.216990115851416</v>
      </c>
      <c r="J18">
        <f t="shared" ca="1" si="1"/>
        <v>0.16517588968204588</v>
      </c>
      <c r="K18">
        <f t="shared" ca="1" si="1"/>
        <v>0.11336166351267578</v>
      </c>
      <c r="L18">
        <f t="shared" ca="1" si="1"/>
        <v>0.11336166351267578</v>
      </c>
      <c r="M18">
        <f t="shared" ca="1" si="1"/>
        <v>0.11336166351267578</v>
      </c>
    </row>
    <row r="20" spans="1:23">
      <c r="A20" t="s">
        <v>160</v>
      </c>
      <c r="B20" s="3" t="s">
        <v>69</v>
      </c>
      <c r="C20" t="s">
        <v>154</v>
      </c>
      <c r="G20">
        <f ca="1">'AR6 Pathways'!AM49</f>
        <v>6.49355173560628</v>
      </c>
      <c r="H20">
        <f ca="1">'AR6 Pathways'!AN49</f>
        <v>6.2907755671978425</v>
      </c>
      <c r="I20">
        <f ca="1">'AR6 Pathways'!AO49</f>
        <v>3.1493958955547479</v>
      </c>
      <c r="J20">
        <f ca="1">'AR6 Pathways'!AP49</f>
        <v>1.4677187365670628</v>
      </c>
      <c r="K20">
        <f ca="1">'AR6 Pathways'!AQ49</f>
        <v>0.49903546153796929</v>
      </c>
      <c r="L20">
        <f ca="1">'AR6 Pathways'!AR49</f>
        <v>0.15210844066050008</v>
      </c>
      <c r="M20">
        <f ca="1">'AR6 Pathways'!AS49</f>
        <v>-1.9080372895437899E-2</v>
      </c>
      <c r="N20">
        <f ca="1">'AR6 Pathways'!AT49</f>
        <v>-0.30219106970689924</v>
      </c>
      <c r="O20">
        <f ca="1">'AR6 Pathways'!AU49</f>
        <v>-0.43413014488181223</v>
      </c>
      <c r="P20">
        <f ca="1">'AR6 Pathways'!AV49</f>
        <v>-0.55517204185700608</v>
      </c>
      <c r="T20" t="s">
        <v>161</v>
      </c>
      <c r="V20">
        <f ca="1">V12-V14/1000</f>
        <v>21.460217</v>
      </c>
      <c r="W20" t="s">
        <v>162</v>
      </c>
    </row>
    <row r="21" spans="1:23">
      <c r="B21" s="3" t="s">
        <v>146</v>
      </c>
      <c r="C21" t="s">
        <v>154</v>
      </c>
      <c r="G21">
        <f ca="1">'AR6 Pathways'!AM50</f>
        <v>6.2709801517462482</v>
      </c>
      <c r="H21">
        <f ca="1">'AR6 Pathways'!AN50</f>
        <v>6.1586383360158745</v>
      </c>
      <c r="I21">
        <f ca="1">'AR6 Pathways'!AO50</f>
        <v>2.7077626745429622</v>
      </c>
      <c r="J21">
        <f ca="1">'AR6 Pathways'!AP50</f>
        <v>1.2358044235794514</v>
      </c>
      <c r="K21">
        <f ca="1">'AR6 Pathways'!AQ50</f>
        <v>0.27657032482088834</v>
      </c>
      <c r="L21">
        <f ca="1">'AR6 Pathways'!AR50</f>
        <v>-0.30599986519111955</v>
      </c>
      <c r="M21">
        <f ca="1">'AR6 Pathways'!AS50</f>
        <v>-0.43382289638250104</v>
      </c>
      <c r="N21">
        <f ca="1">'AR6 Pathways'!AT50</f>
        <v>-0.54506356630611252</v>
      </c>
      <c r="O21">
        <f ca="1">'AR6 Pathways'!AU50</f>
        <v>-0.83602528073754767</v>
      </c>
      <c r="P21">
        <f ca="1">'AR6 Pathways'!AV50</f>
        <v>-0.97221107937027373</v>
      </c>
    </row>
    <row r="22" spans="1:23">
      <c r="B22" s="3" t="s">
        <v>149</v>
      </c>
      <c r="C22" t="s">
        <v>154</v>
      </c>
      <c r="G22">
        <f ca="1">'AR6 Pathways'!AM51</f>
        <v>6.6686184565068194</v>
      </c>
      <c r="H22">
        <f ca="1">'AR6 Pathways'!AN51</f>
        <v>6.6465591723313544</v>
      </c>
      <c r="I22">
        <f ca="1">'AR6 Pathways'!AO51</f>
        <v>3.4855137780355006</v>
      </c>
      <c r="J22">
        <f ca="1">'AR6 Pathways'!AP51</f>
        <v>1.7748994519307701</v>
      </c>
      <c r="K22">
        <f ca="1">'AR6 Pathways'!AQ51</f>
        <v>0.84673975883458352</v>
      </c>
      <c r="L22">
        <f ca="1">'AR6 Pathways'!AR51</f>
        <v>0.42965386055242266</v>
      </c>
      <c r="M22">
        <f ca="1">'AR6 Pathways'!AS51</f>
        <v>0.42310934605498424</v>
      </c>
      <c r="N22">
        <f ca="1">'AR6 Pathways'!AT51</f>
        <v>0.41422802206027065</v>
      </c>
      <c r="O22">
        <f ca="1">'AR6 Pathways'!AU51</f>
        <v>0.42799124490378027</v>
      </c>
      <c r="P22">
        <f ca="1">'AR6 Pathways'!AV51</f>
        <v>0.45676869133825798</v>
      </c>
    </row>
    <row r="23" spans="1:23">
      <c r="B23" t="s">
        <v>151</v>
      </c>
      <c r="C23" t="s">
        <v>154</v>
      </c>
      <c r="H23" s="112">
        <f>Capacity!C86/'AR6 Pathways'!AA58</f>
        <v>7.0270108249970527</v>
      </c>
      <c r="I23">
        <f ca="1">V20/'AR6 Pathways'!AB58</f>
        <v>3.9463436925340201</v>
      </c>
      <c r="J23">
        <f ca="1">AVERAGE(I23,K23)</f>
        <v>1.97317184626701</v>
      </c>
      <c r="K23">
        <v>0</v>
      </c>
      <c r="L23">
        <f>K23</f>
        <v>0</v>
      </c>
      <c r="M23">
        <f>L23</f>
        <v>0</v>
      </c>
    </row>
    <row r="25" spans="1:23">
      <c r="H25" s="127"/>
    </row>
    <row r="26" spans="1:23">
      <c r="A26" t="s">
        <v>163</v>
      </c>
      <c r="B26" s="3" t="s">
        <v>69</v>
      </c>
      <c r="C26" t="s">
        <v>154</v>
      </c>
      <c r="G26">
        <f ca="1">'AR6 Pathways'!AM25</f>
        <v>7.333622740900867</v>
      </c>
      <c r="H26">
        <f ca="1">'AR6 Pathways'!AN25</f>
        <v>7.1026911976059131</v>
      </c>
      <c r="I26">
        <f ca="1">'AR6 Pathways'!AO25</f>
        <v>3.7559559576428811</v>
      </c>
      <c r="J26">
        <f ca="1">'AR6 Pathways'!AP25</f>
        <v>1.9844081312432214</v>
      </c>
      <c r="K26">
        <f ca="1">'AR6 Pathways'!AQ25</f>
        <v>0.94579298039163073</v>
      </c>
      <c r="L26">
        <f ca="1">'AR6 Pathways'!AR25</f>
        <v>0.5980731411972976</v>
      </c>
      <c r="M26">
        <f ca="1">'AR6 Pathways'!AS25</f>
        <v>0.42431187305601742</v>
      </c>
      <c r="N26">
        <f ca="1">'AR6 Pathways'!AT25</f>
        <v>0.14506218996723852</v>
      </c>
      <c r="O26">
        <f ca="1">'AR6 Pathways'!AU25</f>
        <v>5.4713418334226315E-4</v>
      </c>
      <c r="P26">
        <f ca="1">'AR6 Pathways'!AV25</f>
        <v>-0.1321256618294803</v>
      </c>
    </row>
    <row r="27" spans="1:23">
      <c r="B27" s="3" t="s">
        <v>146</v>
      </c>
      <c r="C27" t="s">
        <v>154</v>
      </c>
      <c r="G27">
        <f ca="1">'AR6 Pathways'!AM26</f>
        <v>7.0634802024648078</v>
      </c>
      <c r="H27">
        <f ca="1">'AR6 Pathways'!AN26</f>
        <v>6.9492473193497561</v>
      </c>
      <c r="I27">
        <f ca="1">'AR6 Pathways'!AO26</f>
        <v>3.2258337306046183</v>
      </c>
      <c r="J27">
        <f ca="1">'AR6 Pathways'!AP26</f>
        <v>1.6296088181103958</v>
      </c>
      <c r="K27">
        <f ca="1">'AR6 Pathways'!AQ26</f>
        <v>0.61865274317164942</v>
      </c>
      <c r="L27">
        <f ca="1">'AR6 Pathways'!AR26</f>
        <v>1.5602690852003902E-2</v>
      </c>
      <c r="M27">
        <f ca="1">'AR6 Pathways'!AS26</f>
        <v>-0.13468172204170359</v>
      </c>
      <c r="N27">
        <f ca="1">'AR6 Pathways'!AT26</f>
        <v>-0.2621959385197708</v>
      </c>
      <c r="O27">
        <f ca="1">'AR6 Pathways'!AU26</f>
        <v>-0.55817378289209307</v>
      </c>
      <c r="P27">
        <f ca="1">'AR6 Pathways'!AV26</f>
        <v>-0.70845284859903279</v>
      </c>
    </row>
    <row r="28" spans="1:23">
      <c r="B28" s="3" t="s">
        <v>149</v>
      </c>
      <c r="C28" t="s">
        <v>154</v>
      </c>
      <c r="G28">
        <f ca="1">'AR6 Pathways'!AM27</f>
        <v>7.5826803623848598</v>
      </c>
      <c r="H28">
        <f ca="1">'AR6 Pathways'!AN27</f>
        <v>7.4637183210332854</v>
      </c>
      <c r="I28">
        <f ca="1">'AR6 Pathways'!AO27</f>
        <v>4.1690112946609093</v>
      </c>
      <c r="J28">
        <f ca="1">'AR6 Pathways'!AP27</f>
        <v>2.3622151585826092</v>
      </c>
      <c r="K28">
        <f ca="1">'AR6 Pathways'!AQ27</f>
        <v>1.3824230105184125</v>
      </c>
      <c r="L28">
        <f ca="1">'AR6 Pathways'!AR27</f>
        <v>0.94685488408571672</v>
      </c>
      <c r="M28">
        <f ca="1">'AR6 Pathways'!AS27</f>
        <v>0.9186763331492287</v>
      </c>
      <c r="N28">
        <f ca="1">'AR6 Pathways'!AT27</f>
        <v>0.88219328852879264</v>
      </c>
      <c r="O28">
        <f ca="1">'AR6 Pathways'!AU27</f>
        <v>0.87669387785201314</v>
      </c>
      <c r="P28">
        <f ca="1">'AR6 Pathways'!AV27</f>
        <v>0.88629017063173621</v>
      </c>
    </row>
    <row r="29" spans="1:23">
      <c r="B29" t="s">
        <v>155</v>
      </c>
      <c r="C29" t="s">
        <v>154</v>
      </c>
      <c r="H29" s="127">
        <f>'Scenario Totals'!AF15/1000/'AR6 Pathways'!AA58</f>
        <v>14.235930636006444</v>
      </c>
      <c r="I29" s="111">
        <f ca="1">I14+I23</f>
        <v>10.022066936373669</v>
      </c>
      <c r="J29" s="111">
        <f t="shared" ref="J29" ca="1" si="2">J14+J23</f>
        <v>7.2868223356865895</v>
      </c>
      <c r="K29" s="111">
        <f ca="1">K14+K23</f>
        <v>4.5515777349995101</v>
      </c>
      <c r="L29" s="111">
        <f ca="1">K29</f>
        <v>4.5515777349995101</v>
      </c>
      <c r="M29" s="111">
        <f ca="1">L29</f>
        <v>4.5515777349995101</v>
      </c>
    </row>
    <row r="30" spans="1:23">
      <c r="B30" t="s">
        <v>158</v>
      </c>
      <c r="C30" t="s">
        <v>154</v>
      </c>
      <c r="H30" s="127">
        <f>H29</f>
        <v>14.235930636006444</v>
      </c>
      <c r="I30" s="111">
        <f t="shared" ref="I30:J30" ca="1" si="3">I23+I15</f>
        <v>10.022066936373669</v>
      </c>
      <c r="J30" s="111">
        <f t="shared" ca="1" si="3"/>
        <v>6.5980967573642948</v>
      </c>
      <c r="K30" s="111">
        <f ca="1">K23+K15</f>
        <v>3.174126578354922</v>
      </c>
      <c r="L30" s="111">
        <f ca="1">K30</f>
        <v>3.174126578354922</v>
      </c>
      <c r="M30" s="111">
        <f ca="1">L30</f>
        <v>3.174126578354922</v>
      </c>
    </row>
    <row r="32" spans="1:23">
      <c r="A32" t="s">
        <v>130</v>
      </c>
      <c r="B32" s="3" t="s">
        <v>69</v>
      </c>
      <c r="C32" t="s">
        <v>154</v>
      </c>
      <c r="G32">
        <f ca="1">'AR6 Pathways'!AM4</f>
        <v>1.4309175811401913</v>
      </c>
      <c r="H32">
        <f ca="1">'AR6 Pathways'!AN4</f>
        <v>1.3249484918355074</v>
      </c>
      <c r="I32">
        <f ca="1">'AR6 Pathways'!AO4</f>
        <v>0.82769719148254772</v>
      </c>
      <c r="J32">
        <f ca="1">'AR6 Pathways'!AP4</f>
        <v>0.65751683292343788</v>
      </c>
      <c r="K32">
        <f ca="1">'AR6 Pathways'!AQ4</f>
        <v>0.55238681809221102</v>
      </c>
      <c r="L32">
        <f ca="1">'AR6 Pathways'!AR4</f>
        <v>0.4967444270335768</v>
      </c>
      <c r="M32">
        <f ca="1">'AR6 Pathways'!AS4</f>
        <v>0.47052293072120854</v>
      </c>
      <c r="N32">
        <f ca="1">'AR6 Pathways'!AT4</f>
        <v>0.41874782384246989</v>
      </c>
      <c r="O32">
        <f ca="1">'AR6 Pathways'!AU4</f>
        <v>0.4066041966005528</v>
      </c>
      <c r="P32">
        <f ca="1">'AR6 Pathways'!AV4</f>
        <v>0.39604604300402968</v>
      </c>
    </row>
    <row r="33" spans="1:17">
      <c r="B33" s="3" t="s">
        <v>146</v>
      </c>
      <c r="C33" t="s">
        <v>154</v>
      </c>
      <c r="G33">
        <f ca="1">'AR6 Pathways'!AM5</f>
        <v>1.3604183242045977</v>
      </c>
      <c r="H33">
        <f ca="1">'AR6 Pathways'!AN5</f>
        <v>1.2955937994526678</v>
      </c>
      <c r="I33">
        <f ca="1">'AR6 Pathways'!AO5</f>
        <v>0.76109801036233793</v>
      </c>
      <c r="J33">
        <f ca="1">'AR6 Pathways'!AP5</f>
        <v>0.57610672310056144</v>
      </c>
      <c r="K33">
        <f ca="1">'AR6 Pathways'!AQ5</f>
        <v>0.44833922334431531</v>
      </c>
      <c r="L33">
        <f ca="1">'AR6 Pathways'!AR5</f>
        <v>0.41256277384477735</v>
      </c>
      <c r="M33">
        <f ca="1">'AR6 Pathways'!AS5</f>
        <v>0.40317194603673823</v>
      </c>
      <c r="N33">
        <f ca="1">'AR6 Pathways'!AT5</f>
        <v>0.38581108036600503</v>
      </c>
      <c r="O33">
        <f ca="1">'AR6 Pathways'!AU5</f>
        <v>0.37254174177060329</v>
      </c>
      <c r="P33">
        <f ca="1">'AR6 Pathways'!AV5</f>
        <v>0.34971834893352544</v>
      </c>
    </row>
    <row r="34" spans="1:17">
      <c r="B34" s="3" t="s">
        <v>149</v>
      </c>
      <c r="C34" t="s">
        <v>154</v>
      </c>
      <c r="G34">
        <f ca="1">'AR6 Pathways'!AM6</f>
        <v>1.4593855254627175</v>
      </c>
      <c r="H34">
        <f ca="1">'AR6 Pathways'!AN6</f>
        <v>1.3917065258312185</v>
      </c>
      <c r="I34">
        <f ca="1">'AR6 Pathways'!AO6</f>
        <v>0.88325484642267182</v>
      </c>
      <c r="J34">
        <f ca="1">'AR6 Pathways'!AP6</f>
        <v>0.70094895958947157</v>
      </c>
      <c r="K34">
        <f ca="1">'AR6 Pathways'!AQ6</f>
        <v>0.60674762654871062</v>
      </c>
      <c r="L34">
        <f ca="1">'AR6 Pathways'!AR6</f>
        <v>0.58676602426135926</v>
      </c>
      <c r="M34">
        <f ca="1">'AR6 Pathways'!AS6</f>
        <v>0.569524266505958</v>
      </c>
      <c r="N34">
        <f ca="1">'AR6 Pathways'!AT6</f>
        <v>0.54592067877580519</v>
      </c>
      <c r="O34">
        <f ca="1">'AR6 Pathways'!AU6</f>
        <v>0.51966361375447245</v>
      </c>
      <c r="P34">
        <f ca="1">'AR6 Pathways'!AV6</f>
        <v>0.50703899951508002</v>
      </c>
    </row>
    <row r="35" spans="1:17">
      <c r="B35" t="s">
        <v>155</v>
      </c>
      <c r="C35" t="s">
        <v>154</v>
      </c>
      <c r="F35" s="127"/>
      <c r="H35" s="127">
        <f ca="1">H14+H$40</f>
        <v>7.3822010749048772</v>
      </c>
      <c r="I35" s="127">
        <f ca="1">I14+I$40</f>
        <v>6.2197290098645466</v>
      </c>
      <c r="J35" s="127">
        <f t="shared" ref="J35:K35" ca="1" si="4">J14+J$40</f>
        <v>5.4125551369134488</v>
      </c>
      <c r="K35" s="127">
        <f t="shared" ca="1" si="4"/>
        <v>4.621145789251548</v>
      </c>
      <c r="L35" s="127">
        <f t="shared" ref="L35:M35" ca="1" si="5">L14+L$40</f>
        <v>4.5918091960097156</v>
      </c>
      <c r="M35" s="127">
        <f t="shared" ca="1" si="5"/>
        <v>4.5624726027678841</v>
      </c>
    </row>
    <row r="36" spans="1:17">
      <c r="B36" t="s">
        <v>158</v>
      </c>
      <c r="C36" t="s">
        <v>154</v>
      </c>
      <c r="H36" s="127">
        <f t="shared" ref="H36:K36" ca="1" si="6">H15+H$40</f>
        <v>7.3822010749048772</v>
      </c>
      <c r="I36" s="127">
        <f t="shared" ca="1" si="6"/>
        <v>6.2197290098645466</v>
      </c>
      <c r="J36" s="127">
        <f t="shared" ca="1" si="6"/>
        <v>4.7238295585911541</v>
      </c>
      <c r="K36" s="127">
        <f t="shared" ca="1" si="6"/>
        <v>3.2436946326069593</v>
      </c>
      <c r="L36" s="127">
        <f t="shared" ref="L36:M36" ca="1" si="7">L15+L$40</f>
        <v>3.2143580393651279</v>
      </c>
      <c r="M36" s="127">
        <f t="shared" ca="1" si="7"/>
        <v>3.185021446123296</v>
      </c>
    </row>
    <row r="37" spans="1:17">
      <c r="H37" s="127"/>
      <c r="I37" s="127"/>
      <c r="J37" s="127"/>
      <c r="K37" s="127"/>
      <c r="L37" s="127"/>
      <c r="M37" s="127"/>
    </row>
    <row r="39" spans="1:17">
      <c r="B39" s="3" t="s">
        <v>164</v>
      </c>
      <c r="G39">
        <f ca="1">INDEX('Demonstration path data'!$D$74:$BL$74,1,MATCH(G1,'Demonstration path data'!$D$1:$BL$1,0))*GWP_Methane</f>
        <v>1767.8393044750787</v>
      </c>
      <c r="H39">
        <f ca="1">INDEX('Demonstration path data'!$D$74:$BL$74,1,MATCH(H1,'Demonstration path data'!$D$1:$BL$1,0))*GWP_Methane</f>
        <v>882.03628948080359</v>
      </c>
      <c r="I39">
        <f ca="1">INDEX('Demonstration path data'!$D$74:$BL$74,1,MATCH(I1,'Demonstration path data'!$D$1:$BL$1,0))*GWP_Methane</f>
        <v>783.10335564339607</v>
      </c>
      <c r="J39">
        <f ca="1">INDEX('Demonstration path data'!$D$74:$BL$74,1,MATCH(J1,'Demonstration path data'!$D$1:$BL$1,0))*GWP_Methane</f>
        <v>575.76351492081085</v>
      </c>
      <c r="K39">
        <f ca="1">INDEX('Demonstration path data'!$D$74:$BL$74,1,MATCH(K1,'Demonstration path data'!$D$1:$BL$1,0))*GWP_Methane</f>
        <v>426.43825895413971</v>
      </c>
    </row>
    <row r="40" spans="1:17">
      <c r="B40" s="3" t="s">
        <v>165</v>
      </c>
      <c r="G40">
        <f ca="1">G39/'AR6 Pathways'!Z58/1000</f>
        <v>0.40633445295586434</v>
      </c>
      <c r="H40">
        <f ca="1">H39/'AR6 Pathways'!AA58/1000</f>
        <v>0.17328126389548615</v>
      </c>
      <c r="I40">
        <f ca="1">I39/'AR6 Pathways'!AB58/1000</f>
        <v>0.14400576602489815</v>
      </c>
      <c r="J40">
        <f ca="1">J39/'AR6 Pathways'!AC58/1000</f>
        <v>9.8904647493869319E-2</v>
      </c>
      <c r="K40">
        <f ca="1">K39/'AR6 Pathways'!AD58/1000</f>
        <v>6.9568054252037548E-2</v>
      </c>
      <c r="L40">
        <f ca="1">K40+$K$41</f>
        <v>4.0231461010205777E-2</v>
      </c>
      <c r="M40">
        <f ca="1">L40+$K$41</f>
        <v>1.0894867768374006E-2</v>
      </c>
      <c r="Q40" t="s">
        <v>166</v>
      </c>
    </row>
    <row r="41" spans="1:17">
      <c r="H41">
        <f ca="1">H40-G40</f>
        <v>-0.2330531890603782</v>
      </c>
      <c r="I41">
        <f ca="1">I40-H40</f>
        <v>-2.9275497870588002E-2</v>
      </c>
      <c r="J41">
        <f ca="1">J40-I40</f>
        <v>-4.5101118531028828E-2</v>
      </c>
      <c r="K41">
        <f ca="1">K40-J40</f>
        <v>-2.9336593241831771E-2</v>
      </c>
    </row>
    <row r="43" spans="1:17">
      <c r="G43" s="128"/>
    </row>
    <row r="46" spans="1:17">
      <c r="A46" t="s">
        <v>167</v>
      </c>
      <c r="B46" s="3" t="s">
        <v>69</v>
      </c>
      <c r="C46" s="205" t="s">
        <v>168</v>
      </c>
      <c r="G46">
        <f ca="1">'AR6 Pathways'!Z58/'AR6 Pathways'!Z55*1.5</f>
        <v>9.4359126999395593E-4</v>
      </c>
      <c r="H46">
        <f ca="1">'AR6 Pathways'!AA58/'AR6 Pathways'!AA55*1.5</f>
        <v>9.9763790956418526E-4</v>
      </c>
      <c r="I46">
        <f ca="1">'AR6 Pathways'!AB58/'AR6 Pathways'!AB55*1.5</f>
        <v>9.8424460523670733E-4</v>
      </c>
      <c r="J46">
        <f ca="1">'AR6 Pathways'!AC58/'AR6 Pathways'!AC55*1.5</f>
        <v>9.9116148789206611E-4</v>
      </c>
      <c r="K46">
        <f ca="1">'AR6 Pathways'!AD58/'AR6 Pathways'!AD55*1.5</f>
        <v>1.0008859681005765E-3</v>
      </c>
      <c r="L46">
        <f ca="1">'AR6 Pathways'!AE58/'AR6 Pathways'!AE55*1.5</f>
        <v>1.016953157505229E-3</v>
      </c>
      <c r="M46">
        <f ca="1">'AR6 Pathways'!AF58/'AR6 Pathways'!AF55*1.5</f>
        <v>1.0440111461845042E-3</v>
      </c>
      <c r="O46" s="206"/>
    </row>
    <row r="47" spans="1:17">
      <c r="B47" s="3" t="s">
        <v>146</v>
      </c>
      <c r="C47" s="205" t="s">
        <v>168</v>
      </c>
      <c r="G47">
        <f ca="1">'AR6 Pathways'!Z59/'AR6 Pathways'!Z56*1.5</f>
        <v>9.5029552192741598E-4</v>
      </c>
      <c r="H47">
        <f ca="1">'AR6 Pathways'!AA59/'AR6 Pathways'!AA56*1.5</f>
        <v>1.0031597963540812E-3</v>
      </c>
      <c r="I47">
        <f ca="1">'AR6 Pathways'!AB59/'AR6 Pathways'!AB56*1.5</f>
        <v>9.7004474708877646E-4</v>
      </c>
      <c r="J47">
        <f ca="1">'AR6 Pathways'!AC59/'AR6 Pathways'!AC56*1.5</f>
        <v>9.6389943462704502E-4</v>
      </c>
      <c r="K47">
        <f ca="1">'AR6 Pathways'!AD59/'AR6 Pathways'!AD56*1.5</f>
        <v>9.6408484574838792E-4</v>
      </c>
      <c r="L47">
        <f ca="1">'AR6 Pathways'!AE59/'AR6 Pathways'!AE56*1.5</f>
        <v>9.6616833782646201E-4</v>
      </c>
      <c r="M47">
        <f ca="1">'AR6 Pathways'!AF59/'AR6 Pathways'!AF56*1.5</f>
        <v>9.7906497703259435E-4</v>
      </c>
    </row>
    <row r="48" spans="1:17">
      <c r="B48" s="3" t="s">
        <v>149</v>
      </c>
      <c r="C48" s="205" t="s">
        <v>168</v>
      </c>
      <c r="G48">
        <f ca="1">'AR6 Pathways'!Z60/'AR6 Pathways'!Z57*1.5</f>
        <v>9.4092654371362569E-4</v>
      </c>
      <c r="H48">
        <f ca="1">'AR6 Pathways'!AA60/'AR6 Pathways'!AA57*1.5</f>
        <v>9.8973155296156563E-4</v>
      </c>
      <c r="I48">
        <f ca="1">'AR6 Pathways'!AB60/'AR6 Pathways'!AB57*1.5</f>
        <v>9.9447950165946781E-4</v>
      </c>
      <c r="J48">
        <f ca="1">'AR6 Pathways'!AC60/'AR6 Pathways'!AC57*1.5</f>
        <v>1.0162673357262965E-3</v>
      </c>
      <c r="K48">
        <f ca="1">'AR6 Pathways'!AD60/'AR6 Pathways'!AD57*1.5</f>
        <v>1.0392943270592344E-3</v>
      </c>
      <c r="L48">
        <f ca="1">'AR6 Pathways'!AE60/'AR6 Pathways'!AE57*1.5</f>
        <v>1.0672911017469292E-3</v>
      </c>
      <c r="M48">
        <f ca="1">'AR6 Pathways'!AF60/'AR6 Pathways'!AF57*1.5</f>
        <v>1.1095239404767939E-3</v>
      </c>
    </row>
  </sheetData>
  <hyperlinks>
    <hyperlink ref="W6" r:id="rId1" xr:uid="{C8206543-2373-4AB5-9F23-522F9BEBE7E4}"/>
  </hyperlinks>
  <pageMargins left="0.7" right="0.7" top="0.75" bottom="0.75" header="0.3" footer="0.3"/>
  <pageSetup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6B363-7ECE-4F0B-BC57-923055FF7A85}">
  <sheetPr>
    <tabColor rgb="FF9966FF"/>
  </sheetPr>
  <dimension ref="A2:G30"/>
  <sheetViews>
    <sheetView zoomScale="115" zoomScaleNormal="115" workbookViewId="0">
      <selection activeCell="C22" sqref="C22"/>
    </sheetView>
  </sheetViews>
  <sheetFormatPr defaultRowHeight="15"/>
  <cols>
    <col min="1" max="1" width="51" customWidth="1"/>
    <col min="2" max="2" width="15.28515625" customWidth="1"/>
    <col min="4" max="4" width="14.7109375" customWidth="1"/>
    <col min="6" max="6" width="42.5703125" customWidth="1"/>
  </cols>
  <sheetData>
    <row r="2" spans="1:7">
      <c r="B2" s="47" t="s">
        <v>65</v>
      </c>
      <c r="C2" s="47" t="s">
        <v>69</v>
      </c>
      <c r="D2" s="47" t="s">
        <v>169</v>
      </c>
      <c r="E2" s="47" t="s">
        <v>170</v>
      </c>
      <c r="F2" s="47" t="s">
        <v>171</v>
      </c>
    </row>
    <row r="3" spans="1:7">
      <c r="A3" t="s">
        <v>172</v>
      </c>
      <c r="B3" t="s">
        <v>173</v>
      </c>
      <c r="C3">
        <v>0.5</v>
      </c>
      <c r="D3">
        <v>0.3</v>
      </c>
      <c r="E3">
        <v>0.8</v>
      </c>
      <c r="F3" t="s">
        <v>174</v>
      </c>
      <c r="G3" s="46" t="s">
        <v>175</v>
      </c>
    </row>
    <row r="4" spans="1:7">
      <c r="A4" t="s">
        <v>176</v>
      </c>
      <c r="B4" t="s">
        <v>177</v>
      </c>
      <c r="C4">
        <v>379.62697024888752</v>
      </c>
      <c r="F4" t="s">
        <v>178</v>
      </c>
      <c r="G4" s="46" t="s">
        <v>179</v>
      </c>
    </row>
    <row r="6" spans="1:7">
      <c r="A6" t="s">
        <v>180</v>
      </c>
      <c r="C6">
        <f ca="1">'AR6 Pathways'!AA58/'AR6 Pathways'!AA55</f>
        <v>6.6509193970945687E-4</v>
      </c>
      <c r="D6">
        <f ca="1">'AR6 Pathways'!AA58/'AR6 Pathways'!AA57</f>
        <v>6.5982103530771042E-4</v>
      </c>
      <c r="E6">
        <f ca="1">'AR6 Pathways'!AA58/'AR6 Pathways'!AA56</f>
        <v>6.687731975693875E-4</v>
      </c>
      <c r="F6" t="s">
        <v>181</v>
      </c>
    </row>
    <row r="7" spans="1:7">
      <c r="A7" t="s">
        <v>182</v>
      </c>
      <c r="B7" t="s">
        <v>183</v>
      </c>
      <c r="C7">
        <f>SUMIF('1990-2050 Central estimate AR5'!B11:B51,"CH4",'1990-2050 Central estimate AR5'!AF11:AF51)/GWP_CH4_AR5/1000</f>
        <v>1.3422317857142858</v>
      </c>
      <c r="F7" t="s">
        <v>184</v>
      </c>
      <c r="G7" s="46" t="s">
        <v>185</v>
      </c>
    </row>
    <row r="9" spans="1:7">
      <c r="A9" t="s">
        <v>186</v>
      </c>
      <c r="B9" t="s">
        <v>173</v>
      </c>
      <c r="C9">
        <f>C7/C4*C3</f>
        <v>1.7678298578658732E-3</v>
      </c>
      <c r="D9">
        <f>C7/C4*D3</f>
        <v>1.0606979147195239E-3</v>
      </c>
      <c r="E9">
        <f>C7/C4*E3</f>
        <v>2.8285277725853975E-3</v>
      </c>
    </row>
    <row r="11" spans="1:7">
      <c r="A11" t="s">
        <v>187</v>
      </c>
      <c r="B11" t="s">
        <v>173</v>
      </c>
      <c r="C11">
        <f ca="1">C6*1.5</f>
        <v>9.9763790956418526E-4</v>
      </c>
      <c r="D11">
        <f ca="1">D6*1.5</f>
        <v>9.8973155296156563E-4</v>
      </c>
      <c r="E11">
        <f ca="1">E6*1.5</f>
        <v>1.0031597963540812E-3</v>
      </c>
    </row>
    <row r="17" spans="1:7">
      <c r="A17" t="s">
        <v>188</v>
      </c>
      <c r="B17" t="s">
        <v>173</v>
      </c>
      <c r="C17">
        <f ca="1">C9/'AR6 Pathways'!AA58*'AR6 Pathways'!AA55</f>
        <v>2.6580232781623296</v>
      </c>
    </row>
    <row r="19" spans="1:7">
      <c r="A19" t="s">
        <v>189</v>
      </c>
      <c r="B19" t="s">
        <v>173</v>
      </c>
      <c r="C19">
        <v>3.2690000000000002E-3</v>
      </c>
    </row>
    <row r="20" spans="1:7">
      <c r="A20" t="s">
        <v>190</v>
      </c>
      <c r="B20" t="s">
        <v>173</v>
      </c>
      <c r="C20">
        <v>2.8890000000000001E-3</v>
      </c>
    </row>
    <row r="21" spans="1:7">
      <c r="A21" t="s">
        <v>191</v>
      </c>
      <c r="B21" t="s">
        <v>173</v>
      </c>
      <c r="C21">
        <f ca="1">'AR6 Pathways'!AD55/'AR6 Pathways'!AD58*C19</f>
        <v>4.8991595009625106</v>
      </c>
    </row>
    <row r="22" spans="1:7">
      <c r="A22" t="s">
        <v>192</v>
      </c>
      <c r="B22" t="s">
        <v>173</v>
      </c>
      <c r="C22" s="140">
        <f ca="1">'AR6 Pathways'!AD55/'AR6 Pathways'!AD58*C20</f>
        <v>4.3296640557603832</v>
      </c>
    </row>
    <row r="24" spans="1:7">
      <c r="G24" s="46"/>
    </row>
    <row r="26" spans="1:7">
      <c r="G26" s="46"/>
    </row>
    <row r="30" spans="1:7">
      <c r="D30" s="123"/>
      <c r="E30" s="123"/>
    </row>
  </sheetData>
  <hyperlinks>
    <hyperlink ref="G3" r:id="rId1" xr:uid="{7AA47378-25EB-4F8D-8880-40A8ADD272FB}"/>
    <hyperlink ref="G7" r:id="rId2" xr:uid="{8EC0DFD1-C048-43F8-B10F-E2985C33881E}"/>
    <hyperlink ref="G4" r:id="rId3" xr:uid="{6948BBB8-738F-4838-A7FD-37B65FA2230F}"/>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CD5C12-70BD-40A6-8C52-215F81651B57}">
  <sheetPr codeName="Sheet10">
    <tabColor theme="9" tint="0.79998168889431442"/>
  </sheetPr>
  <dimension ref="A1:AD103"/>
  <sheetViews>
    <sheetView workbookViewId="0">
      <pane ySplit="1" topLeftCell="A2" activePane="bottomLeft" state="frozen"/>
      <selection pane="bottomLeft" activeCell="G101" sqref="G101"/>
    </sheetView>
  </sheetViews>
  <sheetFormatPr defaultColWidth="9.140625" defaultRowHeight="15.75"/>
  <cols>
    <col min="1" max="1" width="21.42578125" style="27" customWidth="1"/>
    <col min="2" max="16384" width="9.140625" style="27"/>
  </cols>
  <sheetData>
    <row r="1" spans="1:30">
      <c r="A1" s="27" t="s">
        <v>193</v>
      </c>
      <c r="B1" s="27" t="s">
        <v>194</v>
      </c>
      <c r="C1" s="27" t="s">
        <v>195</v>
      </c>
      <c r="D1" s="27" t="s">
        <v>64</v>
      </c>
      <c r="E1" s="27" t="s">
        <v>65</v>
      </c>
      <c r="F1" s="27">
        <v>2000</v>
      </c>
      <c r="G1" s="27">
        <v>2005</v>
      </c>
      <c r="H1" s="27">
        <v>2010</v>
      </c>
      <c r="I1" s="27">
        <v>2015</v>
      </c>
      <c r="J1" s="27">
        <v>2020</v>
      </c>
      <c r="K1" s="27">
        <v>2021</v>
      </c>
      <c r="L1" s="27">
        <v>2022</v>
      </c>
      <c r="M1" s="27">
        <v>2023</v>
      </c>
      <c r="N1" s="27">
        <v>2024</v>
      </c>
      <c r="O1" s="27">
        <v>2025</v>
      </c>
      <c r="P1" s="27">
        <v>2030</v>
      </c>
      <c r="Q1" s="27">
        <v>2035</v>
      </c>
      <c r="R1" s="27">
        <v>2040</v>
      </c>
      <c r="S1" s="27">
        <v>2045</v>
      </c>
      <c r="T1" s="27">
        <v>2050</v>
      </c>
      <c r="U1" s="27">
        <v>2055</v>
      </c>
      <c r="V1" s="27">
        <v>2060</v>
      </c>
      <c r="W1" s="27">
        <v>2065</v>
      </c>
      <c r="X1" s="27">
        <v>2070</v>
      </c>
      <c r="Y1" s="27">
        <v>2075</v>
      </c>
      <c r="Z1" s="27">
        <v>2080</v>
      </c>
      <c r="AA1" s="27">
        <v>2085</v>
      </c>
      <c r="AB1" s="27">
        <v>2090</v>
      </c>
      <c r="AC1" s="27">
        <v>2095</v>
      </c>
      <c r="AD1" s="27">
        <v>2100</v>
      </c>
    </row>
    <row r="2" spans="1:30">
      <c r="A2" s="27" t="s">
        <v>196</v>
      </c>
      <c r="B2" s="27" t="s">
        <v>197</v>
      </c>
      <c r="C2" s="27" t="s">
        <v>198</v>
      </c>
      <c r="D2" s="27" t="s">
        <v>199</v>
      </c>
      <c r="E2" s="27" t="s">
        <v>92</v>
      </c>
      <c r="F2" s="27" t="s">
        <v>200</v>
      </c>
      <c r="G2" s="27">
        <v>6522.9120999999996</v>
      </c>
      <c r="H2" s="27">
        <v>6935.7699000000002</v>
      </c>
      <c r="I2" s="27">
        <v>7359.7948999999999</v>
      </c>
      <c r="J2" s="27">
        <v>7714.5160999999998</v>
      </c>
      <c r="O2" s="27">
        <v>8043.7245999999996</v>
      </c>
      <c r="P2" s="27">
        <v>8341.3484000000008</v>
      </c>
      <c r="Q2" s="27">
        <v>8607.5912000000008</v>
      </c>
      <c r="R2" s="27">
        <v>8840.5871999999999</v>
      </c>
      <c r="S2" s="27">
        <v>9037.4691999999995</v>
      </c>
      <c r="T2" s="27">
        <v>9194.0269000000008</v>
      </c>
      <c r="U2" s="27">
        <v>9319.14</v>
      </c>
      <c r="V2" s="27">
        <v>9402.5894000000008</v>
      </c>
      <c r="W2" s="27" t="s">
        <v>200</v>
      </c>
      <c r="X2" s="27">
        <v>9465.4109000000008</v>
      </c>
      <c r="Y2" s="27" t="s">
        <v>200</v>
      </c>
      <c r="Z2" s="27">
        <v>9407.3359</v>
      </c>
      <c r="AA2" s="27" t="s">
        <v>200</v>
      </c>
      <c r="AB2" s="27">
        <v>9246.9953999999998</v>
      </c>
      <c r="AC2" s="27" t="s">
        <v>200</v>
      </c>
      <c r="AD2" s="27">
        <v>9019.6777000000002</v>
      </c>
    </row>
    <row r="3" spans="1:30">
      <c r="A3" s="27" t="s">
        <v>196</v>
      </c>
      <c r="B3" s="27" t="s">
        <v>201</v>
      </c>
      <c r="C3" s="27" t="s">
        <v>198</v>
      </c>
      <c r="D3" s="27" t="s">
        <v>199</v>
      </c>
      <c r="E3" s="27" t="s">
        <v>92</v>
      </c>
      <c r="F3" s="27" t="s">
        <v>200</v>
      </c>
      <c r="G3" s="27" t="s">
        <v>200</v>
      </c>
      <c r="H3" s="27">
        <v>6935.7699000000002</v>
      </c>
      <c r="I3" s="27">
        <v>7359.7948999999999</v>
      </c>
      <c r="J3" s="27">
        <v>7714.5160999999998</v>
      </c>
      <c r="K3" s="27" t="s">
        <v>200</v>
      </c>
      <c r="L3" s="27" t="s">
        <v>200</v>
      </c>
      <c r="M3" s="27" t="s">
        <v>200</v>
      </c>
      <c r="N3" s="27" t="s">
        <v>200</v>
      </c>
      <c r="O3" s="27">
        <v>8043.7245999999996</v>
      </c>
      <c r="P3" s="27">
        <v>8341.3484000000008</v>
      </c>
      <c r="Q3" s="27">
        <v>8607.5912000000008</v>
      </c>
      <c r="R3" s="27">
        <v>8840.5871999999999</v>
      </c>
      <c r="S3" s="27">
        <v>9037.4691999999995</v>
      </c>
      <c r="T3" s="27">
        <v>9194.0269000000008</v>
      </c>
      <c r="U3" s="27">
        <v>9319.14</v>
      </c>
      <c r="V3" s="27">
        <v>9402.5894000000008</v>
      </c>
      <c r="W3" s="27" t="s">
        <v>200</v>
      </c>
      <c r="X3" s="27">
        <v>9465.4109000000008</v>
      </c>
      <c r="Y3" s="27" t="s">
        <v>200</v>
      </c>
      <c r="Z3" s="27">
        <v>9407.3359</v>
      </c>
      <c r="AA3" s="27" t="s">
        <v>200</v>
      </c>
      <c r="AB3" s="27">
        <v>9246.9953999999998</v>
      </c>
      <c r="AC3" s="27" t="s">
        <v>200</v>
      </c>
      <c r="AD3" s="27">
        <v>9019.6777000000002</v>
      </c>
    </row>
    <row r="4" spans="1:30">
      <c r="A4" s="27" t="s">
        <v>196</v>
      </c>
      <c r="B4" s="27" t="s">
        <v>202</v>
      </c>
      <c r="C4" s="27" t="s">
        <v>198</v>
      </c>
      <c r="D4" s="27" t="s">
        <v>199</v>
      </c>
      <c r="E4" s="27" t="s">
        <v>92</v>
      </c>
      <c r="F4" s="27" t="s">
        <v>200</v>
      </c>
      <c r="G4" s="27">
        <v>6522.9120999999996</v>
      </c>
      <c r="H4" s="27">
        <v>6935.7699000000002</v>
      </c>
      <c r="I4" s="27">
        <v>7359.7948999999999</v>
      </c>
      <c r="J4" s="27">
        <v>7714.5160999999998</v>
      </c>
      <c r="K4" s="27" t="s">
        <v>200</v>
      </c>
      <c r="L4" s="27" t="s">
        <v>200</v>
      </c>
      <c r="M4" s="27" t="s">
        <v>200</v>
      </c>
      <c r="N4" s="27" t="s">
        <v>200</v>
      </c>
      <c r="O4" s="27">
        <v>8043.7245999999996</v>
      </c>
      <c r="P4" s="27">
        <v>8341.3484000000008</v>
      </c>
      <c r="Q4" s="27">
        <v>8607.5912000000008</v>
      </c>
      <c r="R4" s="27">
        <v>8840.5871999999999</v>
      </c>
      <c r="S4" s="27">
        <v>9037.4691999999995</v>
      </c>
      <c r="T4" s="27">
        <v>9194.0269000000008</v>
      </c>
      <c r="U4" s="27">
        <v>9319.14</v>
      </c>
      <c r="V4" s="27">
        <v>9402.5894000000008</v>
      </c>
      <c r="W4" s="27" t="s">
        <v>200</v>
      </c>
      <c r="X4" s="27">
        <v>9465.4109000000008</v>
      </c>
      <c r="Y4" s="27" t="s">
        <v>200</v>
      </c>
      <c r="Z4" s="27">
        <v>9407.3359</v>
      </c>
      <c r="AA4" s="27" t="s">
        <v>200</v>
      </c>
      <c r="AB4" s="27">
        <v>9246.9953999999998</v>
      </c>
      <c r="AC4" s="27" t="s">
        <v>200</v>
      </c>
      <c r="AD4" s="27">
        <v>9019.6777000000002</v>
      </c>
    </row>
    <row r="5" spans="1:30">
      <c r="A5" s="27" t="s">
        <v>203</v>
      </c>
      <c r="B5" s="27" t="s">
        <v>204</v>
      </c>
      <c r="C5" s="27" t="s">
        <v>198</v>
      </c>
      <c r="D5" s="27" t="s">
        <v>199</v>
      </c>
      <c r="E5" s="27" t="s">
        <v>92</v>
      </c>
      <c r="F5" s="27" t="s">
        <v>200</v>
      </c>
      <c r="G5" s="27">
        <v>6522.9120999999996</v>
      </c>
      <c r="H5" s="27">
        <v>6935.7699000000002</v>
      </c>
      <c r="I5" s="27">
        <v>7359.7948999999999</v>
      </c>
      <c r="J5" s="27">
        <v>7714.5160999999998</v>
      </c>
      <c r="K5" s="27" t="s">
        <v>200</v>
      </c>
      <c r="L5" s="27" t="s">
        <v>200</v>
      </c>
      <c r="M5" s="27" t="s">
        <v>200</v>
      </c>
      <c r="N5" s="27" t="s">
        <v>200</v>
      </c>
      <c r="O5" s="27">
        <v>8043.7245999999996</v>
      </c>
      <c r="P5" s="27">
        <v>8341.3484000000008</v>
      </c>
      <c r="Q5" s="27">
        <v>8607.5912000000008</v>
      </c>
      <c r="R5" s="27">
        <v>8840.5871999999999</v>
      </c>
      <c r="S5" s="27">
        <v>9037.4691999999995</v>
      </c>
      <c r="T5" s="27">
        <v>9194.0269000000008</v>
      </c>
      <c r="U5" s="27">
        <v>9319.14</v>
      </c>
      <c r="V5" s="27">
        <v>9402.5894000000008</v>
      </c>
      <c r="W5" s="27" t="s">
        <v>200</v>
      </c>
      <c r="X5" s="27">
        <v>9465.4109000000008</v>
      </c>
      <c r="Y5" s="27" t="s">
        <v>200</v>
      </c>
      <c r="Z5" s="27">
        <v>9407.3359</v>
      </c>
      <c r="AA5" s="27" t="s">
        <v>200</v>
      </c>
      <c r="AB5" s="27">
        <v>9246.9953999999998</v>
      </c>
      <c r="AC5" s="27" t="s">
        <v>200</v>
      </c>
      <c r="AD5" s="27">
        <v>9019.6777000000002</v>
      </c>
    </row>
    <row r="6" spans="1:30">
      <c r="A6" s="27" t="s">
        <v>205</v>
      </c>
      <c r="B6" s="27" t="s">
        <v>206</v>
      </c>
      <c r="C6" s="27" t="s">
        <v>198</v>
      </c>
      <c r="D6" s="27" t="s">
        <v>199</v>
      </c>
      <c r="E6" s="27" t="s">
        <v>92</v>
      </c>
      <c r="F6" s="27" t="s">
        <v>200</v>
      </c>
      <c r="G6" s="27">
        <v>6541.35</v>
      </c>
      <c r="H6" s="27">
        <v>6957.32</v>
      </c>
      <c r="I6" s="27">
        <v>7382.13</v>
      </c>
      <c r="J6" s="27">
        <v>7794.57</v>
      </c>
      <c r="K6" s="27" t="s">
        <v>200</v>
      </c>
      <c r="L6" s="27" t="s">
        <v>200</v>
      </c>
      <c r="M6" s="27" t="s">
        <v>200</v>
      </c>
      <c r="N6" s="27" t="s">
        <v>200</v>
      </c>
      <c r="O6" s="27">
        <v>8184.67</v>
      </c>
      <c r="P6" s="27">
        <v>8550.23</v>
      </c>
      <c r="Q6" s="27">
        <v>8891.7099999999991</v>
      </c>
      <c r="R6" s="27">
        <v>9209.32</v>
      </c>
      <c r="S6" s="27">
        <v>9503.18</v>
      </c>
      <c r="T6" s="27">
        <v>9770.7900000000009</v>
      </c>
      <c r="U6" s="27">
        <v>10010.1</v>
      </c>
      <c r="V6" s="27">
        <v>10221.6</v>
      </c>
      <c r="W6" s="27">
        <v>10408.799999999999</v>
      </c>
      <c r="X6" s="27">
        <v>10574.8</v>
      </c>
      <c r="Y6" s="27">
        <v>10721</v>
      </c>
      <c r="Z6" s="27">
        <v>10847.7</v>
      </c>
      <c r="AA6" s="27">
        <v>10956.6</v>
      </c>
      <c r="AB6" s="27">
        <v>11049.1</v>
      </c>
      <c r="AC6" s="27">
        <v>11125.1</v>
      </c>
      <c r="AD6" s="27">
        <v>11183.4</v>
      </c>
    </row>
    <row r="7" spans="1:30">
      <c r="A7" s="27" t="s">
        <v>207</v>
      </c>
      <c r="B7" s="27" t="s">
        <v>208</v>
      </c>
      <c r="C7" s="27" t="s">
        <v>198</v>
      </c>
      <c r="D7" s="27" t="s">
        <v>199</v>
      </c>
      <c r="E7" s="27" t="s">
        <v>92</v>
      </c>
      <c r="F7" s="27">
        <v>6119.4199905395508</v>
      </c>
      <c r="G7" s="27">
        <v>6503.1299362182617</v>
      </c>
      <c r="H7" s="27">
        <v>6867.3900375366211</v>
      </c>
      <c r="I7" s="27">
        <v>7239.32</v>
      </c>
      <c r="J7" s="27">
        <v>7611.2499999999991</v>
      </c>
      <c r="K7" s="27" t="s">
        <v>200</v>
      </c>
      <c r="L7" s="27" t="s">
        <v>200</v>
      </c>
      <c r="M7" s="27" t="s">
        <v>200</v>
      </c>
      <c r="N7" s="27" t="s">
        <v>200</v>
      </c>
      <c r="O7" s="27">
        <v>7936.62</v>
      </c>
      <c r="P7" s="27">
        <v>8261.9900000000016</v>
      </c>
      <c r="Q7" s="27">
        <v>8524.5550000000003</v>
      </c>
      <c r="R7" s="27">
        <v>8787.1200000000008</v>
      </c>
      <c r="S7" s="27">
        <v>8978.1149999999998</v>
      </c>
      <c r="T7" s="27">
        <v>9169.11</v>
      </c>
      <c r="U7" s="27">
        <v>9276.9050000000007</v>
      </c>
      <c r="V7" s="27">
        <v>9384.7000000000007</v>
      </c>
      <c r="W7" s="27" t="s">
        <v>200</v>
      </c>
      <c r="X7" s="27">
        <v>9456.8799999999992</v>
      </c>
      <c r="Y7" s="27" t="s">
        <v>200</v>
      </c>
      <c r="Z7" s="27">
        <v>9407.26</v>
      </c>
      <c r="AA7" s="27" t="s">
        <v>200</v>
      </c>
      <c r="AB7" s="27">
        <v>9253.9500000000007</v>
      </c>
      <c r="AC7" s="27" t="s">
        <v>200</v>
      </c>
      <c r="AD7" s="27">
        <v>9032.4200000000019</v>
      </c>
    </row>
    <row r="8" spans="1:30">
      <c r="A8" s="27" t="s">
        <v>209</v>
      </c>
      <c r="B8" s="27" t="s">
        <v>210</v>
      </c>
      <c r="C8" s="27" t="s">
        <v>198</v>
      </c>
      <c r="D8" s="27" t="s">
        <v>199</v>
      </c>
      <c r="E8" s="27" t="s">
        <v>92</v>
      </c>
      <c r="F8" s="27" t="s">
        <v>200</v>
      </c>
      <c r="G8" s="27" t="s">
        <v>200</v>
      </c>
      <c r="H8" s="27">
        <v>6879.5894999999991</v>
      </c>
      <c r="I8" s="27">
        <v>7257.2326999999996</v>
      </c>
      <c r="J8" s="27">
        <v>7623.6570000000011</v>
      </c>
      <c r="K8" s="27" t="s">
        <v>200</v>
      </c>
      <c r="L8" s="27" t="s">
        <v>200</v>
      </c>
      <c r="M8" s="27" t="s">
        <v>200</v>
      </c>
      <c r="N8" s="27" t="s">
        <v>200</v>
      </c>
      <c r="O8" s="27">
        <v>7964.4282000000003</v>
      </c>
      <c r="P8" s="27">
        <v>8273.400999999998</v>
      </c>
      <c r="Q8" s="27">
        <v>8551.0051999999996</v>
      </c>
      <c r="R8" s="27">
        <v>8795.520199999999</v>
      </c>
      <c r="S8" s="27">
        <v>9004.0540999999994</v>
      </c>
      <c r="T8" s="27">
        <v>9172.3104000000003</v>
      </c>
      <c r="U8" s="27">
        <v>9297.4999000000007</v>
      </c>
      <c r="V8" s="27">
        <v>9380.9207999999999</v>
      </c>
      <c r="W8" s="27">
        <v>9427.6492999999991</v>
      </c>
      <c r="X8" s="27">
        <v>9442.8469000000005</v>
      </c>
      <c r="Y8" s="27">
        <v>9427.5654999999952</v>
      </c>
      <c r="Z8" s="27">
        <v>9383.0054</v>
      </c>
      <c r="AA8" s="27">
        <v>9312.1394999999993</v>
      </c>
      <c r="AB8" s="27">
        <v>9220.2795000000006</v>
      </c>
      <c r="AC8" s="27">
        <v>9112.0365000000002</v>
      </c>
      <c r="AD8" s="27">
        <v>8990.6329000000005</v>
      </c>
    </row>
    <row r="9" spans="1:30">
      <c r="A9" s="27" t="s">
        <v>211</v>
      </c>
      <c r="B9" s="27" t="s">
        <v>212</v>
      </c>
      <c r="C9" s="27" t="s">
        <v>198</v>
      </c>
      <c r="D9" s="27" t="s">
        <v>199</v>
      </c>
      <c r="E9" s="27" t="s">
        <v>92</v>
      </c>
      <c r="F9" s="27">
        <v>6119.419921875</v>
      </c>
      <c r="G9" s="27">
        <v>6503.1298828125</v>
      </c>
      <c r="H9" s="27">
        <v>6867.39013671875</v>
      </c>
      <c r="I9" s="27" t="s">
        <v>200</v>
      </c>
      <c r="J9" s="27">
        <v>7611.25</v>
      </c>
      <c r="K9" s="27" t="s">
        <v>200</v>
      </c>
      <c r="L9" s="27" t="s">
        <v>200</v>
      </c>
      <c r="M9" s="27" t="s">
        <v>200</v>
      </c>
      <c r="N9" s="27" t="s">
        <v>200</v>
      </c>
      <c r="O9" s="27" t="s">
        <v>200</v>
      </c>
      <c r="P9" s="27">
        <v>8261.990234375</v>
      </c>
      <c r="Q9" s="27" t="s">
        <v>200</v>
      </c>
      <c r="R9" s="27">
        <v>8787.1201171875</v>
      </c>
      <c r="S9" s="27" t="s">
        <v>200</v>
      </c>
      <c r="T9" s="27">
        <v>9169.1103515625</v>
      </c>
      <c r="U9" s="27" t="s">
        <v>200</v>
      </c>
      <c r="V9" s="27">
        <v>9384.7001953125</v>
      </c>
      <c r="W9" s="27" t="s">
        <v>200</v>
      </c>
      <c r="X9" s="27">
        <v>9456.8798828125</v>
      </c>
      <c r="Y9" s="27" t="s">
        <v>200</v>
      </c>
      <c r="Z9" s="27">
        <v>9407.259765625</v>
      </c>
      <c r="AA9" s="27" t="s">
        <v>200</v>
      </c>
      <c r="AB9" s="27">
        <v>9253.9501953125</v>
      </c>
      <c r="AC9" s="27" t="s">
        <v>200</v>
      </c>
      <c r="AD9" s="27">
        <v>9032.419921875</v>
      </c>
    </row>
    <row r="10" spans="1:30">
      <c r="A10" s="27" t="s">
        <v>196</v>
      </c>
      <c r="B10" s="27" t="s">
        <v>213</v>
      </c>
      <c r="C10" s="27" t="s">
        <v>198</v>
      </c>
      <c r="D10" s="27" t="s">
        <v>199</v>
      </c>
      <c r="E10" s="27" t="s">
        <v>92</v>
      </c>
      <c r="F10" s="27" t="s">
        <v>200</v>
      </c>
      <c r="G10" s="27">
        <v>6522.9120999999996</v>
      </c>
      <c r="H10" s="27">
        <v>6935.7699000000002</v>
      </c>
      <c r="I10" s="27">
        <v>7359.7948999999999</v>
      </c>
      <c r="J10" s="27">
        <v>7650.3382000000001</v>
      </c>
      <c r="K10" s="27" t="s">
        <v>200</v>
      </c>
      <c r="L10" s="27" t="s">
        <v>200</v>
      </c>
      <c r="M10" s="27" t="s">
        <v>200</v>
      </c>
      <c r="N10" s="27" t="s">
        <v>200</v>
      </c>
      <c r="O10" s="27">
        <v>7898.8882000000003</v>
      </c>
      <c r="P10" s="27">
        <v>8098.1893</v>
      </c>
      <c r="Q10" s="27">
        <v>8262.9437999999991</v>
      </c>
      <c r="R10" s="27">
        <v>8385.991</v>
      </c>
      <c r="S10" s="27">
        <v>8461.9186000000009</v>
      </c>
      <c r="T10" s="27">
        <v>8488.1080000000002</v>
      </c>
      <c r="U10" s="27">
        <v>8486.6051000000007</v>
      </c>
      <c r="V10" s="27">
        <v>8443.6471999999994</v>
      </c>
      <c r="W10" s="27" t="s">
        <v>200</v>
      </c>
      <c r="X10" s="27">
        <v>8245.4770000000008</v>
      </c>
      <c r="Y10" s="27" t="s">
        <v>200</v>
      </c>
      <c r="Z10" s="27">
        <v>7910.7484000000004</v>
      </c>
      <c r="AA10" s="27" t="s">
        <v>200</v>
      </c>
      <c r="AB10" s="27">
        <v>7452.2299000000003</v>
      </c>
      <c r="AC10" s="27" t="s">
        <v>200</v>
      </c>
      <c r="AD10" s="27">
        <v>6899.3576999999996</v>
      </c>
    </row>
    <row r="11" spans="1:30">
      <c r="A11" s="27" t="s">
        <v>214</v>
      </c>
      <c r="B11" s="27" t="s">
        <v>215</v>
      </c>
      <c r="C11" s="27" t="s">
        <v>198</v>
      </c>
      <c r="D11" s="27" t="s">
        <v>199</v>
      </c>
      <c r="E11" s="27" t="s">
        <v>92</v>
      </c>
      <c r="F11" s="27" t="s">
        <v>200</v>
      </c>
      <c r="G11" s="27">
        <v>6506.6419999999998</v>
      </c>
      <c r="H11" s="27">
        <v>6895.8819999999996</v>
      </c>
      <c r="I11" s="27" t="s">
        <v>200</v>
      </c>
      <c r="J11" s="27">
        <v>7545.107</v>
      </c>
      <c r="K11" s="27" t="s">
        <v>200</v>
      </c>
      <c r="L11" s="27" t="s">
        <v>200</v>
      </c>
      <c r="M11" s="27" t="s">
        <v>200</v>
      </c>
      <c r="N11" s="27" t="s">
        <v>200</v>
      </c>
      <c r="O11" s="27" t="s">
        <v>200</v>
      </c>
      <c r="P11" s="27">
        <v>8026.5390000000016</v>
      </c>
      <c r="Q11" s="27" t="s">
        <v>200</v>
      </c>
      <c r="R11" s="27">
        <v>8348.6919999999991</v>
      </c>
      <c r="S11" s="27" t="s">
        <v>200</v>
      </c>
      <c r="T11" s="27">
        <v>8486.018</v>
      </c>
      <c r="U11" s="27" t="s">
        <v>200</v>
      </c>
      <c r="V11" s="27">
        <v>8443.9809999999998</v>
      </c>
      <c r="W11" s="27" t="s">
        <v>200</v>
      </c>
      <c r="X11" s="27">
        <v>8247.9380000000001</v>
      </c>
      <c r="Y11" s="27" t="s">
        <v>200</v>
      </c>
      <c r="Z11" s="27">
        <v>7914.9519999999966</v>
      </c>
      <c r="AA11" s="27" t="s">
        <v>200</v>
      </c>
      <c r="AB11" s="27">
        <v>7457.8459999999995</v>
      </c>
      <c r="AC11" s="27" t="s">
        <v>200</v>
      </c>
      <c r="AD11" s="27">
        <v>6906.14</v>
      </c>
    </row>
    <row r="12" spans="1:30">
      <c r="A12" s="27" t="s">
        <v>216</v>
      </c>
      <c r="B12" s="27" t="s">
        <v>217</v>
      </c>
      <c r="C12" s="27" t="s">
        <v>198</v>
      </c>
      <c r="D12" s="27" t="s">
        <v>199</v>
      </c>
      <c r="E12" s="27" t="s">
        <v>92</v>
      </c>
      <c r="F12" s="27">
        <v>6119.4199905395499</v>
      </c>
      <c r="G12" s="27">
        <v>6503.1299362182599</v>
      </c>
      <c r="H12" s="27">
        <v>6867.3900375366202</v>
      </c>
      <c r="I12" s="27">
        <v>7239.32</v>
      </c>
      <c r="J12" s="27">
        <v>7611.25</v>
      </c>
      <c r="K12" s="27">
        <v>7676.3239999999996</v>
      </c>
      <c r="L12" s="27">
        <v>7741.3980000000001</v>
      </c>
      <c r="M12" s="27">
        <v>7806.4719999999998</v>
      </c>
      <c r="N12" s="27">
        <v>7871.5460000000003</v>
      </c>
      <c r="O12" s="27">
        <v>7936.62</v>
      </c>
      <c r="P12" s="27">
        <v>8261.99</v>
      </c>
      <c r="Q12" s="27">
        <v>8524.5550000000003</v>
      </c>
      <c r="R12" s="27">
        <v>8787.1200000000008</v>
      </c>
      <c r="S12" s="27">
        <v>8978.1149999999998</v>
      </c>
      <c r="T12" s="27">
        <v>9169.11</v>
      </c>
      <c r="U12" s="27">
        <v>9276.9050000000007</v>
      </c>
      <c r="V12" s="27">
        <v>9384.7000000000007</v>
      </c>
      <c r="W12" s="27" t="s">
        <v>200</v>
      </c>
      <c r="X12" s="27">
        <v>9456.8799999999992</v>
      </c>
      <c r="Y12" s="27" t="s">
        <v>200</v>
      </c>
      <c r="Z12" s="27">
        <v>9407.26</v>
      </c>
      <c r="AA12" s="27" t="s">
        <v>200</v>
      </c>
      <c r="AB12" s="27">
        <v>9253.9500000000007</v>
      </c>
      <c r="AC12" s="27" t="s">
        <v>200</v>
      </c>
      <c r="AD12" s="27">
        <v>9032.42</v>
      </c>
    </row>
    <row r="13" spans="1:30">
      <c r="A13" s="27" t="s">
        <v>218</v>
      </c>
      <c r="B13" s="27" t="s">
        <v>219</v>
      </c>
      <c r="C13" s="27" t="s">
        <v>198</v>
      </c>
      <c r="D13" s="27" t="s">
        <v>199</v>
      </c>
      <c r="E13" s="27" t="s">
        <v>92</v>
      </c>
      <c r="F13" s="27" t="s">
        <v>200</v>
      </c>
      <c r="G13" s="27">
        <v>6465.5870000000004</v>
      </c>
      <c r="H13" s="27">
        <v>6858.4391999999998</v>
      </c>
      <c r="I13" s="27">
        <v>7248.0137000000004</v>
      </c>
      <c r="J13" s="27">
        <v>7637.5883000000003</v>
      </c>
      <c r="K13" s="27" t="s">
        <v>200</v>
      </c>
      <c r="L13" s="27" t="s">
        <v>200</v>
      </c>
      <c r="M13" s="27" t="s">
        <v>200</v>
      </c>
      <c r="N13" s="27" t="s">
        <v>200</v>
      </c>
      <c r="O13" s="27">
        <v>7978.3739999999998</v>
      </c>
      <c r="P13" s="27">
        <v>8287.5740000000005</v>
      </c>
      <c r="Q13" s="27">
        <v>8565.3940000000002</v>
      </c>
      <c r="R13" s="27">
        <v>8809.9669999999987</v>
      </c>
      <c r="S13" s="27">
        <v>9018.4259999999995</v>
      </c>
      <c r="T13" s="27">
        <v>9186.5609999999997</v>
      </c>
      <c r="U13" s="27">
        <v>9311.6740000000009</v>
      </c>
      <c r="V13" s="27">
        <v>9395.1229999999996</v>
      </c>
      <c r="W13" s="27" t="s">
        <v>200</v>
      </c>
      <c r="X13" s="27">
        <v>9457.9449999999997</v>
      </c>
      <c r="Y13" s="27" t="s">
        <v>200</v>
      </c>
      <c r="Z13" s="27">
        <v>9399.8700000000008</v>
      </c>
      <c r="AA13" s="27" t="s">
        <v>200</v>
      </c>
      <c r="AB13" s="27">
        <v>9239.5290000000005</v>
      </c>
      <c r="AC13" s="27" t="s">
        <v>200</v>
      </c>
      <c r="AD13" s="27">
        <v>9012.2119999999995</v>
      </c>
    </row>
    <row r="14" spans="1:30">
      <c r="A14" s="27" t="s">
        <v>220</v>
      </c>
      <c r="B14" s="27" t="s">
        <v>221</v>
      </c>
      <c r="C14" s="27" t="s">
        <v>198</v>
      </c>
      <c r="D14" s="27" t="s">
        <v>199</v>
      </c>
      <c r="E14" s="27" t="s">
        <v>92</v>
      </c>
      <c r="F14" s="27" t="s">
        <v>200</v>
      </c>
      <c r="G14" s="27">
        <v>6475.0910599999997</v>
      </c>
      <c r="H14" s="27">
        <v>6868.6969999999992</v>
      </c>
      <c r="I14" s="27" t="s">
        <v>200</v>
      </c>
      <c r="J14" s="27">
        <v>7600.9849999999997</v>
      </c>
      <c r="K14" s="27" t="s">
        <v>200</v>
      </c>
      <c r="L14" s="27" t="s">
        <v>200</v>
      </c>
      <c r="M14" s="27" t="s">
        <v>200</v>
      </c>
      <c r="N14" s="27" t="s">
        <v>200</v>
      </c>
      <c r="O14" s="27" t="s">
        <v>200</v>
      </c>
      <c r="P14" s="27">
        <v>8235.491</v>
      </c>
      <c r="Q14" s="27" t="s">
        <v>200</v>
      </c>
      <c r="R14" s="27">
        <v>8747.2969999999987</v>
      </c>
      <c r="S14" s="27" t="s">
        <v>200</v>
      </c>
      <c r="T14" s="27">
        <v>9136.5949999999993</v>
      </c>
      <c r="U14" s="27" t="s">
        <v>200</v>
      </c>
      <c r="V14" s="27">
        <v>9379.1059999999998</v>
      </c>
      <c r="W14" s="27" t="s">
        <v>200</v>
      </c>
      <c r="X14" s="27">
        <v>9490.6200000000008</v>
      </c>
      <c r="Y14" s="27" t="s">
        <v>200</v>
      </c>
      <c r="Z14" s="27">
        <v>9507.2990000000009</v>
      </c>
      <c r="AA14" s="27" t="s">
        <v>200</v>
      </c>
      <c r="AB14" s="27">
        <v>9455.1380000000008</v>
      </c>
      <c r="AC14" s="27" t="s">
        <v>200</v>
      </c>
      <c r="AD14" s="27">
        <v>9365.4140000000007</v>
      </c>
    </row>
    <row r="15" spans="1:30">
      <c r="A15" s="27" t="s">
        <v>222</v>
      </c>
      <c r="B15" s="27" t="s">
        <v>223</v>
      </c>
      <c r="C15" s="27" t="s">
        <v>198</v>
      </c>
      <c r="D15" s="27" t="s">
        <v>199</v>
      </c>
      <c r="E15" s="27" t="s">
        <v>92</v>
      </c>
      <c r="F15" s="27" t="s">
        <v>200</v>
      </c>
      <c r="G15" s="27">
        <v>6522.9120999999996</v>
      </c>
      <c r="H15" s="27">
        <v>6935.7699000000002</v>
      </c>
      <c r="I15" s="27">
        <v>7359.7948999999999</v>
      </c>
      <c r="J15" s="27">
        <v>7714.5160999999998</v>
      </c>
      <c r="K15" s="27" t="s">
        <v>200</v>
      </c>
      <c r="L15" s="27" t="s">
        <v>200</v>
      </c>
      <c r="M15" s="27" t="s">
        <v>200</v>
      </c>
      <c r="N15" s="27" t="s">
        <v>200</v>
      </c>
      <c r="O15" s="27">
        <v>8043.7245999999996</v>
      </c>
      <c r="P15" s="27">
        <v>8341.3484000000008</v>
      </c>
      <c r="Q15" s="27">
        <v>8607.5912000000008</v>
      </c>
      <c r="R15" s="27">
        <v>8840.5871999999999</v>
      </c>
      <c r="S15" s="27">
        <v>9037.4691999999995</v>
      </c>
      <c r="T15" s="27">
        <v>9194.0269000000008</v>
      </c>
      <c r="U15" s="27">
        <v>9319.14</v>
      </c>
      <c r="V15" s="27">
        <v>9402.5894000000008</v>
      </c>
      <c r="W15" s="27" t="s">
        <v>200</v>
      </c>
      <c r="X15" s="27">
        <v>9465.4109000000008</v>
      </c>
      <c r="Y15" s="27" t="s">
        <v>200</v>
      </c>
      <c r="Z15" s="27">
        <v>9407.3359</v>
      </c>
      <c r="AA15" s="27" t="s">
        <v>200</v>
      </c>
      <c r="AB15" s="27">
        <v>9246.9953999999998</v>
      </c>
      <c r="AC15" s="27" t="s">
        <v>200</v>
      </c>
      <c r="AD15" s="27">
        <v>9019.6777000000002</v>
      </c>
    </row>
    <row r="16" spans="1:30">
      <c r="A16" s="27" t="s">
        <v>196</v>
      </c>
      <c r="B16" s="27" t="s">
        <v>224</v>
      </c>
      <c r="C16" s="27" t="s">
        <v>198</v>
      </c>
      <c r="D16" s="27" t="s">
        <v>199</v>
      </c>
      <c r="E16" s="27" t="s">
        <v>92</v>
      </c>
      <c r="F16" s="27" t="s">
        <v>200</v>
      </c>
      <c r="G16" s="27">
        <v>6522.9120999999996</v>
      </c>
      <c r="H16" s="27">
        <v>6935.7699000000002</v>
      </c>
      <c r="I16" s="27">
        <v>7359.7948999999999</v>
      </c>
      <c r="J16" s="27">
        <v>7714.5160999999998</v>
      </c>
      <c r="K16" s="27" t="s">
        <v>200</v>
      </c>
      <c r="L16" s="27" t="s">
        <v>200</v>
      </c>
      <c r="M16" s="27" t="s">
        <v>200</v>
      </c>
      <c r="N16" s="27" t="s">
        <v>200</v>
      </c>
      <c r="O16" s="27">
        <v>8043.7245999999996</v>
      </c>
      <c r="P16" s="27">
        <v>8341.3484000000008</v>
      </c>
      <c r="Q16" s="27">
        <v>8607.5912000000008</v>
      </c>
      <c r="R16" s="27">
        <v>8840.5871999999999</v>
      </c>
      <c r="S16" s="27">
        <v>9037.4691999999995</v>
      </c>
      <c r="T16" s="27">
        <v>9194.0269000000008</v>
      </c>
      <c r="U16" s="27">
        <v>9319.14</v>
      </c>
      <c r="V16" s="27">
        <v>9402.5894000000008</v>
      </c>
      <c r="W16" s="27" t="s">
        <v>200</v>
      </c>
      <c r="X16" s="27">
        <v>9465.4109000000008</v>
      </c>
      <c r="Y16" s="27" t="s">
        <v>200</v>
      </c>
      <c r="Z16" s="27">
        <v>9407.3359</v>
      </c>
      <c r="AA16" s="27" t="s">
        <v>200</v>
      </c>
      <c r="AB16" s="27">
        <v>9246.9953999999998</v>
      </c>
      <c r="AC16" s="27" t="s">
        <v>200</v>
      </c>
      <c r="AD16" s="27">
        <v>9019.6777000000002</v>
      </c>
    </row>
    <row r="17" spans="1:30">
      <c r="A17" s="27" t="s">
        <v>207</v>
      </c>
      <c r="B17" s="27" t="s">
        <v>225</v>
      </c>
      <c r="C17" s="27" t="s">
        <v>198</v>
      </c>
      <c r="D17" s="27" t="s">
        <v>199</v>
      </c>
      <c r="E17" s="27" t="s">
        <v>92</v>
      </c>
      <c r="F17" s="27">
        <v>6119.4199905395508</v>
      </c>
      <c r="G17" s="27">
        <v>6503.1299362182617</v>
      </c>
      <c r="H17" s="27">
        <v>6867.3900375366211</v>
      </c>
      <c r="I17" s="27">
        <v>7239.32</v>
      </c>
      <c r="J17" s="27">
        <v>7611.2499999999991</v>
      </c>
      <c r="K17" s="27" t="s">
        <v>200</v>
      </c>
      <c r="L17" s="27" t="s">
        <v>200</v>
      </c>
      <c r="M17" s="27" t="s">
        <v>200</v>
      </c>
      <c r="N17" s="27" t="s">
        <v>200</v>
      </c>
      <c r="O17" s="27">
        <v>7936.62</v>
      </c>
      <c r="P17" s="27">
        <v>8261.9900000000016</v>
      </c>
      <c r="Q17" s="27">
        <v>8524.5550000000003</v>
      </c>
      <c r="R17" s="27">
        <v>8787.1200000000008</v>
      </c>
      <c r="S17" s="27">
        <v>8978.1149999999998</v>
      </c>
      <c r="T17" s="27">
        <v>9169.11</v>
      </c>
      <c r="U17" s="27">
        <v>9276.9050000000007</v>
      </c>
      <c r="V17" s="27">
        <v>9384.7000000000007</v>
      </c>
      <c r="W17" s="27" t="s">
        <v>200</v>
      </c>
      <c r="X17" s="27">
        <v>9456.8799999999992</v>
      </c>
      <c r="Y17" s="27" t="s">
        <v>200</v>
      </c>
      <c r="Z17" s="27">
        <v>9407.26</v>
      </c>
      <c r="AA17" s="27" t="s">
        <v>200</v>
      </c>
      <c r="AB17" s="27">
        <v>9253.9500000000007</v>
      </c>
      <c r="AC17" s="27" t="s">
        <v>200</v>
      </c>
      <c r="AD17" s="27">
        <v>9032.4200000000019</v>
      </c>
    </row>
    <row r="18" spans="1:30">
      <c r="A18" s="27" t="s">
        <v>226</v>
      </c>
      <c r="B18" s="27" t="s">
        <v>227</v>
      </c>
      <c r="C18" s="27" t="s">
        <v>198</v>
      </c>
      <c r="D18" s="27" t="s">
        <v>199</v>
      </c>
      <c r="E18" s="27" t="s">
        <v>92</v>
      </c>
      <c r="F18" s="27" t="s">
        <v>200</v>
      </c>
      <c r="G18" s="27">
        <v>6465.5870000000004</v>
      </c>
      <c r="H18" s="27">
        <v>6858.4391999999998</v>
      </c>
      <c r="I18" s="27">
        <v>7248.0137000000004</v>
      </c>
      <c r="J18" s="27">
        <v>7637.5880000000016</v>
      </c>
      <c r="K18" s="27" t="s">
        <v>200</v>
      </c>
      <c r="L18" s="27" t="s">
        <v>200</v>
      </c>
      <c r="M18" s="27" t="s">
        <v>200</v>
      </c>
      <c r="N18" s="27" t="s">
        <v>200</v>
      </c>
      <c r="O18" s="27">
        <v>7978.3739999999998</v>
      </c>
      <c r="P18" s="27">
        <v>8287.5740000000005</v>
      </c>
      <c r="Q18" s="27">
        <v>8565.3940000000002</v>
      </c>
      <c r="R18" s="27">
        <v>8809.9669999999987</v>
      </c>
      <c r="S18" s="27">
        <v>9018.4259999999995</v>
      </c>
      <c r="T18" s="27">
        <v>9186.5609999999997</v>
      </c>
      <c r="U18" s="27">
        <v>9311.6740000000009</v>
      </c>
      <c r="V18" s="27">
        <v>9395.1229999999996</v>
      </c>
      <c r="W18" s="27" t="s">
        <v>200</v>
      </c>
      <c r="X18" s="27">
        <v>9457.9449999999997</v>
      </c>
      <c r="Y18" s="27" t="s">
        <v>200</v>
      </c>
      <c r="Z18" s="27">
        <v>9399.8700000000008</v>
      </c>
      <c r="AA18" s="27" t="s">
        <v>200</v>
      </c>
      <c r="AB18" s="27">
        <v>9239.5290000000005</v>
      </c>
      <c r="AC18" s="27" t="s">
        <v>200</v>
      </c>
      <c r="AD18" s="27">
        <v>9012.2119999999995</v>
      </c>
    </row>
    <row r="19" spans="1:30">
      <c r="A19" s="27" t="s">
        <v>226</v>
      </c>
      <c r="B19" s="27" t="s">
        <v>228</v>
      </c>
      <c r="C19" s="27" t="s">
        <v>198</v>
      </c>
      <c r="D19" s="27" t="s">
        <v>199</v>
      </c>
      <c r="E19" s="27" t="s">
        <v>92</v>
      </c>
      <c r="F19" s="27" t="s">
        <v>200</v>
      </c>
      <c r="G19" s="27">
        <v>6465.5870000000004</v>
      </c>
      <c r="H19" s="27">
        <v>6858.4391999999998</v>
      </c>
      <c r="I19" s="27">
        <v>7248.0137000000004</v>
      </c>
      <c r="J19" s="27">
        <v>7637.5880000000016</v>
      </c>
      <c r="K19" s="27" t="s">
        <v>200</v>
      </c>
      <c r="L19" s="27" t="s">
        <v>200</v>
      </c>
      <c r="M19" s="27" t="s">
        <v>200</v>
      </c>
      <c r="N19" s="27" t="s">
        <v>200</v>
      </c>
      <c r="O19" s="27">
        <v>7978.3739999999998</v>
      </c>
      <c r="P19" s="27">
        <v>8287.5740000000005</v>
      </c>
      <c r="Q19" s="27">
        <v>8565.3940000000002</v>
      </c>
      <c r="R19" s="27">
        <v>8809.9669999999987</v>
      </c>
      <c r="S19" s="27">
        <v>9018.4259999999995</v>
      </c>
      <c r="T19" s="27">
        <v>9186.5609999999997</v>
      </c>
      <c r="U19" s="27">
        <v>9311.6740000000009</v>
      </c>
      <c r="V19" s="27">
        <v>9395.1229999999996</v>
      </c>
      <c r="W19" s="27" t="s">
        <v>200</v>
      </c>
      <c r="X19" s="27">
        <v>9457.9449999999997</v>
      </c>
      <c r="Y19" s="27" t="s">
        <v>200</v>
      </c>
      <c r="Z19" s="27">
        <v>9399.8700000000008</v>
      </c>
      <c r="AA19" s="27" t="s">
        <v>200</v>
      </c>
      <c r="AB19" s="27">
        <v>9239.5290000000005</v>
      </c>
      <c r="AC19" s="27" t="s">
        <v>200</v>
      </c>
      <c r="AD19" s="27">
        <v>9012.2119999999995</v>
      </c>
    </row>
    <row r="20" spans="1:30">
      <c r="A20" s="27" t="s">
        <v>207</v>
      </c>
      <c r="B20" s="27" t="s">
        <v>229</v>
      </c>
      <c r="C20" s="27" t="s">
        <v>198</v>
      </c>
      <c r="D20" s="27" t="s">
        <v>199</v>
      </c>
      <c r="E20" s="27" t="s">
        <v>92</v>
      </c>
      <c r="F20" s="27">
        <v>6119.4199905395508</v>
      </c>
      <c r="G20" s="27">
        <v>6503.1299362182617</v>
      </c>
      <c r="H20" s="27">
        <v>6867.3900375366211</v>
      </c>
      <c r="I20" s="27">
        <v>7239.32</v>
      </c>
      <c r="J20" s="27">
        <v>7611.2499999999991</v>
      </c>
      <c r="K20" s="27" t="s">
        <v>200</v>
      </c>
      <c r="L20" s="27" t="s">
        <v>200</v>
      </c>
      <c r="M20" s="27" t="s">
        <v>200</v>
      </c>
      <c r="N20" s="27" t="s">
        <v>200</v>
      </c>
      <c r="O20" s="27">
        <v>7936.62</v>
      </c>
      <c r="P20" s="27">
        <v>8261.9900000000016</v>
      </c>
      <c r="Q20" s="27">
        <v>8524.5550000000003</v>
      </c>
      <c r="R20" s="27">
        <v>8787.1200000000008</v>
      </c>
      <c r="S20" s="27">
        <v>8978.1149999999998</v>
      </c>
      <c r="T20" s="27">
        <v>9169.11</v>
      </c>
      <c r="U20" s="27">
        <v>9276.9050000000007</v>
      </c>
      <c r="V20" s="27">
        <v>9384.7000000000007</v>
      </c>
      <c r="W20" s="27" t="s">
        <v>200</v>
      </c>
      <c r="X20" s="27">
        <v>9456.8799999999992</v>
      </c>
      <c r="Y20" s="27" t="s">
        <v>200</v>
      </c>
      <c r="Z20" s="27">
        <v>9407.26</v>
      </c>
      <c r="AA20" s="27" t="s">
        <v>200</v>
      </c>
      <c r="AB20" s="27">
        <v>9253.9500000000007</v>
      </c>
      <c r="AC20" s="27" t="s">
        <v>200</v>
      </c>
      <c r="AD20" s="27">
        <v>9032.4200000000019</v>
      </c>
    </row>
    <row r="21" spans="1:30">
      <c r="A21" s="27" t="s">
        <v>207</v>
      </c>
      <c r="B21" s="27" t="s">
        <v>230</v>
      </c>
      <c r="C21" s="27" t="s">
        <v>198</v>
      </c>
      <c r="D21" s="27" t="s">
        <v>199</v>
      </c>
      <c r="E21" s="27" t="s">
        <v>92</v>
      </c>
      <c r="F21" s="27">
        <v>6119.4199905395508</v>
      </c>
      <c r="G21" s="27">
        <v>6503.1299362182617</v>
      </c>
      <c r="H21" s="27">
        <v>6867.3900375366211</v>
      </c>
      <c r="I21" s="27">
        <v>7239.32</v>
      </c>
      <c r="J21" s="27">
        <v>7611.2499999999991</v>
      </c>
      <c r="K21" s="27" t="s">
        <v>200</v>
      </c>
      <c r="L21" s="27" t="s">
        <v>200</v>
      </c>
      <c r="M21" s="27" t="s">
        <v>200</v>
      </c>
      <c r="N21" s="27" t="s">
        <v>200</v>
      </c>
      <c r="O21" s="27">
        <v>7936.62</v>
      </c>
      <c r="P21" s="27">
        <v>8261.9900000000016</v>
      </c>
      <c r="Q21" s="27">
        <v>8524.5550000000003</v>
      </c>
      <c r="R21" s="27">
        <v>8787.1200000000008</v>
      </c>
      <c r="S21" s="27">
        <v>8978.1149999999998</v>
      </c>
      <c r="T21" s="27">
        <v>9169.11</v>
      </c>
      <c r="U21" s="27">
        <v>9276.9050000000007</v>
      </c>
      <c r="V21" s="27">
        <v>9384.7000000000007</v>
      </c>
      <c r="W21" s="27" t="s">
        <v>200</v>
      </c>
      <c r="X21" s="27">
        <v>9456.8799999999992</v>
      </c>
      <c r="Y21" s="27" t="s">
        <v>200</v>
      </c>
      <c r="Z21" s="27">
        <v>9407.26</v>
      </c>
      <c r="AA21" s="27" t="s">
        <v>200</v>
      </c>
      <c r="AB21" s="27">
        <v>9253.9500000000007</v>
      </c>
      <c r="AC21" s="27" t="s">
        <v>200</v>
      </c>
      <c r="AD21" s="27">
        <v>9032.4200000000019</v>
      </c>
    </row>
    <row r="22" spans="1:30">
      <c r="A22" s="27" t="s">
        <v>231</v>
      </c>
      <c r="B22" s="27" t="s">
        <v>232</v>
      </c>
      <c r="C22" s="27" t="s">
        <v>198</v>
      </c>
      <c r="D22" s="27" t="s">
        <v>199</v>
      </c>
      <c r="E22" s="27" t="s">
        <v>92</v>
      </c>
      <c r="F22" s="27" t="s">
        <v>200</v>
      </c>
      <c r="G22" s="27">
        <v>6534.3140000000003</v>
      </c>
      <c r="H22" s="27">
        <v>6947.2520000000004</v>
      </c>
      <c r="I22" s="27">
        <v>7369.2950000000001</v>
      </c>
      <c r="J22" s="27">
        <v>7739.7430000000004</v>
      </c>
      <c r="K22" s="27" t="s">
        <v>200</v>
      </c>
      <c r="L22" s="27" t="s">
        <v>200</v>
      </c>
      <c r="M22" s="27" t="s">
        <v>200</v>
      </c>
      <c r="N22" s="27" t="s">
        <v>200</v>
      </c>
      <c r="O22" s="27">
        <v>8084.34</v>
      </c>
      <c r="P22" s="27">
        <v>8396.8809999999994</v>
      </c>
      <c r="Q22" s="27">
        <v>8677.6080000000002</v>
      </c>
      <c r="R22" s="27">
        <v>8924.7489999999998</v>
      </c>
      <c r="S22" s="27">
        <v>9135.4439999999995</v>
      </c>
      <c r="T22" s="27">
        <v>9305.4490000000005</v>
      </c>
      <c r="U22" s="27">
        <v>9431.9330000000009</v>
      </c>
      <c r="V22" s="27">
        <v>9516.32</v>
      </c>
      <c r="W22" s="27">
        <v>9563.8909999999996</v>
      </c>
      <c r="X22" s="27">
        <v>9579.8160000000007</v>
      </c>
      <c r="Y22" s="27">
        <v>9565.1270000000004</v>
      </c>
      <c r="Z22" s="27">
        <v>9521.116</v>
      </c>
      <c r="AA22" s="27">
        <v>9450.7749999999996</v>
      </c>
      <c r="AB22" s="27">
        <v>9359.357</v>
      </c>
      <c r="AC22" s="27">
        <v>9251.4249999999993</v>
      </c>
      <c r="AD22" s="27">
        <v>9130.1890000000003</v>
      </c>
    </row>
    <row r="23" spans="1:30">
      <c r="A23" s="27" t="s">
        <v>233</v>
      </c>
      <c r="B23" s="27" t="s">
        <v>224</v>
      </c>
      <c r="C23" s="27" t="s">
        <v>198</v>
      </c>
      <c r="D23" s="27" t="s">
        <v>199</v>
      </c>
      <c r="E23" s="27" t="s">
        <v>92</v>
      </c>
      <c r="F23" s="27" t="s">
        <v>200</v>
      </c>
      <c r="G23" s="27" t="s">
        <v>200</v>
      </c>
      <c r="H23" s="27">
        <v>6871.7587843000001</v>
      </c>
      <c r="I23" s="27">
        <v>7285.2946683999999</v>
      </c>
      <c r="J23" s="27">
        <v>7656.4177418135077</v>
      </c>
      <c r="K23" s="27" t="s">
        <v>200</v>
      </c>
      <c r="L23" s="27" t="s">
        <v>200</v>
      </c>
      <c r="M23" s="27" t="s">
        <v>200</v>
      </c>
      <c r="N23" s="27" t="s">
        <v>200</v>
      </c>
      <c r="O23" s="27">
        <v>8002.2694610545932</v>
      </c>
      <c r="P23" s="27">
        <v>8316.7857534488812</v>
      </c>
      <c r="Q23" s="27">
        <v>8600.4017416814913</v>
      </c>
      <c r="R23" s="27">
        <v>8851.4768697682139</v>
      </c>
      <c r="S23" s="27">
        <v>9066.9891571428525</v>
      </c>
      <c r="T23" s="27">
        <v>9242.4535367683566</v>
      </c>
      <c r="U23" s="27">
        <v>9374.8141058708206</v>
      </c>
      <c r="V23" s="27">
        <v>9465.5539970501031</v>
      </c>
      <c r="W23" s="27">
        <v>9520.5585375843712</v>
      </c>
      <c r="X23" s="27">
        <v>9543.7345808569353</v>
      </c>
      <c r="Y23" s="27">
        <v>9535.986024638356</v>
      </c>
      <c r="Z23" s="27">
        <v>9498.5052712829729</v>
      </c>
      <c r="AA23" s="27">
        <v>9434.0882580191646</v>
      </c>
      <c r="AB23" s="27">
        <v>9348.0315114173845</v>
      </c>
      <c r="AC23" s="27">
        <v>9244.9020231836694</v>
      </c>
      <c r="AD23" s="27">
        <v>9127.9378844023577</v>
      </c>
    </row>
    <row r="24" spans="1:30">
      <c r="A24" s="27" t="s">
        <v>220</v>
      </c>
      <c r="B24" s="27" t="s">
        <v>215</v>
      </c>
      <c r="C24" s="27" t="s">
        <v>198</v>
      </c>
      <c r="D24" s="27" t="s">
        <v>199</v>
      </c>
      <c r="E24" s="27" t="s">
        <v>92</v>
      </c>
      <c r="F24" s="27" t="s">
        <v>200</v>
      </c>
      <c r="G24" s="27">
        <v>6475.0910599999997</v>
      </c>
      <c r="H24" s="27">
        <v>6868.6869999999999</v>
      </c>
      <c r="I24" s="27" t="s">
        <v>200</v>
      </c>
      <c r="J24" s="27">
        <v>7517.7819999999992</v>
      </c>
      <c r="K24" s="27" t="s">
        <v>200</v>
      </c>
      <c r="L24" s="27" t="s">
        <v>200</v>
      </c>
      <c r="M24" s="27" t="s">
        <v>200</v>
      </c>
      <c r="N24" s="27" t="s">
        <v>200</v>
      </c>
      <c r="O24" s="27" t="s">
        <v>200</v>
      </c>
      <c r="P24" s="27">
        <v>7999.3040000000001</v>
      </c>
      <c r="Q24" s="27" t="s">
        <v>200</v>
      </c>
      <c r="R24" s="27">
        <v>8323.014000000001</v>
      </c>
      <c r="S24" s="27" t="s">
        <v>200</v>
      </c>
      <c r="T24" s="27">
        <v>8462.7780000000002</v>
      </c>
      <c r="U24" s="27" t="s">
        <v>200</v>
      </c>
      <c r="V24" s="27">
        <v>8423.9159999999993</v>
      </c>
      <c r="W24" s="27" t="s">
        <v>200</v>
      </c>
      <c r="X24" s="27">
        <v>8232.9179999999997</v>
      </c>
      <c r="Y24" s="27" t="s">
        <v>200</v>
      </c>
      <c r="Z24" s="27">
        <v>7904.0340000000006</v>
      </c>
      <c r="AA24" s="27" t="s">
        <v>200</v>
      </c>
      <c r="AB24" s="27">
        <v>7450.0140000000001</v>
      </c>
      <c r="AC24" s="27" t="s">
        <v>200</v>
      </c>
      <c r="AD24" s="27">
        <v>6900.8760000000002</v>
      </c>
    </row>
    <row r="25" spans="1:30">
      <c r="A25" s="27" t="s">
        <v>226</v>
      </c>
      <c r="B25" s="27" t="s">
        <v>234</v>
      </c>
      <c r="C25" s="27" t="s">
        <v>198</v>
      </c>
      <c r="D25" s="27" t="s">
        <v>199</v>
      </c>
      <c r="E25" s="27" t="s">
        <v>92</v>
      </c>
      <c r="F25" s="27" t="s">
        <v>200</v>
      </c>
      <c r="G25" s="27">
        <v>6465.5870000000004</v>
      </c>
      <c r="H25" s="27">
        <v>6858.4391999999998</v>
      </c>
      <c r="I25" s="27">
        <v>7248.0137000000004</v>
      </c>
      <c r="J25" s="27">
        <v>7637.5880000000016</v>
      </c>
      <c r="K25" s="27" t="s">
        <v>200</v>
      </c>
      <c r="L25" s="27" t="s">
        <v>200</v>
      </c>
      <c r="M25" s="27" t="s">
        <v>200</v>
      </c>
      <c r="N25" s="27" t="s">
        <v>200</v>
      </c>
      <c r="O25" s="27">
        <v>7978.3739999999998</v>
      </c>
      <c r="P25" s="27">
        <v>8287.5740000000005</v>
      </c>
      <c r="Q25" s="27">
        <v>8565.3940000000002</v>
      </c>
      <c r="R25" s="27">
        <v>8809.9669999999987</v>
      </c>
      <c r="S25" s="27">
        <v>9018.4259999999995</v>
      </c>
      <c r="T25" s="27">
        <v>9186.5609999999997</v>
      </c>
      <c r="U25" s="27">
        <v>9311.6740000000009</v>
      </c>
      <c r="V25" s="27">
        <v>9395.1229999999996</v>
      </c>
      <c r="W25" s="27" t="s">
        <v>200</v>
      </c>
      <c r="X25" s="27">
        <v>9457.9449999999997</v>
      </c>
      <c r="Y25" s="27" t="s">
        <v>200</v>
      </c>
      <c r="Z25" s="27">
        <v>9399.8700000000008</v>
      </c>
      <c r="AA25" s="27" t="s">
        <v>200</v>
      </c>
      <c r="AB25" s="27">
        <v>9239.5290000000005</v>
      </c>
      <c r="AC25" s="27" t="s">
        <v>200</v>
      </c>
      <c r="AD25" s="27">
        <v>9012.2119999999995</v>
      </c>
    </row>
    <row r="26" spans="1:30">
      <c r="A26" s="27" t="s">
        <v>216</v>
      </c>
      <c r="B26" s="27" t="s">
        <v>235</v>
      </c>
      <c r="C26" s="27" t="s">
        <v>198</v>
      </c>
      <c r="D26" s="27" t="s">
        <v>199</v>
      </c>
      <c r="E26" s="27" t="s">
        <v>92</v>
      </c>
      <c r="F26" s="27">
        <v>6119.4199905395499</v>
      </c>
      <c r="G26" s="27">
        <v>6503.1299362182599</v>
      </c>
      <c r="H26" s="27">
        <v>6867.3900375366202</v>
      </c>
      <c r="I26" s="27">
        <v>7239.32</v>
      </c>
      <c r="J26" s="27">
        <v>7611.25</v>
      </c>
      <c r="K26" s="27">
        <v>7676.3239999999996</v>
      </c>
      <c r="L26" s="27">
        <v>7741.3980000000001</v>
      </c>
      <c r="M26" s="27">
        <v>7806.4719999999998</v>
      </c>
      <c r="N26" s="27">
        <v>7871.5460000000003</v>
      </c>
      <c r="O26" s="27">
        <v>7936.62</v>
      </c>
      <c r="P26" s="27">
        <v>8261.99</v>
      </c>
      <c r="Q26" s="27">
        <v>8524.5550000000003</v>
      </c>
      <c r="R26" s="27">
        <v>8787.1200000000008</v>
      </c>
      <c r="S26" s="27">
        <v>8978.1149999999998</v>
      </c>
      <c r="T26" s="27">
        <v>9169.11</v>
      </c>
      <c r="U26" s="27">
        <v>9276.9050000000007</v>
      </c>
      <c r="V26" s="27">
        <v>9384.7000000000007</v>
      </c>
      <c r="W26" s="27" t="s">
        <v>200</v>
      </c>
      <c r="X26" s="27">
        <v>9456.8799999999992</v>
      </c>
      <c r="Y26" s="27" t="s">
        <v>200</v>
      </c>
      <c r="Z26" s="27">
        <v>9407.26</v>
      </c>
      <c r="AA26" s="27" t="s">
        <v>200</v>
      </c>
      <c r="AB26" s="27">
        <v>9253.9500000000007</v>
      </c>
      <c r="AC26" s="27" t="s">
        <v>200</v>
      </c>
      <c r="AD26" s="27">
        <v>9032.42</v>
      </c>
    </row>
    <row r="27" spans="1:30">
      <c r="A27" s="27" t="s">
        <v>196</v>
      </c>
      <c r="B27" s="27" t="s">
        <v>236</v>
      </c>
      <c r="C27" s="27" t="s">
        <v>198</v>
      </c>
      <c r="D27" s="27" t="s">
        <v>199</v>
      </c>
      <c r="E27" s="27" t="s">
        <v>92</v>
      </c>
      <c r="F27" s="27" t="s">
        <v>200</v>
      </c>
      <c r="G27" s="27" t="s">
        <v>200</v>
      </c>
      <c r="H27" s="27">
        <v>6935.7699000000002</v>
      </c>
      <c r="I27" s="27">
        <v>7359.7948999999999</v>
      </c>
      <c r="J27" s="27">
        <v>7714.5160999999998</v>
      </c>
      <c r="K27" s="27" t="s">
        <v>200</v>
      </c>
      <c r="L27" s="27" t="s">
        <v>200</v>
      </c>
      <c r="M27" s="27" t="s">
        <v>200</v>
      </c>
      <c r="N27" s="27" t="s">
        <v>200</v>
      </c>
      <c r="O27" s="27">
        <v>8043.7245999999996</v>
      </c>
      <c r="P27" s="27">
        <v>8341.3484000000008</v>
      </c>
      <c r="Q27" s="27">
        <v>8607.5912000000008</v>
      </c>
      <c r="R27" s="27">
        <v>8840.5871999999999</v>
      </c>
      <c r="S27" s="27">
        <v>9037.4691999999995</v>
      </c>
      <c r="T27" s="27">
        <v>9194.0269000000008</v>
      </c>
      <c r="U27" s="27">
        <v>9319.14</v>
      </c>
      <c r="V27" s="27">
        <v>9402.5894000000008</v>
      </c>
      <c r="W27" s="27" t="s">
        <v>200</v>
      </c>
      <c r="X27" s="27">
        <v>9465.4109000000008</v>
      </c>
      <c r="Y27" s="27" t="s">
        <v>200</v>
      </c>
      <c r="Z27" s="27">
        <v>9407.3359</v>
      </c>
      <c r="AA27" s="27" t="s">
        <v>200</v>
      </c>
      <c r="AB27" s="27">
        <v>9246.9953999999998</v>
      </c>
      <c r="AC27" s="27" t="s">
        <v>200</v>
      </c>
      <c r="AD27" s="27">
        <v>9019.6777000000002</v>
      </c>
    </row>
    <row r="28" spans="1:30">
      <c r="A28" s="27" t="s">
        <v>231</v>
      </c>
      <c r="B28" s="27" t="s">
        <v>237</v>
      </c>
      <c r="C28" s="27" t="s">
        <v>198</v>
      </c>
      <c r="D28" s="27" t="s">
        <v>199</v>
      </c>
      <c r="E28" s="27" t="s">
        <v>92</v>
      </c>
      <c r="F28" s="27" t="s">
        <v>200</v>
      </c>
      <c r="G28" s="27">
        <v>6534.3140000000003</v>
      </c>
      <c r="H28" s="27">
        <v>6947.2520000000004</v>
      </c>
      <c r="I28" s="27">
        <v>7369.2950000000001</v>
      </c>
      <c r="J28" s="27">
        <v>7739.7430000000004</v>
      </c>
      <c r="K28" s="27" t="s">
        <v>200</v>
      </c>
      <c r="L28" s="27" t="s">
        <v>200</v>
      </c>
      <c r="M28" s="27" t="s">
        <v>200</v>
      </c>
      <c r="N28" s="27" t="s">
        <v>200</v>
      </c>
      <c r="O28" s="27">
        <v>8084.34</v>
      </c>
      <c r="P28" s="27">
        <v>8396.8809999999994</v>
      </c>
      <c r="Q28" s="27">
        <v>8677.6080000000002</v>
      </c>
      <c r="R28" s="27">
        <v>8924.7489999999998</v>
      </c>
      <c r="S28" s="27">
        <v>9135.4439999999995</v>
      </c>
      <c r="T28" s="27">
        <v>9305.4490000000005</v>
      </c>
      <c r="U28" s="27">
        <v>9431.9330000000009</v>
      </c>
      <c r="V28" s="27">
        <v>9516.32</v>
      </c>
      <c r="W28" s="27">
        <v>9563.8909999999996</v>
      </c>
      <c r="X28" s="27">
        <v>9579.8160000000007</v>
      </c>
      <c r="Y28" s="27">
        <v>9565.1270000000004</v>
      </c>
      <c r="Z28" s="27">
        <v>9521.116</v>
      </c>
      <c r="AA28" s="27">
        <v>9450.7749999999996</v>
      </c>
      <c r="AB28" s="27">
        <v>9359.357</v>
      </c>
      <c r="AC28" s="27">
        <v>9251.4249999999993</v>
      </c>
      <c r="AD28" s="27">
        <v>9130.1890000000003</v>
      </c>
    </row>
    <row r="29" spans="1:30">
      <c r="A29" s="27" t="s">
        <v>233</v>
      </c>
      <c r="B29" s="27" t="s">
        <v>238</v>
      </c>
      <c r="C29" s="27" t="s">
        <v>198</v>
      </c>
      <c r="D29" s="27" t="s">
        <v>199</v>
      </c>
      <c r="E29" s="27" t="s">
        <v>92</v>
      </c>
      <c r="F29" s="27" t="s">
        <v>200</v>
      </c>
      <c r="G29" s="27" t="s">
        <v>200</v>
      </c>
      <c r="H29" s="27">
        <v>6871.7587843000001</v>
      </c>
      <c r="I29" s="27">
        <v>7285.2946683999999</v>
      </c>
      <c r="J29" s="27">
        <v>7656.4177418135077</v>
      </c>
      <c r="K29" s="27" t="s">
        <v>200</v>
      </c>
      <c r="L29" s="27" t="s">
        <v>200</v>
      </c>
      <c r="M29" s="27" t="s">
        <v>200</v>
      </c>
      <c r="N29" s="27" t="s">
        <v>200</v>
      </c>
      <c r="O29" s="27">
        <v>8002.2694610545932</v>
      </c>
      <c r="P29" s="27">
        <v>8316.7857534488812</v>
      </c>
      <c r="Q29" s="27">
        <v>8600.4017416814913</v>
      </c>
      <c r="R29" s="27">
        <v>8851.4768697682139</v>
      </c>
      <c r="S29" s="27">
        <v>9066.9891571428525</v>
      </c>
      <c r="T29" s="27">
        <v>9242.4535367683566</v>
      </c>
      <c r="U29" s="27">
        <v>9374.8141058708206</v>
      </c>
      <c r="V29" s="27">
        <v>9465.5539970501031</v>
      </c>
      <c r="W29" s="27">
        <v>9520.5585375843712</v>
      </c>
      <c r="X29" s="27">
        <v>9543.7345808569353</v>
      </c>
      <c r="Y29" s="27">
        <v>9535.986024638356</v>
      </c>
      <c r="Z29" s="27">
        <v>9498.5052712829729</v>
      </c>
      <c r="AA29" s="27">
        <v>9434.0882580191646</v>
      </c>
      <c r="AB29" s="27">
        <v>9348.0315114173845</v>
      </c>
      <c r="AC29" s="27">
        <v>9244.9020231836694</v>
      </c>
      <c r="AD29" s="27">
        <v>9127.9378844023577</v>
      </c>
    </row>
    <row r="30" spans="1:30">
      <c r="A30" s="27" t="s">
        <v>239</v>
      </c>
      <c r="B30" s="27" t="s">
        <v>240</v>
      </c>
      <c r="C30" s="27" t="s">
        <v>198</v>
      </c>
      <c r="D30" s="27" t="s">
        <v>199</v>
      </c>
      <c r="E30" s="27" t="s">
        <v>92</v>
      </c>
      <c r="F30" s="27" t="s">
        <v>200</v>
      </c>
      <c r="G30" s="27">
        <v>6505</v>
      </c>
      <c r="H30" s="27">
        <v>6894</v>
      </c>
      <c r="I30" s="27" t="s">
        <v>200</v>
      </c>
      <c r="J30" s="27">
        <v>7638</v>
      </c>
      <c r="K30" s="27" t="s">
        <v>200</v>
      </c>
      <c r="L30" s="27" t="s">
        <v>200</v>
      </c>
      <c r="M30" s="27" t="s">
        <v>200</v>
      </c>
      <c r="N30" s="27" t="s">
        <v>200</v>
      </c>
      <c r="O30" s="27" t="s">
        <v>200</v>
      </c>
      <c r="P30" s="27">
        <v>8288</v>
      </c>
      <c r="Q30" s="27" t="s">
        <v>200</v>
      </c>
      <c r="R30" s="27">
        <v>8810</v>
      </c>
      <c r="S30" s="27" t="s">
        <v>200</v>
      </c>
      <c r="T30" s="27">
        <v>9187</v>
      </c>
      <c r="U30" s="27" t="s">
        <v>200</v>
      </c>
      <c r="V30" s="27">
        <v>9395</v>
      </c>
      <c r="W30" s="27" t="s">
        <v>200</v>
      </c>
      <c r="X30" s="27">
        <v>9458</v>
      </c>
      <c r="Y30" s="27" t="s">
        <v>200</v>
      </c>
      <c r="Z30" s="27">
        <v>9400</v>
      </c>
      <c r="AA30" s="27" t="s">
        <v>200</v>
      </c>
      <c r="AB30" s="27">
        <v>9240</v>
      </c>
      <c r="AC30" s="27" t="s">
        <v>200</v>
      </c>
      <c r="AD30" s="27">
        <v>9012</v>
      </c>
    </row>
    <row r="31" spans="1:30">
      <c r="A31" s="27" t="s">
        <v>207</v>
      </c>
      <c r="B31" s="27" t="s">
        <v>241</v>
      </c>
      <c r="C31" s="27" t="s">
        <v>198</v>
      </c>
      <c r="D31" s="27" t="s">
        <v>199</v>
      </c>
      <c r="E31" s="27" t="s">
        <v>92</v>
      </c>
      <c r="F31" s="27">
        <v>6119.4199905395508</v>
      </c>
      <c r="G31" s="27">
        <v>6503.1299362182617</v>
      </c>
      <c r="H31" s="27">
        <v>6867.3900375366211</v>
      </c>
      <c r="I31" s="27">
        <v>7239.32</v>
      </c>
      <c r="J31" s="27">
        <v>7611.2499999999991</v>
      </c>
      <c r="K31" s="27" t="s">
        <v>200</v>
      </c>
      <c r="L31" s="27" t="s">
        <v>200</v>
      </c>
      <c r="M31" s="27" t="s">
        <v>200</v>
      </c>
      <c r="N31" s="27" t="s">
        <v>200</v>
      </c>
      <c r="O31" s="27">
        <v>7936.62</v>
      </c>
      <c r="P31" s="27">
        <v>8261.9900000000016</v>
      </c>
      <c r="Q31" s="27">
        <v>8524.5550000000003</v>
      </c>
      <c r="R31" s="27">
        <v>8787.1200000000008</v>
      </c>
      <c r="S31" s="27">
        <v>8978.1149999999998</v>
      </c>
      <c r="T31" s="27">
        <v>9169.11</v>
      </c>
      <c r="U31" s="27">
        <v>9276.9050000000007</v>
      </c>
      <c r="V31" s="27">
        <v>9384.7000000000007</v>
      </c>
      <c r="W31" s="27" t="s">
        <v>200</v>
      </c>
      <c r="X31" s="27">
        <v>9456.8799999999992</v>
      </c>
      <c r="Y31" s="27" t="s">
        <v>200</v>
      </c>
      <c r="Z31" s="27">
        <v>9407.26</v>
      </c>
      <c r="AA31" s="27" t="s">
        <v>200</v>
      </c>
      <c r="AB31" s="27">
        <v>9253.9500000000007</v>
      </c>
      <c r="AC31" s="27" t="s">
        <v>200</v>
      </c>
      <c r="AD31" s="27">
        <v>9032.4200000000019</v>
      </c>
    </row>
    <row r="32" spans="1:30">
      <c r="A32" s="27" t="s">
        <v>242</v>
      </c>
      <c r="B32" s="27" t="s">
        <v>243</v>
      </c>
      <c r="C32" s="27" t="s">
        <v>198</v>
      </c>
      <c r="D32" s="27" t="s">
        <v>199</v>
      </c>
      <c r="E32" s="27" t="s">
        <v>92</v>
      </c>
      <c r="F32" s="27" t="s">
        <v>200</v>
      </c>
      <c r="G32" s="27">
        <v>6396.5533999999998</v>
      </c>
      <c r="H32" s="27">
        <v>6804.3235000000004</v>
      </c>
      <c r="I32" s="27">
        <v>7188.3230000000003</v>
      </c>
      <c r="J32" s="27">
        <v>7550.1134886262898</v>
      </c>
      <c r="K32" s="27" t="s">
        <v>200</v>
      </c>
      <c r="L32" s="27" t="s">
        <v>200</v>
      </c>
      <c r="M32" s="27" t="s">
        <v>200</v>
      </c>
      <c r="N32" s="27" t="s">
        <v>200</v>
      </c>
      <c r="O32" s="27">
        <v>7886.76988764418</v>
      </c>
      <c r="P32" s="27">
        <v>8192.3268190128292</v>
      </c>
      <c r="Q32" s="27">
        <v>8467.1714596625297</v>
      </c>
      <c r="R32" s="27">
        <v>8709.7503741903292</v>
      </c>
      <c r="S32" s="27">
        <v>8917.2220131284994</v>
      </c>
      <c r="T32" s="27">
        <v>9085.3090824619085</v>
      </c>
      <c r="U32" s="27" t="s">
        <v>200</v>
      </c>
      <c r="V32" s="27">
        <v>9296.3610655402499</v>
      </c>
      <c r="W32" s="27" t="s">
        <v>200</v>
      </c>
      <c r="X32" s="27">
        <v>9366.0500266519903</v>
      </c>
      <c r="Y32" s="27" t="s">
        <v>200</v>
      </c>
      <c r="Z32" s="27">
        <v>9315.6467984402498</v>
      </c>
      <c r="AA32" s="27" t="s">
        <v>200</v>
      </c>
      <c r="AB32" s="27">
        <v>9163.0272375594395</v>
      </c>
      <c r="AC32" s="27" t="s">
        <v>200</v>
      </c>
      <c r="AD32" s="27">
        <v>8943.2366807699909</v>
      </c>
    </row>
    <row r="33" spans="1:30">
      <c r="A33" s="27" t="s">
        <v>244</v>
      </c>
      <c r="B33" s="27" t="s">
        <v>202</v>
      </c>
      <c r="C33" s="27" t="s">
        <v>198</v>
      </c>
      <c r="D33" s="27" t="s">
        <v>199</v>
      </c>
      <c r="E33" s="27" t="s">
        <v>92</v>
      </c>
      <c r="F33" s="27" t="s">
        <v>200</v>
      </c>
      <c r="G33" s="27" t="s">
        <v>200</v>
      </c>
      <c r="H33" s="27" t="s">
        <v>200</v>
      </c>
      <c r="I33" s="27">
        <v>7378.5392570000122</v>
      </c>
      <c r="J33" s="27">
        <v>7795.1362320000117</v>
      </c>
      <c r="K33" s="27" t="s">
        <v>200</v>
      </c>
      <c r="L33" s="27" t="s">
        <v>200</v>
      </c>
      <c r="M33" s="27" t="s">
        <v>200</v>
      </c>
      <c r="N33" s="27" t="s">
        <v>200</v>
      </c>
      <c r="O33" s="27">
        <v>8188.2336990000131</v>
      </c>
      <c r="P33" s="27">
        <v>8555.2617090000167</v>
      </c>
      <c r="Q33" s="27">
        <v>8897.4752190000127</v>
      </c>
      <c r="R33" s="27">
        <v>9238.1439210000153</v>
      </c>
      <c r="S33" s="27">
        <v>9498.9464660000158</v>
      </c>
      <c r="T33" s="27">
        <v>9755.900937000024</v>
      </c>
      <c r="U33" s="27">
        <v>9982.6675190000224</v>
      </c>
      <c r="V33" s="27">
        <v>10179.86546700002</v>
      </c>
      <c r="W33" s="27">
        <v>10350.31374000002</v>
      </c>
      <c r="X33" s="27">
        <v>10495.81078500002</v>
      </c>
      <c r="Y33" s="27">
        <v>10617.97046401325</v>
      </c>
      <c r="Z33" s="27">
        <v>10718.53389378218</v>
      </c>
      <c r="AA33" s="27">
        <v>10799.03546433675</v>
      </c>
      <c r="AB33" s="27">
        <v>10861.87495100884</v>
      </c>
      <c r="AC33" s="27">
        <v>10907.46879944686</v>
      </c>
      <c r="AD33" s="27">
        <v>10934.711234630549</v>
      </c>
    </row>
    <row r="34" spans="1:30">
      <c r="A34" s="27" t="s">
        <v>242</v>
      </c>
      <c r="B34" s="27" t="s">
        <v>245</v>
      </c>
      <c r="C34" s="27" t="s">
        <v>198</v>
      </c>
      <c r="D34" s="27" t="s">
        <v>199</v>
      </c>
      <c r="E34" s="27" t="s">
        <v>92</v>
      </c>
      <c r="F34" s="27" t="s">
        <v>200</v>
      </c>
      <c r="G34" s="27">
        <v>6396.5533999999998</v>
      </c>
      <c r="H34" s="27">
        <v>6804.3235000000004</v>
      </c>
      <c r="I34" s="27">
        <v>7188.3230000000003</v>
      </c>
      <c r="J34" s="27">
        <v>7550.1134886262898</v>
      </c>
      <c r="K34" s="27" t="s">
        <v>200</v>
      </c>
      <c r="L34" s="27" t="s">
        <v>200</v>
      </c>
      <c r="M34" s="27" t="s">
        <v>200</v>
      </c>
      <c r="N34" s="27" t="s">
        <v>200</v>
      </c>
      <c r="O34" s="27">
        <v>7886.76988764418</v>
      </c>
      <c r="P34" s="27">
        <v>8192.3268190128292</v>
      </c>
      <c r="Q34" s="27">
        <v>8467.1714596625297</v>
      </c>
      <c r="R34" s="27">
        <v>8709.7503741903292</v>
      </c>
      <c r="S34" s="27">
        <v>8917.2220131284994</v>
      </c>
      <c r="T34" s="27">
        <v>9085.3090824619085</v>
      </c>
      <c r="U34" s="27" t="s">
        <v>200</v>
      </c>
      <c r="V34" s="27">
        <v>9296.3610655402499</v>
      </c>
      <c r="W34" s="27" t="s">
        <v>200</v>
      </c>
      <c r="X34" s="27">
        <v>9366.0500266519903</v>
      </c>
      <c r="Y34" s="27" t="s">
        <v>200</v>
      </c>
      <c r="Z34" s="27">
        <v>9315.6467984402498</v>
      </c>
      <c r="AA34" s="27" t="s">
        <v>200</v>
      </c>
      <c r="AB34" s="27">
        <v>9163.0272375594395</v>
      </c>
      <c r="AC34" s="27" t="s">
        <v>200</v>
      </c>
      <c r="AD34" s="27">
        <v>8943.2366807699909</v>
      </c>
    </row>
    <row r="35" spans="1:30">
      <c r="A35" s="27" t="s">
        <v>246</v>
      </c>
      <c r="B35" s="27" t="s">
        <v>243</v>
      </c>
      <c r="C35" s="27" t="s">
        <v>198</v>
      </c>
      <c r="D35" s="27" t="s">
        <v>199</v>
      </c>
      <c r="E35" s="27" t="s">
        <v>92</v>
      </c>
      <c r="F35" s="27" t="s">
        <v>200</v>
      </c>
      <c r="G35" s="27">
        <v>6490.9879000000001</v>
      </c>
      <c r="H35" s="27">
        <v>6879.5896000000002</v>
      </c>
      <c r="I35" s="27">
        <v>7257.2329</v>
      </c>
      <c r="J35" s="27">
        <v>7623.6571999999996</v>
      </c>
      <c r="K35" s="27" t="s">
        <v>200</v>
      </c>
      <c r="L35" s="27" t="s">
        <v>200</v>
      </c>
      <c r="M35" s="27" t="s">
        <v>200</v>
      </c>
      <c r="N35" s="27" t="s">
        <v>200</v>
      </c>
      <c r="O35" s="27">
        <v>7964.4282000000003</v>
      </c>
      <c r="P35" s="27">
        <v>8273.4010999999991</v>
      </c>
      <c r="Q35" s="27">
        <v>8551.0051000000003</v>
      </c>
      <c r="R35" s="27">
        <v>8795.5200999999997</v>
      </c>
      <c r="S35" s="27">
        <v>9004.0542000000005</v>
      </c>
      <c r="T35" s="27">
        <v>9172.3104000000003</v>
      </c>
      <c r="U35" s="27">
        <v>9297.5</v>
      </c>
      <c r="V35" s="27">
        <v>9380.9207999999999</v>
      </c>
      <c r="W35" s="27">
        <v>9427.6491999999998</v>
      </c>
      <c r="X35" s="27">
        <v>9442.8467000000001</v>
      </c>
      <c r="Y35" s="27">
        <v>9427.5655999999999</v>
      </c>
      <c r="Z35" s="27">
        <v>9383.0054999999993</v>
      </c>
      <c r="AA35" s="27">
        <v>9312.1394</v>
      </c>
      <c r="AB35" s="27">
        <v>9220.2795000000006</v>
      </c>
      <c r="AC35" s="27">
        <v>9112.0365000000002</v>
      </c>
      <c r="AD35" s="27">
        <v>8990.6330999999991</v>
      </c>
    </row>
    <row r="36" spans="1:30">
      <c r="A36" s="27" t="s">
        <v>247</v>
      </c>
      <c r="B36" s="27" t="s">
        <v>248</v>
      </c>
      <c r="C36" s="27" t="s">
        <v>198</v>
      </c>
      <c r="D36" s="27" t="s">
        <v>199</v>
      </c>
      <c r="E36" s="27" t="s">
        <v>92</v>
      </c>
      <c r="F36" s="27">
        <v>6127.69921875</v>
      </c>
      <c r="G36" s="27">
        <v>6514.09619140625</v>
      </c>
      <c r="H36" s="27">
        <v>6916.18310546875</v>
      </c>
      <c r="I36" s="27" t="s">
        <v>200</v>
      </c>
      <c r="J36" s="27">
        <v>7611.72021484375</v>
      </c>
      <c r="K36" s="27" t="s">
        <v>200</v>
      </c>
      <c r="L36" s="27" t="s">
        <v>200</v>
      </c>
      <c r="M36" s="27" t="s">
        <v>200</v>
      </c>
      <c r="N36" s="27" t="s">
        <v>200</v>
      </c>
      <c r="O36" s="27" t="s">
        <v>200</v>
      </c>
      <c r="P36" s="27">
        <v>8261.5732421875</v>
      </c>
      <c r="Q36" s="27" t="s">
        <v>200</v>
      </c>
      <c r="R36" s="27">
        <v>8784.689453125</v>
      </c>
      <c r="S36" s="27" t="s">
        <v>200</v>
      </c>
      <c r="T36" s="27">
        <v>9162.884765625</v>
      </c>
      <c r="U36" s="27" t="s">
        <v>200</v>
      </c>
      <c r="V36" s="27">
        <v>9373.4853515625</v>
      </c>
      <c r="W36" s="27" t="s">
        <v>200</v>
      </c>
      <c r="X36" s="27">
        <v>9438.1474609375</v>
      </c>
      <c r="Y36" s="27" t="s">
        <v>200</v>
      </c>
      <c r="Z36" s="27">
        <v>9381.642578125</v>
      </c>
      <c r="AA36" s="27" t="s">
        <v>200</v>
      </c>
      <c r="AB36" s="27">
        <v>9222.6572265625</v>
      </c>
      <c r="AC36" s="27" t="s">
        <v>200</v>
      </c>
      <c r="AD36" s="27">
        <v>8996.4921875</v>
      </c>
    </row>
    <row r="37" spans="1:30">
      <c r="A37" s="27" t="s">
        <v>203</v>
      </c>
      <c r="B37" s="27" t="s">
        <v>249</v>
      </c>
      <c r="C37" s="27" t="s">
        <v>198</v>
      </c>
      <c r="D37" s="27" t="s">
        <v>199</v>
      </c>
      <c r="E37" s="27" t="s">
        <v>92</v>
      </c>
      <c r="F37" s="27" t="s">
        <v>200</v>
      </c>
      <c r="G37" s="27">
        <v>6522.9120999999996</v>
      </c>
      <c r="H37" s="27">
        <v>6935.7699000000002</v>
      </c>
      <c r="I37" s="27">
        <v>7359.7948999999999</v>
      </c>
      <c r="J37" s="27">
        <v>7714.5160999999998</v>
      </c>
      <c r="K37" s="27" t="s">
        <v>200</v>
      </c>
      <c r="L37" s="27" t="s">
        <v>200</v>
      </c>
      <c r="M37" s="27" t="s">
        <v>200</v>
      </c>
      <c r="N37" s="27" t="s">
        <v>200</v>
      </c>
      <c r="O37" s="27">
        <v>8043.7245999999996</v>
      </c>
      <c r="P37" s="27">
        <v>8341.3484000000008</v>
      </c>
      <c r="Q37" s="27">
        <v>8607.5912000000008</v>
      </c>
      <c r="R37" s="27">
        <v>8840.5871999999999</v>
      </c>
      <c r="S37" s="27">
        <v>9037.4691999999995</v>
      </c>
      <c r="T37" s="27">
        <v>9194.0269000000008</v>
      </c>
      <c r="U37" s="27">
        <v>9319.14</v>
      </c>
      <c r="V37" s="27">
        <v>9402.5894000000008</v>
      </c>
      <c r="W37" s="27" t="s">
        <v>200</v>
      </c>
      <c r="X37" s="27">
        <v>9465.4109000000008</v>
      </c>
      <c r="Y37" s="27" t="s">
        <v>200</v>
      </c>
      <c r="Z37" s="27">
        <v>9407.3359</v>
      </c>
      <c r="AA37" s="27" t="s">
        <v>200</v>
      </c>
      <c r="AB37" s="27">
        <v>9246.9953999999998</v>
      </c>
      <c r="AC37" s="27" t="s">
        <v>200</v>
      </c>
      <c r="AD37" s="27">
        <v>9019.6777000000002</v>
      </c>
    </row>
    <row r="38" spans="1:30">
      <c r="A38" s="27" t="s">
        <v>196</v>
      </c>
      <c r="B38" s="27" t="s">
        <v>250</v>
      </c>
      <c r="C38" s="27" t="s">
        <v>198</v>
      </c>
      <c r="D38" s="27" t="s">
        <v>199</v>
      </c>
      <c r="E38" s="27" t="s">
        <v>92</v>
      </c>
      <c r="F38" s="27" t="s">
        <v>200</v>
      </c>
      <c r="G38" s="27">
        <v>6522.9120999999996</v>
      </c>
      <c r="H38" s="27">
        <v>6935.7699000000002</v>
      </c>
      <c r="I38" s="27">
        <v>7359.7948999999999</v>
      </c>
      <c r="J38" s="27">
        <v>7714.5160999999998</v>
      </c>
      <c r="K38" s="27" t="s">
        <v>200</v>
      </c>
      <c r="L38" s="27" t="s">
        <v>200</v>
      </c>
      <c r="M38" s="27" t="s">
        <v>200</v>
      </c>
      <c r="N38" s="27" t="s">
        <v>200</v>
      </c>
      <c r="O38" s="27">
        <v>8043.7245999999996</v>
      </c>
      <c r="P38" s="27">
        <v>8341.3484000000008</v>
      </c>
      <c r="Q38" s="27">
        <v>8607.5912000000008</v>
      </c>
      <c r="R38" s="27">
        <v>8840.5871999999999</v>
      </c>
      <c r="S38" s="27">
        <v>9037.4691999999995</v>
      </c>
      <c r="T38" s="27">
        <v>9194.0269000000008</v>
      </c>
      <c r="U38" s="27">
        <v>9319.14</v>
      </c>
      <c r="V38" s="27">
        <v>9402.5894000000008</v>
      </c>
      <c r="W38" s="27" t="s">
        <v>200</v>
      </c>
      <c r="X38" s="27">
        <v>9465.4109000000008</v>
      </c>
      <c r="Y38" s="27" t="s">
        <v>200</v>
      </c>
      <c r="Z38" s="27">
        <v>9407.3359</v>
      </c>
      <c r="AA38" s="27" t="s">
        <v>200</v>
      </c>
      <c r="AB38" s="27">
        <v>9246.9953999999998</v>
      </c>
      <c r="AC38" s="27" t="s">
        <v>200</v>
      </c>
      <c r="AD38" s="27">
        <v>9019.6777000000002</v>
      </c>
    </row>
    <row r="39" spans="1:30">
      <c r="A39" s="27" t="s">
        <v>203</v>
      </c>
      <c r="B39" s="27" t="s">
        <v>251</v>
      </c>
      <c r="C39" s="27" t="s">
        <v>198</v>
      </c>
      <c r="D39" s="27" t="s">
        <v>199</v>
      </c>
      <c r="E39" s="27" t="s">
        <v>92</v>
      </c>
      <c r="F39" s="27" t="s">
        <v>200</v>
      </c>
      <c r="G39" s="27">
        <v>6522.9120999999996</v>
      </c>
      <c r="H39" s="27">
        <v>6935.7699000000002</v>
      </c>
      <c r="I39" s="27">
        <v>7359.7948999999999</v>
      </c>
      <c r="J39" s="27">
        <v>7714.5160999999998</v>
      </c>
      <c r="K39" s="27" t="s">
        <v>200</v>
      </c>
      <c r="L39" s="27" t="s">
        <v>200</v>
      </c>
      <c r="M39" s="27" t="s">
        <v>200</v>
      </c>
      <c r="N39" s="27" t="s">
        <v>200</v>
      </c>
      <c r="O39" s="27">
        <v>8043.7245999999996</v>
      </c>
      <c r="P39" s="27">
        <v>8341.3484000000008</v>
      </c>
      <c r="Q39" s="27">
        <v>8607.5912000000008</v>
      </c>
      <c r="R39" s="27">
        <v>8840.5871999999999</v>
      </c>
      <c r="S39" s="27">
        <v>9037.4691999999995</v>
      </c>
      <c r="T39" s="27">
        <v>9194.0269000000008</v>
      </c>
      <c r="U39" s="27">
        <v>9319.14</v>
      </c>
      <c r="V39" s="27">
        <v>9402.5894000000008</v>
      </c>
      <c r="W39" s="27" t="s">
        <v>200</v>
      </c>
      <c r="X39" s="27">
        <v>9465.4109000000008</v>
      </c>
      <c r="Y39" s="27" t="s">
        <v>200</v>
      </c>
      <c r="Z39" s="27">
        <v>9407.3359</v>
      </c>
      <c r="AA39" s="27" t="s">
        <v>200</v>
      </c>
      <c r="AB39" s="27">
        <v>9246.9953999999998</v>
      </c>
      <c r="AC39" s="27" t="s">
        <v>200</v>
      </c>
      <c r="AD39" s="27">
        <v>9019.6777000000002</v>
      </c>
    </row>
    <row r="40" spans="1:30">
      <c r="A40" s="27" t="s">
        <v>205</v>
      </c>
      <c r="B40" s="27" t="s">
        <v>252</v>
      </c>
      <c r="C40" s="27" t="s">
        <v>198</v>
      </c>
      <c r="D40" s="27" t="s">
        <v>199</v>
      </c>
      <c r="E40" s="27" t="s">
        <v>92</v>
      </c>
      <c r="F40" s="27" t="s">
        <v>200</v>
      </c>
      <c r="G40" s="27">
        <v>6541.35</v>
      </c>
      <c r="H40" s="27">
        <v>6957.32</v>
      </c>
      <c r="I40" s="27">
        <v>7382.13</v>
      </c>
      <c r="J40" s="27">
        <v>7794.57</v>
      </c>
      <c r="K40" s="27" t="s">
        <v>200</v>
      </c>
      <c r="L40" s="27" t="s">
        <v>200</v>
      </c>
      <c r="M40" s="27" t="s">
        <v>200</v>
      </c>
      <c r="N40" s="27" t="s">
        <v>200</v>
      </c>
      <c r="O40" s="27">
        <v>8184.67</v>
      </c>
      <c r="P40" s="27">
        <v>8550.23</v>
      </c>
      <c r="Q40" s="27">
        <v>8891.7099999999991</v>
      </c>
      <c r="R40" s="27">
        <v>9209.32</v>
      </c>
      <c r="S40" s="27">
        <v>9503.18</v>
      </c>
      <c r="T40" s="27">
        <v>9770.7900000000009</v>
      </c>
      <c r="U40" s="27">
        <v>10010.1</v>
      </c>
      <c r="V40" s="27">
        <v>10221.6</v>
      </c>
      <c r="W40" s="27">
        <v>10408.799999999999</v>
      </c>
      <c r="X40" s="27">
        <v>10574.8</v>
      </c>
      <c r="Y40" s="27">
        <v>10721</v>
      </c>
      <c r="Z40" s="27">
        <v>10847.7</v>
      </c>
      <c r="AA40" s="27">
        <v>10956.6</v>
      </c>
      <c r="AB40" s="27">
        <v>11049.1</v>
      </c>
      <c r="AC40" s="27">
        <v>11125.1</v>
      </c>
      <c r="AD40" s="27">
        <v>11183.4</v>
      </c>
    </row>
    <row r="41" spans="1:30">
      <c r="A41" s="27" t="s">
        <v>205</v>
      </c>
      <c r="B41" s="27" t="s">
        <v>253</v>
      </c>
      <c r="C41" s="27" t="s">
        <v>198</v>
      </c>
      <c r="D41" s="27" t="s">
        <v>199</v>
      </c>
      <c r="E41" s="27" t="s">
        <v>92</v>
      </c>
      <c r="F41" s="27" t="s">
        <v>200</v>
      </c>
      <c r="G41" s="27">
        <v>6541.35</v>
      </c>
      <c r="H41" s="27">
        <v>6957.32</v>
      </c>
      <c r="I41" s="27">
        <v>7382.13</v>
      </c>
      <c r="J41" s="27">
        <v>7794.57</v>
      </c>
      <c r="K41" s="27" t="s">
        <v>200</v>
      </c>
      <c r="L41" s="27" t="s">
        <v>200</v>
      </c>
      <c r="M41" s="27" t="s">
        <v>200</v>
      </c>
      <c r="N41" s="27" t="s">
        <v>200</v>
      </c>
      <c r="O41" s="27">
        <v>8184.67</v>
      </c>
      <c r="P41" s="27">
        <v>8550.23</v>
      </c>
      <c r="Q41" s="27">
        <v>8891.7099999999991</v>
      </c>
      <c r="R41" s="27">
        <v>9209.32</v>
      </c>
      <c r="S41" s="27">
        <v>9503.18</v>
      </c>
      <c r="T41" s="27">
        <v>9770.7900000000009</v>
      </c>
      <c r="U41" s="27">
        <v>10010.1</v>
      </c>
      <c r="V41" s="27">
        <v>10221.6</v>
      </c>
      <c r="W41" s="27">
        <v>10408.799999999999</v>
      </c>
      <c r="X41" s="27">
        <v>10574.8</v>
      </c>
      <c r="Y41" s="27">
        <v>10721</v>
      </c>
      <c r="Z41" s="27">
        <v>10847.7</v>
      </c>
      <c r="AA41" s="27">
        <v>10956.6</v>
      </c>
      <c r="AB41" s="27">
        <v>11049.1</v>
      </c>
      <c r="AC41" s="27">
        <v>11125.1</v>
      </c>
      <c r="AD41" s="27">
        <v>11183.4</v>
      </c>
    </row>
    <row r="42" spans="1:30">
      <c r="A42" s="27" t="s">
        <v>216</v>
      </c>
      <c r="B42" s="27" t="s">
        <v>254</v>
      </c>
      <c r="C42" s="27" t="s">
        <v>198</v>
      </c>
      <c r="D42" s="27" t="s">
        <v>199</v>
      </c>
      <c r="E42" s="27" t="s">
        <v>92</v>
      </c>
      <c r="F42" s="27">
        <v>6119.4199905395499</v>
      </c>
      <c r="G42" s="27">
        <v>6503.1299362182599</v>
      </c>
      <c r="H42" s="27">
        <v>6867.3900375366202</v>
      </c>
      <c r="I42" s="27">
        <v>7239.32</v>
      </c>
      <c r="J42" s="27">
        <v>7611.25</v>
      </c>
      <c r="K42" s="27">
        <v>7676.3239999999996</v>
      </c>
      <c r="L42" s="27">
        <v>7741.3980000000001</v>
      </c>
      <c r="M42" s="27">
        <v>7806.4719999999998</v>
      </c>
      <c r="N42" s="27">
        <v>7871.5460000000003</v>
      </c>
      <c r="O42" s="27">
        <v>7936.62</v>
      </c>
      <c r="P42" s="27">
        <v>8261.99</v>
      </c>
      <c r="Q42" s="27">
        <v>8524.5550000000003</v>
      </c>
      <c r="R42" s="27">
        <v>8787.1200000000008</v>
      </c>
      <c r="S42" s="27">
        <v>8978.1149999999998</v>
      </c>
      <c r="T42" s="27">
        <v>9169.11</v>
      </c>
      <c r="U42" s="27">
        <v>9276.9050000000007</v>
      </c>
      <c r="V42" s="27">
        <v>9384.7000000000007</v>
      </c>
      <c r="W42" s="27" t="s">
        <v>200</v>
      </c>
      <c r="X42" s="27">
        <v>9456.8799999999992</v>
      </c>
      <c r="Y42" s="27" t="s">
        <v>200</v>
      </c>
      <c r="Z42" s="27">
        <v>9407.26</v>
      </c>
      <c r="AA42" s="27" t="s">
        <v>200</v>
      </c>
      <c r="AB42" s="27">
        <v>9253.9500000000007</v>
      </c>
      <c r="AC42" s="27" t="s">
        <v>200</v>
      </c>
      <c r="AD42" s="27">
        <v>9032.42</v>
      </c>
    </row>
    <row r="43" spans="1:30">
      <c r="A43" s="27" t="s">
        <v>255</v>
      </c>
      <c r="B43" s="27" t="s">
        <v>256</v>
      </c>
      <c r="C43" s="27" t="s">
        <v>198</v>
      </c>
      <c r="D43" s="27" t="s">
        <v>199</v>
      </c>
      <c r="E43" s="27" t="s">
        <v>92</v>
      </c>
      <c r="F43" s="27" t="s">
        <v>200</v>
      </c>
      <c r="G43" s="27">
        <v>6519.6169999999993</v>
      </c>
      <c r="H43" s="27">
        <v>6930.1139999999996</v>
      </c>
      <c r="I43" s="27">
        <v>7352.1629999999996</v>
      </c>
      <c r="J43" s="27">
        <v>7762.174</v>
      </c>
      <c r="K43" s="27" t="s">
        <v>200</v>
      </c>
      <c r="L43" s="27" t="s">
        <v>200</v>
      </c>
      <c r="M43" s="27" t="s">
        <v>200</v>
      </c>
      <c r="N43" s="27" t="s">
        <v>200</v>
      </c>
      <c r="O43" s="27">
        <v>8147.5869999999986</v>
      </c>
      <c r="P43" s="27">
        <v>8509.4449999999997</v>
      </c>
      <c r="Q43" s="27">
        <v>8851.2870000000003</v>
      </c>
      <c r="R43" s="27">
        <v>9173.93</v>
      </c>
      <c r="S43" s="27">
        <v>9474.89</v>
      </c>
      <c r="T43" s="27">
        <v>9750.0419999999995</v>
      </c>
      <c r="U43" s="27">
        <v>9997.3940000000002</v>
      </c>
      <c r="V43" s="27">
        <v>10216.471</v>
      </c>
      <c r="W43" s="27">
        <v>10407.837</v>
      </c>
      <c r="X43" s="27">
        <v>10580.054</v>
      </c>
      <c r="Y43" s="27">
        <v>10733.665000000001</v>
      </c>
      <c r="Z43" s="27">
        <v>10868.609</v>
      </c>
      <c r="AA43" s="27">
        <v>10985.482</v>
      </c>
      <c r="AB43" s="27">
        <v>11087.241</v>
      </c>
      <c r="AC43" s="27">
        <v>11174.48</v>
      </c>
      <c r="AD43" s="27">
        <v>11245.415000000001</v>
      </c>
    </row>
    <row r="44" spans="1:30">
      <c r="A44" s="27" t="s">
        <v>257</v>
      </c>
      <c r="B44" s="27" t="s">
        <v>197</v>
      </c>
      <c r="C44" s="27" t="s">
        <v>198</v>
      </c>
      <c r="D44" s="27" t="s">
        <v>199</v>
      </c>
      <c r="E44" s="27" t="s">
        <v>92</v>
      </c>
      <c r="F44" s="27" t="s">
        <v>200</v>
      </c>
      <c r="G44" s="27" t="s">
        <v>200</v>
      </c>
      <c r="H44" s="27">
        <v>6892.0598</v>
      </c>
      <c r="I44" s="27">
        <v>7298.8706000000002</v>
      </c>
      <c r="J44" s="27">
        <v>7663.0414000000001</v>
      </c>
      <c r="K44" s="27" t="s">
        <v>200</v>
      </c>
      <c r="L44" s="27" t="s">
        <v>200</v>
      </c>
      <c r="M44" s="27" t="s">
        <v>200</v>
      </c>
      <c r="N44" s="27" t="s">
        <v>200</v>
      </c>
      <c r="O44" s="27">
        <v>8000.9169000000002</v>
      </c>
      <c r="P44" s="27">
        <v>8306.4889000000003</v>
      </c>
      <c r="Q44" s="27">
        <v>8580.1663000000008</v>
      </c>
      <c r="R44" s="27">
        <v>8820.2674999999999</v>
      </c>
      <c r="S44" s="27">
        <v>9024.0563999999995</v>
      </c>
      <c r="T44" s="27">
        <v>9187.3955000000005</v>
      </c>
      <c r="U44" s="27">
        <v>9307.6237000000001</v>
      </c>
      <c r="V44" s="27">
        <v>9386.2108000000007</v>
      </c>
      <c r="W44" s="27">
        <v>9428.6015000000007</v>
      </c>
      <c r="X44" s="27">
        <v>9439.9757000000009</v>
      </c>
      <c r="Y44" s="27">
        <v>9421.4786000000004</v>
      </c>
      <c r="Z44" s="27">
        <v>9374.2906999999996</v>
      </c>
      <c r="AA44" s="27">
        <v>9301.4783000000007</v>
      </c>
      <c r="AB44" s="27">
        <v>9208.3801000000003</v>
      </c>
      <c r="AC44" s="27">
        <v>9099.5921999999991</v>
      </c>
      <c r="AD44" s="27">
        <v>8978.2168000000001</v>
      </c>
    </row>
    <row r="45" spans="1:30">
      <c r="A45" s="27" t="s">
        <v>196</v>
      </c>
      <c r="B45" s="27" t="s">
        <v>258</v>
      </c>
      <c r="C45" s="27" t="s">
        <v>198</v>
      </c>
      <c r="D45" s="27" t="s">
        <v>199</v>
      </c>
      <c r="E45" s="27" t="s">
        <v>92</v>
      </c>
      <c r="F45" s="27" t="s">
        <v>200</v>
      </c>
      <c r="G45" s="27">
        <v>6522.9120999999996</v>
      </c>
      <c r="H45" s="27">
        <v>6935.7699000000002</v>
      </c>
      <c r="I45" s="27">
        <v>7359.7948999999999</v>
      </c>
      <c r="J45" s="27">
        <v>7714.5160999999998</v>
      </c>
      <c r="K45" s="27" t="s">
        <v>200</v>
      </c>
      <c r="L45" s="27" t="s">
        <v>200</v>
      </c>
      <c r="M45" s="27" t="s">
        <v>200</v>
      </c>
      <c r="N45" s="27" t="s">
        <v>200</v>
      </c>
      <c r="O45" s="27">
        <v>8043.7245999999996</v>
      </c>
      <c r="P45" s="27">
        <v>8341.3484000000008</v>
      </c>
      <c r="Q45" s="27">
        <v>8607.5912000000008</v>
      </c>
      <c r="R45" s="27">
        <v>8840.5871999999999</v>
      </c>
      <c r="S45" s="27">
        <v>9037.4691999999995</v>
      </c>
      <c r="T45" s="27">
        <v>9194.0269000000008</v>
      </c>
      <c r="U45" s="27">
        <v>9319.14</v>
      </c>
      <c r="V45" s="27">
        <v>9402.5894000000008</v>
      </c>
      <c r="W45" s="27" t="s">
        <v>200</v>
      </c>
      <c r="X45" s="27">
        <v>9465.4109000000008</v>
      </c>
      <c r="Y45" s="27" t="s">
        <v>200</v>
      </c>
      <c r="Z45" s="27">
        <v>9407.3359</v>
      </c>
      <c r="AA45" s="27" t="s">
        <v>200</v>
      </c>
      <c r="AB45" s="27">
        <v>9246.9953999999998</v>
      </c>
      <c r="AC45" s="27" t="s">
        <v>200</v>
      </c>
      <c r="AD45" s="27">
        <v>9019.6777000000002</v>
      </c>
    </row>
    <row r="46" spans="1:30">
      <c r="A46" s="27" t="s">
        <v>247</v>
      </c>
      <c r="B46" s="27" t="s">
        <v>259</v>
      </c>
      <c r="C46" s="27" t="s">
        <v>198</v>
      </c>
      <c r="D46" s="27" t="s">
        <v>199</v>
      </c>
      <c r="E46" s="27" t="s">
        <v>92</v>
      </c>
      <c r="F46" s="27">
        <v>6127.69921875</v>
      </c>
      <c r="G46" s="27">
        <v>6514.09619140625</v>
      </c>
      <c r="H46" s="27">
        <v>6916.18310546875</v>
      </c>
      <c r="I46" s="27" t="s">
        <v>200</v>
      </c>
      <c r="J46" s="27">
        <v>7611.72021484375</v>
      </c>
      <c r="K46" s="27" t="s">
        <v>200</v>
      </c>
      <c r="L46" s="27" t="s">
        <v>200</v>
      </c>
      <c r="M46" s="27" t="s">
        <v>200</v>
      </c>
      <c r="N46" s="27" t="s">
        <v>200</v>
      </c>
      <c r="O46" s="27" t="s">
        <v>200</v>
      </c>
      <c r="P46" s="27">
        <v>8261.5732421875</v>
      </c>
      <c r="Q46" s="27" t="s">
        <v>200</v>
      </c>
      <c r="R46" s="27">
        <v>8784.689453125</v>
      </c>
      <c r="S46" s="27" t="s">
        <v>200</v>
      </c>
      <c r="T46" s="27">
        <v>9162.884765625</v>
      </c>
      <c r="U46" s="27" t="s">
        <v>200</v>
      </c>
      <c r="V46" s="27">
        <v>9373.4853515625</v>
      </c>
      <c r="W46" s="27" t="s">
        <v>200</v>
      </c>
      <c r="X46" s="27">
        <v>9438.1474609375</v>
      </c>
      <c r="Y46" s="27" t="s">
        <v>200</v>
      </c>
      <c r="Z46" s="27">
        <v>9381.642578125</v>
      </c>
      <c r="AA46" s="27" t="s">
        <v>200</v>
      </c>
      <c r="AB46" s="27">
        <v>9222.6572265625</v>
      </c>
      <c r="AC46" s="27" t="s">
        <v>200</v>
      </c>
      <c r="AD46" s="27">
        <v>8996.4921875</v>
      </c>
    </row>
    <row r="47" spans="1:30">
      <c r="A47" s="27" t="s">
        <v>233</v>
      </c>
      <c r="B47" s="27" t="s">
        <v>260</v>
      </c>
      <c r="C47" s="27" t="s">
        <v>198</v>
      </c>
      <c r="D47" s="27" t="s">
        <v>199</v>
      </c>
      <c r="E47" s="27" t="s">
        <v>92</v>
      </c>
      <c r="F47" s="27" t="s">
        <v>200</v>
      </c>
      <c r="G47" s="27" t="s">
        <v>200</v>
      </c>
      <c r="H47" s="27">
        <v>6871.7587843000001</v>
      </c>
      <c r="I47" s="27">
        <v>7285.2946683999999</v>
      </c>
      <c r="J47" s="27">
        <v>7656.4177418135077</v>
      </c>
      <c r="K47" s="27" t="s">
        <v>200</v>
      </c>
      <c r="L47" s="27" t="s">
        <v>200</v>
      </c>
      <c r="M47" s="27" t="s">
        <v>200</v>
      </c>
      <c r="N47" s="27" t="s">
        <v>200</v>
      </c>
      <c r="O47" s="27">
        <v>8002.2694610545932</v>
      </c>
      <c r="P47" s="27">
        <v>8316.7857534488812</v>
      </c>
      <c r="Q47" s="27">
        <v>8600.4017416814913</v>
      </c>
      <c r="R47" s="27">
        <v>8851.4768697682139</v>
      </c>
      <c r="S47" s="27">
        <v>9066.9891571428525</v>
      </c>
      <c r="T47" s="27">
        <v>9242.4535367683566</v>
      </c>
      <c r="U47" s="27">
        <v>9374.8141058708206</v>
      </c>
      <c r="V47" s="27">
        <v>9465.5539970501031</v>
      </c>
      <c r="W47" s="27">
        <v>9520.5585375843712</v>
      </c>
      <c r="X47" s="27">
        <v>9543.7345808569353</v>
      </c>
      <c r="Y47" s="27">
        <v>9535.986024638356</v>
      </c>
      <c r="Z47" s="27">
        <v>9498.5052712829729</v>
      </c>
      <c r="AA47" s="27">
        <v>9434.0882580191646</v>
      </c>
      <c r="AB47" s="27">
        <v>9348.0315114173845</v>
      </c>
      <c r="AC47" s="27">
        <v>9244.9020231836694</v>
      </c>
      <c r="AD47" s="27">
        <v>9127.9378844023577</v>
      </c>
    </row>
    <row r="48" spans="1:30">
      <c r="A48" s="27" t="s">
        <v>261</v>
      </c>
      <c r="B48" s="27" t="s">
        <v>262</v>
      </c>
      <c r="C48" s="27" t="s">
        <v>198</v>
      </c>
      <c r="D48" s="27" t="s">
        <v>199</v>
      </c>
      <c r="E48" s="27" t="s">
        <v>92</v>
      </c>
      <c r="F48" s="27" t="s">
        <v>200</v>
      </c>
      <c r="G48" s="27">
        <v>6541.73681640625</v>
      </c>
      <c r="H48" s="27">
        <v>6957.7060546875</v>
      </c>
      <c r="I48" s="27">
        <v>7382.4990234375</v>
      </c>
      <c r="J48" s="27">
        <v>7756.7080078125</v>
      </c>
      <c r="K48" s="27" t="s">
        <v>200</v>
      </c>
      <c r="L48" s="27" t="s">
        <v>200</v>
      </c>
      <c r="M48" s="27" t="s">
        <v>200</v>
      </c>
      <c r="N48" s="27" t="s">
        <v>200</v>
      </c>
      <c r="O48" s="27">
        <v>8105.07421875</v>
      </c>
      <c r="P48" s="27">
        <v>8421.4912109375</v>
      </c>
      <c r="Q48" s="27">
        <v>8706.3720703125</v>
      </c>
      <c r="R48" s="27">
        <v>8958.1103515625</v>
      </c>
      <c r="S48" s="27">
        <v>9173.7060546875</v>
      </c>
      <c r="T48" s="27">
        <v>9348.6796875</v>
      </c>
      <c r="U48" s="27">
        <v>9480.0478515625</v>
      </c>
      <c r="V48" s="27">
        <v>9569.134765625</v>
      </c>
      <c r="W48" s="27">
        <v>9621.3115234375</v>
      </c>
      <c r="X48" s="27">
        <v>9641.6494140625</v>
      </c>
      <c r="Y48" s="27">
        <v>9631.0654296875</v>
      </c>
      <c r="Z48" s="27">
        <v>9590.7734375</v>
      </c>
      <c r="AA48" s="27">
        <v>9523.6240234375</v>
      </c>
      <c r="AB48" s="27">
        <v>9435.03125</v>
      </c>
      <c r="AC48" s="27">
        <v>9329.603515625</v>
      </c>
      <c r="AD48" s="27">
        <v>9210.525390625</v>
      </c>
    </row>
    <row r="49" spans="1:30">
      <c r="A49" s="27" t="s">
        <v>218</v>
      </c>
      <c r="B49" s="27" t="s">
        <v>263</v>
      </c>
      <c r="C49" s="27" t="s">
        <v>198</v>
      </c>
      <c r="D49" s="27" t="s">
        <v>199</v>
      </c>
      <c r="E49" s="27" t="s">
        <v>92</v>
      </c>
      <c r="F49" s="27" t="s">
        <v>200</v>
      </c>
      <c r="G49" s="27">
        <v>6465.5870000000004</v>
      </c>
      <c r="H49" s="27">
        <v>6858.4391999999998</v>
      </c>
      <c r="I49" s="27">
        <v>7248.0137000000004</v>
      </c>
      <c r="J49" s="27">
        <v>7637.5883000000003</v>
      </c>
      <c r="K49" s="27" t="s">
        <v>200</v>
      </c>
      <c r="L49" s="27" t="s">
        <v>200</v>
      </c>
      <c r="M49" s="27" t="s">
        <v>200</v>
      </c>
      <c r="N49" s="27" t="s">
        <v>200</v>
      </c>
      <c r="O49" s="27">
        <v>7978.3739999999998</v>
      </c>
      <c r="P49" s="27">
        <v>8287.5740000000005</v>
      </c>
      <c r="Q49" s="27">
        <v>8565.3940000000002</v>
      </c>
      <c r="R49" s="27">
        <v>8809.9669999999987</v>
      </c>
      <c r="S49" s="27">
        <v>9018.4259999999995</v>
      </c>
      <c r="T49" s="27">
        <v>9186.5609999999997</v>
      </c>
      <c r="U49" s="27">
        <v>9311.6740000000009</v>
      </c>
      <c r="V49" s="27">
        <v>9395.1229999999996</v>
      </c>
      <c r="W49" s="27" t="s">
        <v>200</v>
      </c>
      <c r="X49" s="27">
        <v>9457.9449999999997</v>
      </c>
      <c r="Y49" s="27" t="s">
        <v>200</v>
      </c>
      <c r="Z49" s="27">
        <v>9399.8700000000008</v>
      </c>
      <c r="AA49" s="27" t="s">
        <v>200</v>
      </c>
      <c r="AB49" s="27">
        <v>9239.5290000000005</v>
      </c>
      <c r="AC49" s="27" t="s">
        <v>200</v>
      </c>
      <c r="AD49" s="27">
        <v>9012.2119999999995</v>
      </c>
    </row>
    <row r="50" spans="1:30">
      <c r="A50" s="27" t="s">
        <v>196</v>
      </c>
      <c r="B50" s="27" t="s">
        <v>264</v>
      </c>
      <c r="C50" s="27" t="s">
        <v>198</v>
      </c>
      <c r="D50" s="27" t="s">
        <v>199</v>
      </c>
      <c r="E50" s="27" t="s">
        <v>92</v>
      </c>
      <c r="F50" s="27" t="s">
        <v>200</v>
      </c>
      <c r="G50" s="27">
        <v>6522.9120999999996</v>
      </c>
      <c r="H50" s="27">
        <v>6935.7699000000002</v>
      </c>
      <c r="I50" s="27">
        <v>7359.7948999999999</v>
      </c>
      <c r="J50" s="27">
        <v>7650.3382000000001</v>
      </c>
      <c r="K50" s="27" t="s">
        <v>200</v>
      </c>
      <c r="L50" s="27" t="s">
        <v>200</v>
      </c>
      <c r="M50" s="27" t="s">
        <v>200</v>
      </c>
      <c r="N50" s="27" t="s">
        <v>200</v>
      </c>
      <c r="O50" s="27">
        <v>7898.8882000000003</v>
      </c>
      <c r="P50" s="27">
        <v>8098.1893</v>
      </c>
      <c r="Q50" s="27">
        <v>8262.9437999999991</v>
      </c>
      <c r="R50" s="27">
        <v>8385.991</v>
      </c>
      <c r="S50" s="27">
        <v>8461.9186000000009</v>
      </c>
      <c r="T50" s="27">
        <v>8488.1080000000002</v>
      </c>
      <c r="U50" s="27">
        <v>8486.6051000000007</v>
      </c>
      <c r="V50" s="27">
        <v>8443.6471999999994</v>
      </c>
      <c r="W50" s="27" t="s">
        <v>200</v>
      </c>
      <c r="X50" s="27">
        <v>8245.4770000000008</v>
      </c>
      <c r="Y50" s="27" t="s">
        <v>200</v>
      </c>
      <c r="Z50" s="27">
        <v>7910.7484000000004</v>
      </c>
      <c r="AA50" s="27" t="s">
        <v>200</v>
      </c>
      <c r="AB50" s="27">
        <v>7452.2299000000003</v>
      </c>
      <c r="AC50" s="27" t="s">
        <v>200</v>
      </c>
      <c r="AD50" s="27">
        <v>6899.3576999999996</v>
      </c>
    </row>
    <row r="51" spans="1:30">
      <c r="A51" s="27" t="s">
        <v>218</v>
      </c>
      <c r="B51" s="27" t="s">
        <v>265</v>
      </c>
      <c r="C51" s="27" t="s">
        <v>198</v>
      </c>
      <c r="D51" s="27" t="s">
        <v>199</v>
      </c>
      <c r="E51" s="27" t="s">
        <v>92</v>
      </c>
      <c r="F51" s="27" t="s">
        <v>200</v>
      </c>
      <c r="G51" s="27">
        <v>6465.5870000000004</v>
      </c>
      <c r="H51" s="27">
        <v>6858.4391999999998</v>
      </c>
      <c r="I51" s="27">
        <v>7248.0137000000004</v>
      </c>
      <c r="J51" s="27">
        <v>7637.5883000000003</v>
      </c>
      <c r="K51" s="27" t="s">
        <v>200</v>
      </c>
      <c r="L51" s="27" t="s">
        <v>200</v>
      </c>
      <c r="M51" s="27" t="s">
        <v>200</v>
      </c>
      <c r="N51" s="27" t="s">
        <v>200</v>
      </c>
      <c r="O51" s="27">
        <v>7978.3739999999998</v>
      </c>
      <c r="P51" s="27">
        <v>8287.5740000000005</v>
      </c>
      <c r="Q51" s="27">
        <v>8565.3940000000002</v>
      </c>
      <c r="R51" s="27">
        <v>8809.9669999999987</v>
      </c>
      <c r="S51" s="27">
        <v>9018.4259999999995</v>
      </c>
      <c r="T51" s="27">
        <v>9186.5609999999997</v>
      </c>
      <c r="U51" s="27">
        <v>9311.6740000000009</v>
      </c>
      <c r="V51" s="27">
        <v>9395.1229999999996</v>
      </c>
      <c r="W51" s="27" t="s">
        <v>200</v>
      </c>
      <c r="X51" s="27">
        <v>9457.9449999999997</v>
      </c>
      <c r="Y51" s="27" t="s">
        <v>200</v>
      </c>
      <c r="Z51" s="27">
        <v>9399.8700000000008</v>
      </c>
      <c r="AA51" s="27" t="s">
        <v>200</v>
      </c>
      <c r="AB51" s="27">
        <v>9239.5290000000005</v>
      </c>
      <c r="AC51" s="27" t="s">
        <v>200</v>
      </c>
      <c r="AD51" s="27">
        <v>9012.2119999999995</v>
      </c>
    </row>
    <row r="52" spans="1:30">
      <c r="A52" s="27" t="s">
        <v>226</v>
      </c>
      <c r="B52" s="27" t="s">
        <v>243</v>
      </c>
      <c r="C52" s="27" t="s">
        <v>198</v>
      </c>
      <c r="D52" s="27" t="s">
        <v>199</v>
      </c>
      <c r="E52" s="27" t="s">
        <v>92</v>
      </c>
      <c r="F52" s="27" t="s">
        <v>200</v>
      </c>
      <c r="G52" s="27">
        <v>6465.5870000000004</v>
      </c>
      <c r="H52" s="27">
        <v>6858.4391999999998</v>
      </c>
      <c r="I52" s="27">
        <v>7248.0137000000004</v>
      </c>
      <c r="J52" s="27">
        <v>7637.5883000000003</v>
      </c>
      <c r="K52" s="27" t="s">
        <v>200</v>
      </c>
      <c r="L52" s="27" t="s">
        <v>200</v>
      </c>
      <c r="M52" s="27" t="s">
        <v>200</v>
      </c>
      <c r="N52" s="27" t="s">
        <v>200</v>
      </c>
      <c r="O52" s="27">
        <v>7978.3739999999998</v>
      </c>
      <c r="P52" s="27">
        <v>8287.5740000000005</v>
      </c>
      <c r="Q52" s="27">
        <v>8565.3940000000002</v>
      </c>
      <c r="R52" s="27">
        <v>8809.9669999999987</v>
      </c>
      <c r="S52" s="27">
        <v>9018.4259999999995</v>
      </c>
      <c r="T52" s="27">
        <v>9186.5609999999997</v>
      </c>
      <c r="U52" s="27">
        <v>9311.6740000000009</v>
      </c>
      <c r="V52" s="27">
        <v>9395.1229999999996</v>
      </c>
      <c r="W52" s="27" t="s">
        <v>200</v>
      </c>
      <c r="X52" s="27">
        <v>9457.9449999999997</v>
      </c>
      <c r="Y52" s="27" t="s">
        <v>200</v>
      </c>
      <c r="Z52" s="27">
        <v>9399.8700000000008</v>
      </c>
      <c r="AA52" s="27" t="s">
        <v>200</v>
      </c>
      <c r="AB52" s="27">
        <v>9239.5290000000005</v>
      </c>
      <c r="AC52" s="27" t="s">
        <v>200</v>
      </c>
      <c r="AD52" s="27">
        <v>9012.2119999999995</v>
      </c>
    </row>
    <row r="53" spans="1:30">
      <c r="A53" s="27" t="s">
        <v>231</v>
      </c>
      <c r="B53" s="27" t="s">
        <v>266</v>
      </c>
      <c r="C53" s="27" t="s">
        <v>198</v>
      </c>
      <c r="D53" s="27" t="s">
        <v>199</v>
      </c>
      <c r="E53" s="27" t="s">
        <v>92</v>
      </c>
      <c r="F53" s="27" t="s">
        <v>200</v>
      </c>
      <c r="G53" s="27">
        <v>6534.3140000000003</v>
      </c>
      <c r="H53" s="27">
        <v>6947.2520000000004</v>
      </c>
      <c r="I53" s="27">
        <v>7369.2950000000001</v>
      </c>
      <c r="J53" s="27">
        <v>7739.7430000000004</v>
      </c>
      <c r="K53" s="27" t="s">
        <v>200</v>
      </c>
      <c r="L53" s="27" t="s">
        <v>200</v>
      </c>
      <c r="M53" s="27" t="s">
        <v>200</v>
      </c>
      <c r="N53" s="27" t="s">
        <v>200</v>
      </c>
      <c r="O53" s="27">
        <v>8084.34</v>
      </c>
      <c r="P53" s="27">
        <v>8396.8809999999994</v>
      </c>
      <c r="Q53" s="27">
        <v>8677.6080000000002</v>
      </c>
      <c r="R53" s="27">
        <v>8924.7489999999998</v>
      </c>
      <c r="S53" s="27">
        <v>9135.4439999999995</v>
      </c>
      <c r="T53" s="27">
        <v>9305.4490000000005</v>
      </c>
      <c r="U53" s="27">
        <v>9431.9330000000009</v>
      </c>
      <c r="V53" s="27">
        <v>9516.32</v>
      </c>
      <c r="W53" s="27">
        <v>9563.8909999999996</v>
      </c>
      <c r="X53" s="27">
        <v>9579.8160000000007</v>
      </c>
      <c r="Y53" s="27">
        <v>9565.1270000000004</v>
      </c>
      <c r="Z53" s="27">
        <v>9521.116</v>
      </c>
      <c r="AA53" s="27">
        <v>9450.7749999999996</v>
      </c>
      <c r="AB53" s="27">
        <v>9359.357</v>
      </c>
      <c r="AC53" s="27">
        <v>9251.4249999999993</v>
      </c>
      <c r="AD53" s="27">
        <v>9130.1890000000003</v>
      </c>
    </row>
    <row r="54" spans="1:30">
      <c r="A54" s="27" t="s">
        <v>233</v>
      </c>
      <c r="B54" s="27" t="s">
        <v>267</v>
      </c>
      <c r="C54" s="27" t="s">
        <v>198</v>
      </c>
      <c r="D54" s="27" t="s">
        <v>199</v>
      </c>
      <c r="E54" s="27" t="s">
        <v>92</v>
      </c>
      <c r="F54" s="27" t="s">
        <v>200</v>
      </c>
      <c r="G54" s="27" t="s">
        <v>200</v>
      </c>
      <c r="H54" s="27">
        <v>6871.7587843000001</v>
      </c>
      <c r="I54" s="27">
        <v>7285.2946683999999</v>
      </c>
      <c r="J54" s="27">
        <v>7656.4177418135077</v>
      </c>
      <c r="K54" s="27" t="s">
        <v>200</v>
      </c>
      <c r="L54" s="27" t="s">
        <v>200</v>
      </c>
      <c r="M54" s="27" t="s">
        <v>200</v>
      </c>
      <c r="N54" s="27" t="s">
        <v>200</v>
      </c>
      <c r="O54" s="27">
        <v>8002.2694610545932</v>
      </c>
      <c r="P54" s="27">
        <v>8316.7857534488812</v>
      </c>
      <c r="Q54" s="27">
        <v>8600.4017416814913</v>
      </c>
      <c r="R54" s="27">
        <v>8851.4768697682139</v>
      </c>
      <c r="S54" s="27">
        <v>9066.9891571428525</v>
      </c>
      <c r="T54" s="27">
        <v>9242.4535367683566</v>
      </c>
      <c r="U54" s="27">
        <v>9374.8141058708206</v>
      </c>
      <c r="V54" s="27">
        <v>9465.5539970501031</v>
      </c>
      <c r="W54" s="27">
        <v>9520.5585375843712</v>
      </c>
      <c r="X54" s="27">
        <v>9543.7345808569353</v>
      </c>
      <c r="Y54" s="27">
        <v>9535.986024638356</v>
      </c>
      <c r="Z54" s="27">
        <v>9498.5052712829729</v>
      </c>
      <c r="AA54" s="27">
        <v>9434.0882580191646</v>
      </c>
      <c r="AB54" s="27">
        <v>9348.0315114173845</v>
      </c>
      <c r="AC54" s="27">
        <v>9244.9020231836694</v>
      </c>
      <c r="AD54" s="27">
        <v>9127.9378844023577</v>
      </c>
    </row>
    <row r="55" spans="1:30">
      <c r="A55" s="27" t="s">
        <v>196</v>
      </c>
      <c r="B55" s="27" t="s">
        <v>268</v>
      </c>
      <c r="C55" s="27" t="s">
        <v>198</v>
      </c>
      <c r="D55" s="27" t="s">
        <v>199</v>
      </c>
      <c r="E55" s="27" t="s">
        <v>92</v>
      </c>
      <c r="F55" s="27" t="s">
        <v>200</v>
      </c>
      <c r="G55" s="27">
        <v>6522.9120999999996</v>
      </c>
      <c r="H55" s="27">
        <v>6935.7699000000002</v>
      </c>
      <c r="I55" s="27">
        <v>7359.7948999999999</v>
      </c>
      <c r="J55" s="27">
        <v>7714.5160999999998</v>
      </c>
      <c r="K55" s="27" t="s">
        <v>200</v>
      </c>
      <c r="L55" s="27" t="s">
        <v>200</v>
      </c>
      <c r="M55" s="27" t="s">
        <v>200</v>
      </c>
      <c r="N55" s="27" t="s">
        <v>200</v>
      </c>
      <c r="O55" s="27">
        <v>8043.7245999999996</v>
      </c>
      <c r="P55" s="27">
        <v>8341.3484000000008</v>
      </c>
      <c r="Q55" s="27">
        <v>8607.5912000000008</v>
      </c>
      <c r="R55" s="27">
        <v>8840.5871999999999</v>
      </c>
      <c r="S55" s="27">
        <v>9037.4691999999995</v>
      </c>
      <c r="T55" s="27">
        <v>9194.0269000000008</v>
      </c>
      <c r="U55" s="27">
        <v>9319.14</v>
      </c>
      <c r="V55" s="27">
        <v>9402.5894000000008</v>
      </c>
      <c r="W55" s="27" t="s">
        <v>200</v>
      </c>
      <c r="X55" s="27">
        <v>9465.4109000000008</v>
      </c>
      <c r="Y55" s="27" t="s">
        <v>200</v>
      </c>
      <c r="Z55" s="27">
        <v>9407.3359</v>
      </c>
      <c r="AA55" s="27" t="s">
        <v>200</v>
      </c>
      <c r="AB55" s="27">
        <v>9246.9953999999998</v>
      </c>
      <c r="AC55" s="27" t="s">
        <v>200</v>
      </c>
      <c r="AD55" s="27">
        <v>9019.6777000000002</v>
      </c>
    </row>
    <row r="56" spans="1:30">
      <c r="A56" s="27" t="s">
        <v>222</v>
      </c>
      <c r="B56" s="27" t="s">
        <v>269</v>
      </c>
      <c r="C56" s="27" t="s">
        <v>198</v>
      </c>
      <c r="D56" s="27" t="s">
        <v>199</v>
      </c>
      <c r="E56" s="27" t="s">
        <v>92</v>
      </c>
      <c r="F56" s="27" t="s">
        <v>200</v>
      </c>
      <c r="G56" s="27">
        <v>6522.9120999999996</v>
      </c>
      <c r="H56" s="27">
        <v>6935.7699000000002</v>
      </c>
      <c r="I56" s="27">
        <v>7359.7948999999999</v>
      </c>
      <c r="J56" s="27">
        <v>7714.5160999999998</v>
      </c>
      <c r="K56" s="27" t="s">
        <v>200</v>
      </c>
      <c r="L56" s="27" t="s">
        <v>200</v>
      </c>
      <c r="M56" s="27" t="s">
        <v>200</v>
      </c>
      <c r="N56" s="27" t="s">
        <v>200</v>
      </c>
      <c r="O56" s="27">
        <v>8043.7245999999996</v>
      </c>
      <c r="P56" s="27">
        <v>8341.3484000000008</v>
      </c>
      <c r="Q56" s="27">
        <v>8607.5912000000008</v>
      </c>
      <c r="R56" s="27">
        <v>8840.5871999999999</v>
      </c>
      <c r="S56" s="27">
        <v>9037.4691999999995</v>
      </c>
      <c r="T56" s="27">
        <v>9194.0269000000008</v>
      </c>
      <c r="U56" s="27">
        <v>9319.14</v>
      </c>
      <c r="V56" s="27">
        <v>9402.5894000000008</v>
      </c>
      <c r="W56" s="27" t="s">
        <v>200</v>
      </c>
      <c r="X56" s="27">
        <v>9465.4109000000008</v>
      </c>
      <c r="Y56" s="27" t="s">
        <v>200</v>
      </c>
      <c r="Z56" s="27">
        <v>9407.3359</v>
      </c>
      <c r="AA56" s="27" t="s">
        <v>200</v>
      </c>
      <c r="AB56" s="27">
        <v>9246.9953999999998</v>
      </c>
      <c r="AC56" s="27" t="s">
        <v>200</v>
      </c>
      <c r="AD56" s="27">
        <v>9019.6777000000002</v>
      </c>
    </row>
    <row r="57" spans="1:30">
      <c r="A57" s="27" t="s">
        <v>231</v>
      </c>
      <c r="B57" s="27" t="s">
        <v>270</v>
      </c>
      <c r="C57" s="27" t="s">
        <v>198</v>
      </c>
      <c r="D57" s="27" t="s">
        <v>199</v>
      </c>
      <c r="E57" s="27" t="s">
        <v>92</v>
      </c>
      <c r="F57" s="27" t="s">
        <v>200</v>
      </c>
      <c r="G57" s="27">
        <v>6534.3140000000003</v>
      </c>
      <c r="H57" s="27">
        <v>6947.2520000000004</v>
      </c>
      <c r="I57" s="27">
        <v>7369.2950000000001</v>
      </c>
      <c r="J57" s="27">
        <v>7739.7430000000004</v>
      </c>
      <c r="K57" s="27" t="s">
        <v>200</v>
      </c>
      <c r="L57" s="27" t="s">
        <v>200</v>
      </c>
      <c r="M57" s="27" t="s">
        <v>200</v>
      </c>
      <c r="N57" s="27" t="s">
        <v>200</v>
      </c>
      <c r="O57" s="27">
        <v>8084.34</v>
      </c>
      <c r="P57" s="27">
        <v>8396.8809999999994</v>
      </c>
      <c r="Q57" s="27">
        <v>8677.6080000000002</v>
      </c>
      <c r="R57" s="27">
        <v>8924.7489999999998</v>
      </c>
      <c r="S57" s="27">
        <v>9135.4439999999995</v>
      </c>
      <c r="T57" s="27">
        <v>9305.4490000000005</v>
      </c>
      <c r="U57" s="27">
        <v>9431.9330000000009</v>
      </c>
      <c r="V57" s="27">
        <v>9516.32</v>
      </c>
      <c r="W57" s="27">
        <v>9563.8909999999996</v>
      </c>
      <c r="X57" s="27">
        <v>9579.8160000000007</v>
      </c>
      <c r="Y57" s="27">
        <v>9565.1270000000004</v>
      </c>
      <c r="Z57" s="27">
        <v>9521.116</v>
      </c>
      <c r="AA57" s="27">
        <v>9450.7749999999996</v>
      </c>
      <c r="AB57" s="27">
        <v>9359.357</v>
      </c>
      <c r="AC57" s="27">
        <v>9251.4249999999993</v>
      </c>
      <c r="AD57" s="27">
        <v>9130.1890000000003</v>
      </c>
    </row>
    <row r="58" spans="1:30">
      <c r="A58" s="27" t="s">
        <v>231</v>
      </c>
      <c r="B58" s="27" t="s">
        <v>271</v>
      </c>
      <c r="C58" s="27" t="s">
        <v>198</v>
      </c>
      <c r="D58" s="27" t="s">
        <v>199</v>
      </c>
      <c r="E58" s="27" t="s">
        <v>92</v>
      </c>
      <c r="F58" s="27" t="s">
        <v>200</v>
      </c>
      <c r="G58" s="27">
        <v>6534.3140000000003</v>
      </c>
      <c r="H58" s="27">
        <v>6947.2520000000004</v>
      </c>
      <c r="I58" s="27">
        <v>7369.2950000000001</v>
      </c>
      <c r="J58" s="27">
        <v>7739.7430000000004</v>
      </c>
      <c r="K58" s="27" t="s">
        <v>200</v>
      </c>
      <c r="L58" s="27" t="s">
        <v>200</v>
      </c>
      <c r="M58" s="27" t="s">
        <v>200</v>
      </c>
      <c r="N58" s="27" t="s">
        <v>200</v>
      </c>
      <c r="O58" s="27">
        <v>8084.34</v>
      </c>
      <c r="P58" s="27">
        <v>8396.8809999999994</v>
      </c>
      <c r="Q58" s="27">
        <v>8677.6080000000002</v>
      </c>
      <c r="R58" s="27">
        <v>8924.7489999999998</v>
      </c>
      <c r="S58" s="27">
        <v>9135.4439999999995</v>
      </c>
      <c r="T58" s="27">
        <v>9305.4490000000005</v>
      </c>
      <c r="U58" s="27">
        <v>9431.9330000000009</v>
      </c>
      <c r="V58" s="27">
        <v>9516.32</v>
      </c>
      <c r="W58" s="27">
        <v>9563.8909999999996</v>
      </c>
      <c r="X58" s="27">
        <v>9579.8160000000007</v>
      </c>
      <c r="Y58" s="27">
        <v>9565.1270000000004</v>
      </c>
      <c r="Z58" s="27">
        <v>9521.116</v>
      </c>
      <c r="AA58" s="27">
        <v>9450.7749999999996</v>
      </c>
      <c r="AB58" s="27">
        <v>9359.357</v>
      </c>
      <c r="AC58" s="27">
        <v>9251.4249999999993</v>
      </c>
      <c r="AD58" s="27">
        <v>9130.1890000000003</v>
      </c>
    </row>
    <row r="59" spans="1:30">
      <c r="A59" s="27" t="s">
        <v>216</v>
      </c>
      <c r="B59" s="27" t="s">
        <v>272</v>
      </c>
      <c r="C59" s="27" t="s">
        <v>198</v>
      </c>
      <c r="D59" s="27" t="s">
        <v>199</v>
      </c>
      <c r="E59" s="27" t="s">
        <v>92</v>
      </c>
      <c r="F59" s="27">
        <v>6119.4199905395499</v>
      </c>
      <c r="G59" s="27">
        <v>6503.1299362182599</v>
      </c>
      <c r="H59" s="27">
        <v>6867.3900375366202</v>
      </c>
      <c r="I59" s="27">
        <v>7239.32</v>
      </c>
      <c r="J59" s="27">
        <v>7611.25</v>
      </c>
      <c r="K59" s="27">
        <v>7676.3239999999996</v>
      </c>
      <c r="L59" s="27">
        <v>7741.3980000000001</v>
      </c>
      <c r="M59" s="27">
        <v>7806.4719999999998</v>
      </c>
      <c r="N59" s="27">
        <v>7871.5460000000003</v>
      </c>
      <c r="O59" s="27">
        <v>7936.62</v>
      </c>
      <c r="P59" s="27">
        <v>8261.99</v>
      </c>
      <c r="Q59" s="27">
        <v>8524.5550000000003</v>
      </c>
      <c r="R59" s="27">
        <v>8787.1200000000008</v>
      </c>
      <c r="S59" s="27">
        <v>8978.1149999999998</v>
      </c>
      <c r="T59" s="27">
        <v>9169.11</v>
      </c>
      <c r="U59" s="27">
        <v>9276.9050000000007</v>
      </c>
      <c r="V59" s="27">
        <v>9384.7000000000007</v>
      </c>
      <c r="W59" s="27" t="s">
        <v>200</v>
      </c>
      <c r="X59" s="27">
        <v>9456.8799999999992</v>
      </c>
      <c r="Y59" s="27" t="s">
        <v>200</v>
      </c>
      <c r="Z59" s="27">
        <v>9407.26</v>
      </c>
      <c r="AA59" s="27" t="s">
        <v>200</v>
      </c>
      <c r="AB59" s="27">
        <v>9253.9500000000007</v>
      </c>
      <c r="AC59" s="27" t="s">
        <v>200</v>
      </c>
      <c r="AD59" s="27">
        <v>9032.42</v>
      </c>
    </row>
    <row r="60" spans="1:30">
      <c r="A60" s="27" t="s">
        <v>196</v>
      </c>
      <c r="B60" s="27" t="s">
        <v>273</v>
      </c>
      <c r="C60" s="27" t="s">
        <v>198</v>
      </c>
      <c r="D60" s="27" t="s">
        <v>199</v>
      </c>
      <c r="E60" s="27" t="s">
        <v>92</v>
      </c>
      <c r="F60" s="27" t="s">
        <v>200</v>
      </c>
      <c r="G60" s="27" t="s">
        <v>200</v>
      </c>
      <c r="H60" s="27">
        <v>6935.7699000000002</v>
      </c>
      <c r="I60" s="27">
        <v>7359.7948999999999</v>
      </c>
      <c r="J60" s="27">
        <v>7714.5160999999998</v>
      </c>
      <c r="K60" s="27" t="s">
        <v>200</v>
      </c>
      <c r="L60" s="27" t="s">
        <v>200</v>
      </c>
      <c r="M60" s="27" t="s">
        <v>200</v>
      </c>
      <c r="N60" s="27" t="s">
        <v>200</v>
      </c>
      <c r="O60" s="27">
        <v>8043.7245999999996</v>
      </c>
      <c r="P60" s="27">
        <v>8341.3484000000008</v>
      </c>
      <c r="Q60" s="27">
        <v>8607.5912000000008</v>
      </c>
      <c r="R60" s="27">
        <v>8840.5871999999999</v>
      </c>
      <c r="S60" s="27">
        <v>9037.4691999999995</v>
      </c>
      <c r="T60" s="27">
        <v>9194.0269000000008</v>
      </c>
      <c r="U60" s="27">
        <v>9319.14</v>
      </c>
      <c r="V60" s="27">
        <v>9402.5894000000008</v>
      </c>
      <c r="W60" s="27" t="s">
        <v>200</v>
      </c>
      <c r="X60" s="27">
        <v>9465.4109000000008</v>
      </c>
      <c r="Y60" s="27" t="s">
        <v>200</v>
      </c>
      <c r="Z60" s="27">
        <v>9407.3359</v>
      </c>
      <c r="AA60" s="27" t="s">
        <v>200</v>
      </c>
      <c r="AB60" s="27">
        <v>9246.9953999999998</v>
      </c>
      <c r="AC60" s="27" t="s">
        <v>200</v>
      </c>
      <c r="AD60" s="27">
        <v>9019.6777000000002</v>
      </c>
    </row>
    <row r="61" spans="1:30">
      <c r="A61" s="27" t="s">
        <v>226</v>
      </c>
      <c r="B61" s="27" t="s">
        <v>274</v>
      </c>
      <c r="C61" s="27" t="s">
        <v>198</v>
      </c>
      <c r="D61" s="27" t="s">
        <v>199</v>
      </c>
      <c r="E61" s="27" t="s">
        <v>92</v>
      </c>
      <c r="F61" s="27" t="s">
        <v>200</v>
      </c>
      <c r="G61" s="27">
        <v>6465.5870000000004</v>
      </c>
      <c r="H61" s="27">
        <v>6858.4391999999998</v>
      </c>
      <c r="I61" s="27">
        <v>7248.0137000000004</v>
      </c>
      <c r="J61" s="27">
        <v>7637.5883000000003</v>
      </c>
      <c r="K61" s="27" t="s">
        <v>200</v>
      </c>
      <c r="L61" s="27" t="s">
        <v>200</v>
      </c>
      <c r="M61" s="27" t="s">
        <v>200</v>
      </c>
      <c r="N61" s="27" t="s">
        <v>200</v>
      </c>
      <c r="O61" s="27">
        <v>7978.3739999999998</v>
      </c>
      <c r="P61" s="27">
        <v>8287.5740000000005</v>
      </c>
      <c r="Q61" s="27">
        <v>8565.3940000000002</v>
      </c>
      <c r="R61" s="27">
        <v>8809.9669999999987</v>
      </c>
      <c r="S61" s="27">
        <v>9018.4259999999995</v>
      </c>
      <c r="T61" s="27">
        <v>9186.5609999999997</v>
      </c>
      <c r="U61" s="27">
        <v>9311.6740000000009</v>
      </c>
      <c r="V61" s="27">
        <v>9395.1229999999996</v>
      </c>
      <c r="W61" s="27" t="s">
        <v>200</v>
      </c>
      <c r="X61" s="27">
        <v>9457.9449999999997</v>
      </c>
      <c r="Y61" s="27" t="s">
        <v>200</v>
      </c>
      <c r="Z61" s="27">
        <v>9399.8700000000008</v>
      </c>
      <c r="AA61" s="27" t="s">
        <v>200</v>
      </c>
      <c r="AB61" s="27">
        <v>9239.5290000000005</v>
      </c>
      <c r="AC61" s="27" t="s">
        <v>200</v>
      </c>
      <c r="AD61" s="27">
        <v>9012.2119999999995</v>
      </c>
    </row>
    <row r="62" spans="1:30">
      <c r="A62" s="27" t="s">
        <v>196</v>
      </c>
      <c r="B62" s="27" t="s">
        <v>275</v>
      </c>
      <c r="C62" s="27" t="s">
        <v>198</v>
      </c>
      <c r="D62" s="27" t="s">
        <v>199</v>
      </c>
      <c r="E62" s="27" t="s">
        <v>92</v>
      </c>
      <c r="F62" s="27" t="s">
        <v>200</v>
      </c>
      <c r="G62" s="27">
        <v>6522.9120999999996</v>
      </c>
      <c r="H62" s="27">
        <v>6935.7699000000002</v>
      </c>
      <c r="I62" s="27">
        <v>7359.7948999999999</v>
      </c>
      <c r="J62" s="27">
        <v>7714.5160999999998</v>
      </c>
      <c r="K62" s="27" t="s">
        <v>200</v>
      </c>
      <c r="L62" s="27" t="s">
        <v>200</v>
      </c>
      <c r="M62" s="27" t="s">
        <v>200</v>
      </c>
      <c r="N62" s="27" t="s">
        <v>200</v>
      </c>
      <c r="O62" s="27">
        <v>8043.7245999999996</v>
      </c>
      <c r="P62" s="27">
        <v>8341.3484000000008</v>
      </c>
      <c r="Q62" s="27">
        <v>8607.5912000000008</v>
      </c>
      <c r="R62" s="27">
        <v>8840.5871999999999</v>
      </c>
      <c r="S62" s="27">
        <v>9037.4691999999995</v>
      </c>
      <c r="T62" s="27">
        <v>9194.0269000000008</v>
      </c>
      <c r="U62" s="27">
        <v>9319.14</v>
      </c>
      <c r="V62" s="27">
        <v>9402.5894000000008</v>
      </c>
      <c r="W62" s="27" t="s">
        <v>200</v>
      </c>
      <c r="X62" s="27">
        <v>9465.4109000000008</v>
      </c>
      <c r="Y62" s="27" t="s">
        <v>200</v>
      </c>
      <c r="Z62" s="27">
        <v>9407.3359</v>
      </c>
      <c r="AA62" s="27" t="s">
        <v>200</v>
      </c>
      <c r="AB62" s="27">
        <v>9246.9953999999998</v>
      </c>
      <c r="AC62" s="27" t="s">
        <v>200</v>
      </c>
      <c r="AD62" s="27">
        <v>9019.6777000000002</v>
      </c>
    </row>
    <row r="63" spans="1:30">
      <c r="A63" s="27" t="s">
        <v>261</v>
      </c>
      <c r="B63" s="27" t="s">
        <v>276</v>
      </c>
      <c r="C63" s="27" t="s">
        <v>198</v>
      </c>
      <c r="D63" s="27" t="s">
        <v>199</v>
      </c>
      <c r="E63" s="27" t="s">
        <v>92</v>
      </c>
      <c r="F63" s="27" t="s">
        <v>200</v>
      </c>
      <c r="G63" s="27">
        <v>6541.73681640625</v>
      </c>
      <c r="H63" s="27">
        <v>6957.7060546875</v>
      </c>
      <c r="I63" s="27">
        <v>7382.4990234375</v>
      </c>
      <c r="J63" s="27">
        <v>7756.7080078125</v>
      </c>
      <c r="K63" s="27" t="s">
        <v>200</v>
      </c>
      <c r="L63" s="27" t="s">
        <v>200</v>
      </c>
      <c r="M63" s="27" t="s">
        <v>200</v>
      </c>
      <c r="N63" s="27" t="s">
        <v>200</v>
      </c>
      <c r="O63" s="27">
        <v>8105.07421875</v>
      </c>
      <c r="P63" s="27">
        <v>8421.4912109375</v>
      </c>
      <c r="Q63" s="27">
        <v>8706.3720703125</v>
      </c>
      <c r="R63" s="27">
        <v>8958.1103515625</v>
      </c>
      <c r="S63" s="27">
        <v>9173.7060546875</v>
      </c>
      <c r="T63" s="27">
        <v>9348.6796875</v>
      </c>
      <c r="U63" s="27">
        <v>9480.0478515625</v>
      </c>
      <c r="V63" s="27">
        <v>9569.134765625</v>
      </c>
      <c r="W63" s="27">
        <v>9621.3115234375</v>
      </c>
      <c r="X63" s="27">
        <v>9641.6494140625</v>
      </c>
      <c r="Y63" s="27">
        <v>9631.0654296875</v>
      </c>
      <c r="Z63" s="27">
        <v>9590.7734375</v>
      </c>
      <c r="AA63" s="27">
        <v>9523.6240234375</v>
      </c>
      <c r="AB63" s="27">
        <v>9435.03125</v>
      </c>
      <c r="AC63" s="27">
        <v>9329.603515625</v>
      </c>
      <c r="AD63" s="27">
        <v>9210.525390625</v>
      </c>
    </row>
    <row r="64" spans="1:30">
      <c r="A64" s="27" t="s">
        <v>218</v>
      </c>
      <c r="B64" s="27" t="s">
        <v>256</v>
      </c>
      <c r="C64" s="27" t="s">
        <v>198</v>
      </c>
      <c r="D64" s="27" t="s">
        <v>199</v>
      </c>
      <c r="E64" s="27" t="s">
        <v>92</v>
      </c>
      <c r="F64" s="27" t="s">
        <v>200</v>
      </c>
      <c r="G64" s="27">
        <v>6465.5870000000004</v>
      </c>
      <c r="H64" s="27">
        <v>6858.4391999999998</v>
      </c>
      <c r="I64" s="27">
        <v>7248.0137000000004</v>
      </c>
      <c r="J64" s="27">
        <v>7637.5883000000003</v>
      </c>
      <c r="K64" s="27" t="s">
        <v>200</v>
      </c>
      <c r="L64" s="27" t="s">
        <v>200</v>
      </c>
      <c r="M64" s="27" t="s">
        <v>200</v>
      </c>
      <c r="N64" s="27" t="s">
        <v>200</v>
      </c>
      <c r="O64" s="27">
        <v>7978.3739999999998</v>
      </c>
      <c r="P64" s="27">
        <v>8287.5740000000005</v>
      </c>
      <c r="Q64" s="27">
        <v>8565.3940000000002</v>
      </c>
      <c r="R64" s="27">
        <v>8809.9669999999987</v>
      </c>
      <c r="S64" s="27">
        <v>9018.4259999999995</v>
      </c>
      <c r="T64" s="27">
        <v>9186.5609999999997</v>
      </c>
      <c r="U64" s="27">
        <v>9311.6740000000009</v>
      </c>
      <c r="V64" s="27">
        <v>9395.1229999999996</v>
      </c>
      <c r="W64" s="27" t="s">
        <v>200</v>
      </c>
      <c r="X64" s="27">
        <v>9457.9449999999997</v>
      </c>
      <c r="Y64" s="27" t="s">
        <v>200</v>
      </c>
      <c r="Z64" s="27">
        <v>9399.8700000000008</v>
      </c>
      <c r="AA64" s="27" t="s">
        <v>200</v>
      </c>
      <c r="AB64" s="27">
        <v>9239.5290000000005</v>
      </c>
      <c r="AC64" s="27" t="s">
        <v>200</v>
      </c>
      <c r="AD64" s="27">
        <v>9012.2119999999995</v>
      </c>
    </row>
    <row r="65" spans="1:30">
      <c r="A65" s="27" t="s">
        <v>203</v>
      </c>
      <c r="B65" s="27" t="s">
        <v>277</v>
      </c>
      <c r="C65" s="27" t="s">
        <v>198</v>
      </c>
      <c r="D65" s="27" t="s">
        <v>199</v>
      </c>
      <c r="E65" s="27" t="s">
        <v>92</v>
      </c>
      <c r="F65" s="27" t="s">
        <v>200</v>
      </c>
      <c r="G65" s="27">
        <v>6522.9120999999996</v>
      </c>
      <c r="H65" s="27">
        <v>6935.7699000000002</v>
      </c>
      <c r="I65" s="27">
        <v>7359.7948999999999</v>
      </c>
      <c r="J65" s="27">
        <v>7714.5160999999998</v>
      </c>
      <c r="K65" s="27" t="s">
        <v>200</v>
      </c>
      <c r="L65" s="27" t="s">
        <v>200</v>
      </c>
      <c r="M65" s="27" t="s">
        <v>200</v>
      </c>
      <c r="N65" s="27" t="s">
        <v>200</v>
      </c>
      <c r="O65" s="27">
        <v>8043.7245999999996</v>
      </c>
      <c r="P65" s="27">
        <v>8341.3484000000008</v>
      </c>
      <c r="Q65" s="27">
        <v>8607.5912000000008</v>
      </c>
      <c r="R65" s="27">
        <v>8840.5871999999999</v>
      </c>
      <c r="S65" s="27">
        <v>9037.4691999999995</v>
      </c>
      <c r="T65" s="27">
        <v>9194.0269000000008</v>
      </c>
      <c r="U65" s="27">
        <v>9319.14</v>
      </c>
      <c r="V65" s="27">
        <v>9402.5894000000008</v>
      </c>
      <c r="W65" s="27" t="s">
        <v>200</v>
      </c>
      <c r="X65" s="27">
        <v>9465.4109000000008</v>
      </c>
      <c r="Y65" s="27" t="s">
        <v>200</v>
      </c>
      <c r="Z65" s="27">
        <v>9407.3359</v>
      </c>
      <c r="AA65" s="27" t="s">
        <v>200</v>
      </c>
      <c r="AB65" s="27">
        <v>9246.9953999999998</v>
      </c>
      <c r="AC65" s="27" t="s">
        <v>200</v>
      </c>
      <c r="AD65" s="27">
        <v>9019.6777000000002</v>
      </c>
    </row>
    <row r="66" spans="1:30">
      <c r="A66" s="27" t="s">
        <v>203</v>
      </c>
      <c r="B66" s="27" t="s">
        <v>278</v>
      </c>
      <c r="C66" s="27" t="s">
        <v>198</v>
      </c>
      <c r="D66" s="27" t="s">
        <v>199</v>
      </c>
      <c r="E66" s="27" t="s">
        <v>92</v>
      </c>
      <c r="F66" s="27" t="s">
        <v>200</v>
      </c>
      <c r="G66" s="27">
        <v>6522.9120999999996</v>
      </c>
      <c r="H66" s="27">
        <v>6935.7699000000002</v>
      </c>
      <c r="I66" s="27">
        <v>7359.7948999999999</v>
      </c>
      <c r="J66" s="27">
        <v>7656.5294000000004</v>
      </c>
      <c r="K66" s="27" t="s">
        <v>200</v>
      </c>
      <c r="L66" s="27" t="s">
        <v>200</v>
      </c>
      <c r="M66" s="27" t="s">
        <v>200</v>
      </c>
      <c r="N66" s="27" t="s">
        <v>200</v>
      </c>
      <c r="O66" s="27">
        <v>7914.3419000000004</v>
      </c>
      <c r="P66" s="27">
        <v>8126.0681999999997</v>
      </c>
      <c r="Q66" s="27">
        <v>8304.3852999999999</v>
      </c>
      <c r="R66" s="27">
        <v>8442.9079000000002</v>
      </c>
      <c r="S66" s="27">
        <v>8537.4231</v>
      </c>
      <c r="T66" s="27">
        <v>8586.3156999999992</v>
      </c>
      <c r="U66" s="27">
        <v>8610.634</v>
      </c>
      <c r="V66" s="27">
        <v>8596.6929999999993</v>
      </c>
      <c r="W66" s="27" t="s">
        <v>200</v>
      </c>
      <c r="X66" s="27">
        <v>8464.4287000000004</v>
      </c>
      <c r="Y66" s="27" t="s">
        <v>200</v>
      </c>
      <c r="Z66" s="27">
        <v>8207.2857999999997</v>
      </c>
      <c r="AA66" s="27" t="s">
        <v>200</v>
      </c>
      <c r="AB66" s="27">
        <v>7838.0006999999996</v>
      </c>
      <c r="AC66" s="27" t="s">
        <v>200</v>
      </c>
      <c r="AD66" s="27">
        <v>7381.7340000000004</v>
      </c>
    </row>
    <row r="67" spans="1:30">
      <c r="A67" s="27" t="s">
        <v>196</v>
      </c>
      <c r="B67" s="27" t="s">
        <v>279</v>
      </c>
      <c r="C67" s="27" t="s">
        <v>198</v>
      </c>
      <c r="D67" s="27" t="s">
        <v>199</v>
      </c>
      <c r="E67" s="27" t="s">
        <v>92</v>
      </c>
      <c r="F67" s="27" t="s">
        <v>200</v>
      </c>
      <c r="G67" s="27">
        <v>6522.9120999999996</v>
      </c>
      <c r="H67" s="27">
        <v>6935.7699000000002</v>
      </c>
      <c r="I67" s="27">
        <v>7359.7948999999999</v>
      </c>
      <c r="J67" s="27">
        <v>7650.3382000000001</v>
      </c>
      <c r="K67" s="27" t="s">
        <v>200</v>
      </c>
      <c r="L67" s="27" t="s">
        <v>200</v>
      </c>
      <c r="M67" s="27" t="s">
        <v>200</v>
      </c>
      <c r="N67" s="27" t="s">
        <v>200</v>
      </c>
      <c r="O67" s="27">
        <v>7898.8882000000003</v>
      </c>
      <c r="P67" s="27">
        <v>8098.1893</v>
      </c>
      <c r="Q67" s="27">
        <v>8262.9437999999991</v>
      </c>
      <c r="R67" s="27">
        <v>8385.991</v>
      </c>
      <c r="S67" s="27">
        <v>8461.9186000000009</v>
      </c>
      <c r="T67" s="27">
        <v>8488.1080000000002</v>
      </c>
      <c r="U67" s="27">
        <v>8486.6051000000007</v>
      </c>
      <c r="V67" s="27">
        <v>8443.6471999999994</v>
      </c>
      <c r="W67" s="27" t="s">
        <v>200</v>
      </c>
      <c r="X67" s="27">
        <v>8245.4770000000008</v>
      </c>
      <c r="Y67" s="27" t="s">
        <v>200</v>
      </c>
      <c r="Z67" s="27">
        <v>7910.7484000000004</v>
      </c>
      <c r="AA67" s="27" t="s">
        <v>200</v>
      </c>
      <c r="AB67" s="27">
        <v>7452.2299000000003</v>
      </c>
      <c r="AC67" s="27" t="s">
        <v>200</v>
      </c>
      <c r="AD67" s="27">
        <v>6899.3576999999996</v>
      </c>
    </row>
    <row r="68" spans="1:30">
      <c r="A68" s="27" t="s">
        <v>257</v>
      </c>
      <c r="B68" s="27" t="s">
        <v>280</v>
      </c>
      <c r="C68" s="27" t="s">
        <v>198</v>
      </c>
      <c r="D68" s="27" t="s">
        <v>199</v>
      </c>
      <c r="E68" s="27" t="s">
        <v>92</v>
      </c>
      <c r="F68" s="27" t="s">
        <v>200</v>
      </c>
      <c r="G68" s="27" t="s">
        <v>200</v>
      </c>
      <c r="H68" s="27">
        <v>6892.0598</v>
      </c>
      <c r="I68" s="27">
        <v>7298.8706000000002</v>
      </c>
      <c r="J68" s="27">
        <v>7663.0414000000001</v>
      </c>
      <c r="K68" s="27" t="s">
        <v>200</v>
      </c>
      <c r="L68" s="27" t="s">
        <v>200</v>
      </c>
      <c r="M68" s="27" t="s">
        <v>200</v>
      </c>
      <c r="N68" s="27" t="s">
        <v>200</v>
      </c>
      <c r="O68" s="27">
        <v>8000.9169000000002</v>
      </c>
      <c r="P68" s="27">
        <v>8306.4889000000003</v>
      </c>
      <c r="Q68" s="27">
        <v>8580.1663000000008</v>
      </c>
      <c r="R68" s="27">
        <v>8820.2674999999999</v>
      </c>
      <c r="S68" s="27">
        <v>9024.0563999999995</v>
      </c>
      <c r="T68" s="27">
        <v>9187.3955000000005</v>
      </c>
      <c r="U68" s="27">
        <v>9307.6237000000001</v>
      </c>
      <c r="V68" s="27">
        <v>9386.2108000000007</v>
      </c>
      <c r="W68" s="27">
        <v>9428.6015000000007</v>
      </c>
      <c r="X68" s="27">
        <v>9439.9757000000009</v>
      </c>
      <c r="Y68" s="27">
        <v>9421.4786000000004</v>
      </c>
      <c r="Z68" s="27">
        <v>9374.2906999999996</v>
      </c>
      <c r="AA68" s="27">
        <v>9301.4783000000007</v>
      </c>
      <c r="AB68" s="27">
        <v>9208.3801000000003</v>
      </c>
      <c r="AC68" s="27">
        <v>9099.5921999999991</v>
      </c>
      <c r="AD68" s="27">
        <v>8978.2168000000001</v>
      </c>
    </row>
    <row r="69" spans="1:30">
      <c r="A69" s="27" t="s">
        <v>211</v>
      </c>
      <c r="B69" s="27" t="s">
        <v>240</v>
      </c>
      <c r="C69" s="27" t="s">
        <v>198</v>
      </c>
      <c r="D69" s="27" t="s">
        <v>199</v>
      </c>
      <c r="E69" s="27" t="s">
        <v>92</v>
      </c>
      <c r="F69" s="27" t="s">
        <v>200</v>
      </c>
      <c r="G69" s="27">
        <v>6503.13</v>
      </c>
      <c r="H69" s="27">
        <v>6867.39</v>
      </c>
      <c r="I69" s="27" t="s">
        <v>200</v>
      </c>
      <c r="J69" s="27">
        <v>7611.25</v>
      </c>
      <c r="K69" s="27" t="s">
        <v>200</v>
      </c>
      <c r="L69" s="27" t="s">
        <v>200</v>
      </c>
      <c r="M69" s="27" t="s">
        <v>200</v>
      </c>
      <c r="N69" s="27" t="s">
        <v>200</v>
      </c>
      <c r="O69" s="27" t="s">
        <v>200</v>
      </c>
      <c r="P69" s="27">
        <v>8261.99</v>
      </c>
      <c r="Q69" s="27" t="s">
        <v>200</v>
      </c>
      <c r="R69" s="27">
        <v>8787.1200000000008</v>
      </c>
      <c r="S69" s="27" t="s">
        <v>200</v>
      </c>
      <c r="T69" s="27">
        <v>9169.11</v>
      </c>
      <c r="U69" s="27" t="s">
        <v>200</v>
      </c>
      <c r="V69" s="27">
        <v>9384.7000000000007</v>
      </c>
      <c r="W69" s="27" t="s">
        <v>200</v>
      </c>
      <c r="X69" s="27">
        <v>9456.8799999999992</v>
      </c>
      <c r="Y69" s="27" t="s">
        <v>200</v>
      </c>
      <c r="Z69" s="27">
        <v>9407.26</v>
      </c>
      <c r="AA69" s="27" t="s">
        <v>200</v>
      </c>
      <c r="AB69" s="27">
        <v>9253.9500000000007</v>
      </c>
      <c r="AC69" s="27" t="s">
        <v>200</v>
      </c>
      <c r="AD69" s="27">
        <v>9032.42</v>
      </c>
    </row>
    <row r="70" spans="1:30">
      <c r="A70" s="27" t="s">
        <v>203</v>
      </c>
      <c r="B70" s="27" t="s">
        <v>281</v>
      </c>
      <c r="C70" s="27" t="s">
        <v>198</v>
      </c>
      <c r="D70" s="27" t="s">
        <v>199</v>
      </c>
      <c r="E70" s="27" t="s">
        <v>92</v>
      </c>
      <c r="F70" s="27" t="s">
        <v>200</v>
      </c>
      <c r="G70" s="27">
        <v>6522.9120999999996</v>
      </c>
      <c r="H70" s="27">
        <v>6935.7699000000002</v>
      </c>
      <c r="I70" s="27">
        <v>7359.7948999999999</v>
      </c>
      <c r="J70" s="27">
        <v>7714.5160999999998</v>
      </c>
      <c r="K70" s="27" t="s">
        <v>200</v>
      </c>
      <c r="L70" s="27" t="s">
        <v>200</v>
      </c>
      <c r="M70" s="27" t="s">
        <v>200</v>
      </c>
      <c r="N70" s="27" t="s">
        <v>200</v>
      </c>
      <c r="O70" s="27">
        <v>8043.7245999999996</v>
      </c>
      <c r="P70" s="27">
        <v>8341.3484000000008</v>
      </c>
      <c r="Q70" s="27">
        <v>8607.5912000000008</v>
      </c>
      <c r="R70" s="27">
        <v>8840.5871999999999</v>
      </c>
      <c r="S70" s="27">
        <v>9037.4691999999995</v>
      </c>
      <c r="T70" s="27">
        <v>9194.0269000000008</v>
      </c>
      <c r="U70" s="27">
        <v>9319.14</v>
      </c>
      <c r="V70" s="27">
        <v>9402.5894000000008</v>
      </c>
      <c r="W70" s="27" t="s">
        <v>200</v>
      </c>
      <c r="X70" s="27">
        <v>9465.4109000000008</v>
      </c>
      <c r="Y70" s="27" t="s">
        <v>200</v>
      </c>
      <c r="Z70" s="27">
        <v>9407.3359</v>
      </c>
      <c r="AA70" s="27" t="s">
        <v>200</v>
      </c>
      <c r="AB70" s="27">
        <v>9246.9953999999998</v>
      </c>
      <c r="AC70" s="27" t="s">
        <v>200</v>
      </c>
      <c r="AD70" s="27">
        <v>9019.6777000000002</v>
      </c>
    </row>
    <row r="71" spans="1:30">
      <c r="A71" s="27" t="s">
        <v>282</v>
      </c>
      <c r="B71" s="27" t="s">
        <v>283</v>
      </c>
      <c r="C71" s="27" t="s">
        <v>198</v>
      </c>
      <c r="D71" s="27" t="s">
        <v>199</v>
      </c>
      <c r="E71" s="27" t="s">
        <v>92</v>
      </c>
      <c r="F71" s="27" t="s">
        <v>200</v>
      </c>
      <c r="G71" s="27" t="s">
        <v>200</v>
      </c>
      <c r="H71" s="27">
        <v>6867.3900375366211</v>
      </c>
      <c r="I71" s="27">
        <v>7239.32</v>
      </c>
      <c r="J71" s="27">
        <v>7611.2499999999991</v>
      </c>
      <c r="K71" s="27" t="s">
        <v>200</v>
      </c>
      <c r="L71" s="27" t="s">
        <v>200</v>
      </c>
      <c r="M71" s="27" t="s">
        <v>200</v>
      </c>
      <c r="N71" s="27" t="s">
        <v>200</v>
      </c>
      <c r="O71" s="27" t="s">
        <v>200</v>
      </c>
      <c r="P71" s="27">
        <v>8261.9900000000016</v>
      </c>
      <c r="Q71" s="27" t="s">
        <v>200</v>
      </c>
      <c r="R71" s="27">
        <v>8787.1200000000008</v>
      </c>
      <c r="S71" s="27" t="s">
        <v>200</v>
      </c>
      <c r="T71" s="27">
        <v>9169.11</v>
      </c>
      <c r="U71" s="27" t="s">
        <v>200</v>
      </c>
      <c r="V71" s="27">
        <v>9384.7000000000007</v>
      </c>
      <c r="W71" s="27" t="s">
        <v>200</v>
      </c>
      <c r="X71" s="27">
        <v>9456.8799999999992</v>
      </c>
      <c r="Y71" s="27" t="s">
        <v>200</v>
      </c>
      <c r="Z71" s="27">
        <v>9407.26</v>
      </c>
      <c r="AA71" s="27" t="s">
        <v>200</v>
      </c>
      <c r="AB71" s="27">
        <v>9253.9500000000007</v>
      </c>
      <c r="AC71" s="27" t="s">
        <v>200</v>
      </c>
      <c r="AD71" s="27">
        <v>9032.4200000000019</v>
      </c>
    </row>
    <row r="72" spans="1:30">
      <c r="A72" s="27" t="s">
        <v>203</v>
      </c>
      <c r="B72" s="27" t="s">
        <v>284</v>
      </c>
      <c r="C72" s="27" t="s">
        <v>198</v>
      </c>
      <c r="D72" s="27" t="s">
        <v>199</v>
      </c>
      <c r="E72" s="27" t="s">
        <v>92</v>
      </c>
      <c r="F72" s="27" t="s">
        <v>200</v>
      </c>
      <c r="G72" s="27">
        <v>6522.9120999999996</v>
      </c>
      <c r="H72" s="27">
        <v>6935.7699000000002</v>
      </c>
      <c r="I72" s="27">
        <v>7359.7948999999999</v>
      </c>
      <c r="J72" s="27">
        <v>7650.3382000000001</v>
      </c>
      <c r="K72" s="27" t="s">
        <v>200</v>
      </c>
      <c r="L72" s="27" t="s">
        <v>200</v>
      </c>
      <c r="M72" s="27" t="s">
        <v>200</v>
      </c>
      <c r="N72" s="27" t="s">
        <v>200</v>
      </c>
      <c r="O72" s="27">
        <v>7898.8882000000003</v>
      </c>
      <c r="P72" s="27">
        <v>8098.1893</v>
      </c>
      <c r="Q72" s="27">
        <v>8262.9437999999991</v>
      </c>
      <c r="R72" s="27">
        <v>8385.991</v>
      </c>
      <c r="S72" s="27">
        <v>8461.9186000000009</v>
      </c>
      <c r="T72" s="27">
        <v>8488.1080000000002</v>
      </c>
      <c r="U72" s="27">
        <v>8486.6051000000007</v>
      </c>
      <c r="V72" s="27">
        <v>8443.6471999999994</v>
      </c>
      <c r="W72" s="27" t="s">
        <v>200</v>
      </c>
      <c r="X72" s="27">
        <v>8245.4770000000008</v>
      </c>
      <c r="Y72" s="27" t="s">
        <v>200</v>
      </c>
      <c r="Z72" s="27">
        <v>7910.7484000000004</v>
      </c>
      <c r="AA72" s="27" t="s">
        <v>200</v>
      </c>
      <c r="AB72" s="27">
        <v>7452.2299000000003</v>
      </c>
      <c r="AC72" s="27" t="s">
        <v>200</v>
      </c>
      <c r="AD72" s="27">
        <v>6899.3576999999996</v>
      </c>
    </row>
    <row r="73" spans="1:30">
      <c r="A73" s="27" t="s">
        <v>203</v>
      </c>
      <c r="B73" s="27" t="s">
        <v>285</v>
      </c>
      <c r="C73" s="27" t="s">
        <v>198</v>
      </c>
      <c r="D73" s="27" t="s">
        <v>199</v>
      </c>
      <c r="E73" s="27" t="s">
        <v>92</v>
      </c>
      <c r="F73" s="27" t="s">
        <v>200</v>
      </c>
      <c r="G73" s="27">
        <v>6522.9120999999996</v>
      </c>
      <c r="H73" s="27">
        <v>6935.7699000000002</v>
      </c>
      <c r="I73" s="27">
        <v>7359.7948999999999</v>
      </c>
      <c r="J73" s="27">
        <v>7650.3382000000001</v>
      </c>
      <c r="K73" s="27" t="s">
        <v>200</v>
      </c>
      <c r="L73" s="27" t="s">
        <v>200</v>
      </c>
      <c r="M73" s="27" t="s">
        <v>200</v>
      </c>
      <c r="N73" s="27" t="s">
        <v>200</v>
      </c>
      <c r="O73" s="27">
        <v>7898.8882000000003</v>
      </c>
      <c r="P73" s="27">
        <v>8098.1893</v>
      </c>
      <c r="Q73" s="27">
        <v>8262.9437999999991</v>
      </c>
      <c r="R73" s="27">
        <v>8385.991</v>
      </c>
      <c r="S73" s="27">
        <v>8461.9186000000009</v>
      </c>
      <c r="T73" s="27">
        <v>8488.1080000000002</v>
      </c>
      <c r="U73" s="27">
        <v>8486.6051000000007</v>
      </c>
      <c r="V73" s="27">
        <v>8443.6471999999994</v>
      </c>
      <c r="W73" s="27" t="s">
        <v>200</v>
      </c>
      <c r="X73" s="27">
        <v>8245.4770000000008</v>
      </c>
      <c r="Y73" s="27" t="s">
        <v>200</v>
      </c>
      <c r="Z73" s="27">
        <v>7910.7484000000004</v>
      </c>
      <c r="AA73" s="27" t="s">
        <v>200</v>
      </c>
      <c r="AB73" s="27">
        <v>7452.2299000000003</v>
      </c>
      <c r="AC73" s="27" t="s">
        <v>200</v>
      </c>
      <c r="AD73" s="27">
        <v>6899.3576999999996</v>
      </c>
    </row>
    <row r="74" spans="1:30">
      <c r="A74" s="27" t="s">
        <v>196</v>
      </c>
      <c r="B74" s="27" t="s">
        <v>286</v>
      </c>
      <c r="C74" s="27" t="s">
        <v>198</v>
      </c>
      <c r="D74" s="27" t="s">
        <v>199</v>
      </c>
      <c r="E74" s="27" t="s">
        <v>92</v>
      </c>
      <c r="F74" s="27" t="s">
        <v>200</v>
      </c>
      <c r="G74" s="27">
        <v>6522.9120999999996</v>
      </c>
      <c r="H74" s="27">
        <v>6935.7699000000002</v>
      </c>
      <c r="I74" s="27">
        <v>7359.7948999999999</v>
      </c>
      <c r="J74" s="27">
        <v>7714.5160999999998</v>
      </c>
      <c r="K74" s="27" t="s">
        <v>200</v>
      </c>
      <c r="L74" s="27" t="s">
        <v>200</v>
      </c>
      <c r="M74" s="27" t="s">
        <v>200</v>
      </c>
      <c r="N74" s="27" t="s">
        <v>200</v>
      </c>
      <c r="O74" s="27">
        <v>8043.7245999999996</v>
      </c>
      <c r="P74" s="27">
        <v>8341.3484000000008</v>
      </c>
      <c r="Q74" s="27">
        <v>8607.5912000000008</v>
      </c>
      <c r="R74" s="27">
        <v>8840.5871999999999</v>
      </c>
      <c r="S74" s="27">
        <v>9037.4691999999995</v>
      </c>
      <c r="T74" s="27">
        <v>9194.0269000000008</v>
      </c>
      <c r="U74" s="27">
        <v>9319.14</v>
      </c>
      <c r="V74" s="27">
        <v>9402.5894000000008</v>
      </c>
      <c r="W74" s="27" t="s">
        <v>200</v>
      </c>
      <c r="X74" s="27">
        <v>9465.4109000000008</v>
      </c>
      <c r="Y74" s="27" t="s">
        <v>200</v>
      </c>
      <c r="Z74" s="27">
        <v>9407.3359</v>
      </c>
      <c r="AA74" s="27" t="s">
        <v>200</v>
      </c>
      <c r="AB74" s="27">
        <v>9246.9953999999998</v>
      </c>
      <c r="AC74" s="27" t="s">
        <v>200</v>
      </c>
      <c r="AD74" s="27">
        <v>9019.6777000000002</v>
      </c>
    </row>
    <row r="75" spans="1:30">
      <c r="A75" s="27" t="s">
        <v>282</v>
      </c>
      <c r="B75" s="27" t="s">
        <v>243</v>
      </c>
      <c r="C75" s="27" t="s">
        <v>198</v>
      </c>
      <c r="D75" s="27" t="s">
        <v>199</v>
      </c>
      <c r="E75" s="27" t="s">
        <v>92</v>
      </c>
      <c r="F75" s="27">
        <v>6119.419921875</v>
      </c>
      <c r="G75" s="27">
        <v>6503.1298828125</v>
      </c>
      <c r="H75" s="27">
        <v>6867.39013671875</v>
      </c>
      <c r="I75" s="27" t="s">
        <v>200</v>
      </c>
      <c r="J75" s="27">
        <v>7611.25</v>
      </c>
      <c r="K75" s="27" t="s">
        <v>200</v>
      </c>
      <c r="L75" s="27" t="s">
        <v>200</v>
      </c>
      <c r="M75" s="27" t="s">
        <v>200</v>
      </c>
      <c r="N75" s="27" t="s">
        <v>200</v>
      </c>
      <c r="O75" s="27" t="s">
        <v>200</v>
      </c>
      <c r="P75" s="27">
        <v>8261.990234375</v>
      </c>
      <c r="Q75" s="27" t="s">
        <v>200</v>
      </c>
      <c r="R75" s="27">
        <v>8787.1201171875</v>
      </c>
      <c r="S75" s="27" t="s">
        <v>200</v>
      </c>
      <c r="T75" s="27">
        <v>9169.1103515625</v>
      </c>
      <c r="U75" s="27" t="s">
        <v>200</v>
      </c>
      <c r="V75" s="27">
        <v>9384.7001953125</v>
      </c>
      <c r="W75" s="27" t="s">
        <v>200</v>
      </c>
      <c r="X75" s="27">
        <v>9456.8798828125</v>
      </c>
      <c r="Y75" s="27" t="s">
        <v>200</v>
      </c>
      <c r="Z75" s="27">
        <v>9407.259765625</v>
      </c>
      <c r="AA75" s="27" t="s">
        <v>200</v>
      </c>
      <c r="AB75" s="27">
        <v>9253.9501953125</v>
      </c>
      <c r="AC75" s="27" t="s">
        <v>200</v>
      </c>
      <c r="AD75" s="27">
        <v>9032.419921875</v>
      </c>
    </row>
    <row r="76" spans="1:30">
      <c r="A76" s="27" t="s">
        <v>207</v>
      </c>
      <c r="B76" s="27" t="s">
        <v>202</v>
      </c>
      <c r="C76" s="27" t="s">
        <v>198</v>
      </c>
      <c r="D76" s="27" t="s">
        <v>199</v>
      </c>
      <c r="E76" s="27" t="s">
        <v>92</v>
      </c>
      <c r="F76" s="27">
        <v>6119.4199905395508</v>
      </c>
      <c r="G76" s="27">
        <v>6503.1299362182617</v>
      </c>
      <c r="H76" s="27">
        <v>6867.3900375366211</v>
      </c>
      <c r="I76" s="27">
        <v>7239.32</v>
      </c>
      <c r="J76" s="27">
        <v>7611.2499999999991</v>
      </c>
      <c r="K76" s="27" t="s">
        <v>200</v>
      </c>
      <c r="L76" s="27" t="s">
        <v>200</v>
      </c>
      <c r="M76" s="27" t="s">
        <v>200</v>
      </c>
      <c r="N76" s="27" t="s">
        <v>200</v>
      </c>
      <c r="O76" s="27">
        <v>7936.62</v>
      </c>
      <c r="P76" s="27">
        <v>8261.9900000000016</v>
      </c>
      <c r="Q76" s="27">
        <v>8524.5550000000003</v>
      </c>
      <c r="R76" s="27">
        <v>8787.1200000000008</v>
      </c>
      <c r="S76" s="27">
        <v>8978.1149999999998</v>
      </c>
      <c r="T76" s="27">
        <v>9169.11</v>
      </c>
      <c r="U76" s="27">
        <v>9276.9050000000007</v>
      </c>
      <c r="V76" s="27">
        <v>9384.7000000000007</v>
      </c>
      <c r="W76" s="27" t="s">
        <v>200</v>
      </c>
      <c r="X76" s="27">
        <v>9456.8799999999992</v>
      </c>
      <c r="Y76" s="27" t="s">
        <v>200</v>
      </c>
      <c r="Z76" s="27">
        <v>9407.26</v>
      </c>
      <c r="AA76" s="27" t="s">
        <v>200</v>
      </c>
      <c r="AB76" s="27">
        <v>9253.9500000000007</v>
      </c>
      <c r="AC76" s="27" t="s">
        <v>200</v>
      </c>
      <c r="AD76" s="27">
        <v>9032.4200000000019</v>
      </c>
    </row>
    <row r="77" spans="1:30">
      <c r="A77" s="27" t="s">
        <v>216</v>
      </c>
      <c r="B77" s="27" t="s">
        <v>287</v>
      </c>
      <c r="C77" s="27" t="s">
        <v>198</v>
      </c>
      <c r="D77" s="27" t="s">
        <v>199</v>
      </c>
      <c r="E77" s="27" t="s">
        <v>92</v>
      </c>
      <c r="F77" s="27">
        <v>6119.4199905395499</v>
      </c>
      <c r="G77" s="27">
        <v>6503.1299362182599</v>
      </c>
      <c r="H77" s="27">
        <v>6867.3900375366202</v>
      </c>
      <c r="I77" s="27">
        <v>7239.32</v>
      </c>
      <c r="J77" s="27">
        <v>7611.25</v>
      </c>
      <c r="K77" s="27">
        <v>7676.3239999999996</v>
      </c>
      <c r="L77" s="27">
        <v>7741.3980000000001</v>
      </c>
      <c r="M77" s="27">
        <v>7806.4719999999998</v>
      </c>
      <c r="N77" s="27">
        <v>7871.5460000000003</v>
      </c>
      <c r="O77" s="27">
        <v>7936.62</v>
      </c>
      <c r="P77" s="27">
        <v>8261.99</v>
      </c>
      <c r="Q77" s="27">
        <v>8524.5550000000003</v>
      </c>
      <c r="R77" s="27">
        <v>8787.1200000000008</v>
      </c>
      <c r="S77" s="27">
        <v>8978.1149999999998</v>
      </c>
      <c r="T77" s="27">
        <v>9169.11</v>
      </c>
      <c r="U77" s="27">
        <v>9276.9050000000007</v>
      </c>
      <c r="V77" s="27">
        <v>9384.7000000000007</v>
      </c>
      <c r="W77" s="27" t="s">
        <v>200</v>
      </c>
      <c r="X77" s="27">
        <v>9456.8799999999992</v>
      </c>
      <c r="Y77" s="27" t="s">
        <v>200</v>
      </c>
      <c r="Z77" s="27">
        <v>9407.26</v>
      </c>
      <c r="AA77" s="27" t="s">
        <v>200</v>
      </c>
      <c r="AB77" s="27">
        <v>9253.9500000000007</v>
      </c>
      <c r="AC77" s="27" t="s">
        <v>200</v>
      </c>
      <c r="AD77" s="27">
        <v>9032.42</v>
      </c>
    </row>
    <row r="78" spans="1:30">
      <c r="A78" s="27" t="s">
        <v>207</v>
      </c>
      <c r="B78" s="27" t="s">
        <v>273</v>
      </c>
      <c r="C78" s="27" t="s">
        <v>198</v>
      </c>
      <c r="D78" s="27" t="s">
        <v>199</v>
      </c>
      <c r="E78" s="27" t="s">
        <v>92</v>
      </c>
      <c r="F78" s="27" t="s">
        <v>200</v>
      </c>
      <c r="G78" s="27" t="s">
        <v>200</v>
      </c>
      <c r="H78" s="27">
        <v>6867.3900379999995</v>
      </c>
      <c r="I78" s="27">
        <v>7239.32</v>
      </c>
      <c r="J78" s="27">
        <v>7611.25</v>
      </c>
      <c r="K78" s="27" t="s">
        <v>200</v>
      </c>
      <c r="L78" s="27" t="s">
        <v>200</v>
      </c>
      <c r="M78" s="27" t="s">
        <v>200</v>
      </c>
      <c r="N78" s="27" t="s">
        <v>200</v>
      </c>
      <c r="O78" s="27">
        <v>7936.62</v>
      </c>
      <c r="P78" s="27">
        <v>8261.99</v>
      </c>
      <c r="Q78" s="27">
        <v>8524.5550000000003</v>
      </c>
      <c r="R78" s="27">
        <v>8787.1200000000008</v>
      </c>
      <c r="S78" s="27">
        <v>8978.1149999999998</v>
      </c>
      <c r="T78" s="27">
        <v>9169.11</v>
      </c>
      <c r="U78" s="27">
        <v>9276.9050000000007</v>
      </c>
      <c r="V78" s="27">
        <v>9384.7000000000007</v>
      </c>
      <c r="W78" s="27" t="s">
        <v>200</v>
      </c>
      <c r="X78" s="27">
        <v>9456.8799999999992</v>
      </c>
      <c r="Y78" s="27" t="s">
        <v>200</v>
      </c>
      <c r="Z78" s="27">
        <v>9407.26</v>
      </c>
      <c r="AA78" s="27" t="s">
        <v>200</v>
      </c>
      <c r="AB78" s="27">
        <v>9253.9500000000007</v>
      </c>
      <c r="AC78" s="27" t="s">
        <v>200</v>
      </c>
      <c r="AD78" s="27">
        <v>9032.42</v>
      </c>
    </row>
    <row r="79" spans="1:30">
      <c r="A79" s="27" t="s">
        <v>247</v>
      </c>
      <c r="B79" s="27" t="s">
        <v>288</v>
      </c>
      <c r="C79" s="27" t="s">
        <v>198</v>
      </c>
      <c r="D79" s="27" t="s">
        <v>199</v>
      </c>
      <c r="E79" s="27" t="s">
        <v>92</v>
      </c>
      <c r="F79" s="27">
        <v>6127.69921875</v>
      </c>
      <c r="G79" s="27">
        <v>6514.09619140625</v>
      </c>
      <c r="H79" s="27">
        <v>6916.18310546875</v>
      </c>
      <c r="I79" s="27" t="s">
        <v>200</v>
      </c>
      <c r="J79" s="27">
        <v>7611.72021484375</v>
      </c>
      <c r="K79" s="27" t="s">
        <v>200</v>
      </c>
      <c r="L79" s="27" t="s">
        <v>200</v>
      </c>
      <c r="M79" s="27" t="s">
        <v>200</v>
      </c>
      <c r="N79" s="27" t="s">
        <v>200</v>
      </c>
      <c r="O79" s="27" t="s">
        <v>200</v>
      </c>
      <c r="P79" s="27">
        <v>8261.5732421875</v>
      </c>
      <c r="Q79" s="27" t="s">
        <v>200</v>
      </c>
      <c r="R79" s="27">
        <v>8784.689453125</v>
      </c>
      <c r="S79" s="27" t="s">
        <v>200</v>
      </c>
      <c r="T79" s="27">
        <v>9162.884765625</v>
      </c>
      <c r="U79" s="27" t="s">
        <v>200</v>
      </c>
      <c r="V79" s="27">
        <v>9373.4853515625</v>
      </c>
      <c r="W79" s="27" t="s">
        <v>200</v>
      </c>
      <c r="X79" s="27">
        <v>9438.1474609375</v>
      </c>
      <c r="Y79" s="27" t="s">
        <v>200</v>
      </c>
      <c r="Z79" s="27">
        <v>9381.642578125</v>
      </c>
      <c r="AA79" s="27" t="s">
        <v>200</v>
      </c>
      <c r="AB79" s="27">
        <v>9222.6572265625</v>
      </c>
      <c r="AC79" s="27" t="s">
        <v>200</v>
      </c>
      <c r="AD79" s="27">
        <v>8996.4921875</v>
      </c>
    </row>
    <row r="80" spans="1:30">
      <c r="A80" s="27" t="s">
        <v>211</v>
      </c>
      <c r="B80" s="27" t="s">
        <v>256</v>
      </c>
      <c r="C80" s="27" t="s">
        <v>198</v>
      </c>
      <c r="D80" s="27" t="s">
        <v>199</v>
      </c>
      <c r="E80" s="27" t="s">
        <v>92</v>
      </c>
      <c r="F80" s="27" t="s">
        <v>200</v>
      </c>
      <c r="G80" s="27">
        <v>6503.13</v>
      </c>
      <c r="H80" s="27">
        <v>6867.39</v>
      </c>
      <c r="I80" s="27" t="s">
        <v>200</v>
      </c>
      <c r="J80" s="27">
        <v>7611.25</v>
      </c>
      <c r="K80" s="27" t="s">
        <v>200</v>
      </c>
      <c r="L80" s="27" t="s">
        <v>200</v>
      </c>
      <c r="M80" s="27" t="s">
        <v>200</v>
      </c>
      <c r="N80" s="27" t="s">
        <v>200</v>
      </c>
      <c r="O80" s="27" t="s">
        <v>200</v>
      </c>
      <c r="P80" s="27">
        <v>8261.99</v>
      </c>
      <c r="Q80" s="27" t="s">
        <v>200</v>
      </c>
      <c r="R80" s="27">
        <v>8787.1200000000008</v>
      </c>
      <c r="S80" s="27" t="s">
        <v>200</v>
      </c>
      <c r="T80" s="27">
        <v>9169.11</v>
      </c>
      <c r="U80" s="27" t="s">
        <v>200</v>
      </c>
      <c r="V80" s="27">
        <v>9384.7000000000007</v>
      </c>
      <c r="W80" s="27" t="s">
        <v>200</v>
      </c>
      <c r="X80" s="27">
        <v>9456.8799999999992</v>
      </c>
      <c r="Y80" s="27" t="s">
        <v>200</v>
      </c>
      <c r="Z80" s="27">
        <v>9407.26</v>
      </c>
      <c r="AA80" s="27" t="s">
        <v>200</v>
      </c>
      <c r="AB80" s="27">
        <v>9253.9500000000007</v>
      </c>
      <c r="AC80" s="27" t="s">
        <v>200</v>
      </c>
      <c r="AD80" s="27">
        <v>9032.42</v>
      </c>
    </row>
    <row r="81" spans="1:30">
      <c r="A81" s="27" t="s">
        <v>196</v>
      </c>
      <c r="B81" s="27" t="s">
        <v>267</v>
      </c>
      <c r="C81" s="27" t="s">
        <v>198</v>
      </c>
      <c r="D81" s="27" t="s">
        <v>199</v>
      </c>
      <c r="E81" s="27" t="s">
        <v>92</v>
      </c>
      <c r="F81" s="27" t="s">
        <v>200</v>
      </c>
      <c r="G81" s="27">
        <v>6522.9120999999996</v>
      </c>
      <c r="H81" s="27">
        <v>6935.7699000000002</v>
      </c>
      <c r="I81" s="27">
        <v>7359.7948999999999</v>
      </c>
      <c r="J81" s="27">
        <v>7714.5160999999998</v>
      </c>
      <c r="K81" s="27" t="s">
        <v>200</v>
      </c>
      <c r="L81" s="27" t="s">
        <v>200</v>
      </c>
      <c r="M81" s="27" t="s">
        <v>200</v>
      </c>
      <c r="N81" s="27" t="s">
        <v>200</v>
      </c>
      <c r="O81" s="27">
        <v>8043.7245999999996</v>
      </c>
      <c r="P81" s="27">
        <v>8341.3484000000008</v>
      </c>
      <c r="Q81" s="27">
        <v>8607.5912000000008</v>
      </c>
      <c r="R81" s="27">
        <v>8840.5871999999999</v>
      </c>
      <c r="S81" s="27">
        <v>9037.4691999999995</v>
      </c>
      <c r="T81" s="27">
        <v>9194.0269000000008</v>
      </c>
      <c r="U81" s="27">
        <v>9319.14</v>
      </c>
      <c r="V81" s="27">
        <v>9402.5894000000008</v>
      </c>
      <c r="W81" s="27" t="s">
        <v>200</v>
      </c>
      <c r="X81" s="27">
        <v>9465.4109000000008</v>
      </c>
      <c r="Y81" s="27" t="s">
        <v>200</v>
      </c>
      <c r="Z81" s="27">
        <v>9407.3359</v>
      </c>
      <c r="AA81" s="27" t="s">
        <v>200</v>
      </c>
      <c r="AB81" s="27">
        <v>9246.9953999999998</v>
      </c>
      <c r="AC81" s="27" t="s">
        <v>200</v>
      </c>
      <c r="AD81" s="27">
        <v>9019.6777000000002</v>
      </c>
    </row>
    <row r="82" spans="1:30">
      <c r="A82" s="27" t="s">
        <v>207</v>
      </c>
      <c r="B82" s="27" t="s">
        <v>201</v>
      </c>
      <c r="C82" s="27" t="s">
        <v>198</v>
      </c>
      <c r="D82" s="27" t="s">
        <v>199</v>
      </c>
      <c r="E82" s="27" t="s">
        <v>92</v>
      </c>
      <c r="F82" s="27" t="s">
        <v>200</v>
      </c>
      <c r="G82" s="27" t="s">
        <v>200</v>
      </c>
      <c r="H82" s="27">
        <v>6867.3900379999995</v>
      </c>
      <c r="I82" s="27">
        <v>7239.32</v>
      </c>
      <c r="J82" s="27">
        <v>7611.25</v>
      </c>
      <c r="K82" s="27" t="s">
        <v>200</v>
      </c>
      <c r="L82" s="27" t="s">
        <v>200</v>
      </c>
      <c r="M82" s="27" t="s">
        <v>200</v>
      </c>
      <c r="N82" s="27" t="s">
        <v>200</v>
      </c>
      <c r="O82" s="27">
        <v>7936.62</v>
      </c>
      <c r="P82" s="27">
        <v>8261.99</v>
      </c>
      <c r="Q82" s="27">
        <v>8524.5550000000003</v>
      </c>
      <c r="R82" s="27">
        <v>8787.1200000000008</v>
      </c>
      <c r="S82" s="27">
        <v>8978.1149999999998</v>
      </c>
      <c r="T82" s="27">
        <v>9169.11</v>
      </c>
      <c r="U82" s="27">
        <v>9276.9050000000007</v>
      </c>
      <c r="V82" s="27">
        <v>9384.7000000000007</v>
      </c>
      <c r="W82" s="27" t="s">
        <v>200</v>
      </c>
      <c r="X82" s="27">
        <v>9456.8799999999992</v>
      </c>
      <c r="Y82" s="27" t="s">
        <v>200</v>
      </c>
      <c r="Z82" s="27">
        <v>9407.26</v>
      </c>
      <c r="AA82" s="27" t="s">
        <v>200</v>
      </c>
      <c r="AB82" s="27">
        <v>9253.9500000000007</v>
      </c>
      <c r="AC82" s="27" t="s">
        <v>200</v>
      </c>
      <c r="AD82" s="27">
        <v>9032.42</v>
      </c>
    </row>
    <row r="83" spans="1:30">
      <c r="A83" s="27" t="s">
        <v>196</v>
      </c>
      <c r="B83" s="27" t="s">
        <v>289</v>
      </c>
      <c r="C83" s="27" t="s">
        <v>198</v>
      </c>
      <c r="D83" s="27" t="s">
        <v>199</v>
      </c>
      <c r="E83" s="27" t="s">
        <v>92</v>
      </c>
      <c r="F83" s="27" t="s">
        <v>200</v>
      </c>
      <c r="G83" s="27">
        <v>6522.9120999999996</v>
      </c>
      <c r="H83" s="27">
        <v>6935.7699000000002</v>
      </c>
      <c r="I83" s="27">
        <v>7359.7948999999999</v>
      </c>
      <c r="J83" s="27">
        <v>7650.3382000000001</v>
      </c>
      <c r="K83" s="27" t="s">
        <v>200</v>
      </c>
      <c r="L83" s="27" t="s">
        <v>200</v>
      </c>
      <c r="M83" s="27" t="s">
        <v>200</v>
      </c>
      <c r="N83" s="27" t="s">
        <v>200</v>
      </c>
      <c r="O83" s="27">
        <v>7898.8882000000003</v>
      </c>
      <c r="P83" s="27">
        <v>8098.1893</v>
      </c>
      <c r="Q83" s="27">
        <v>8262.9437999999991</v>
      </c>
      <c r="R83" s="27">
        <v>8385.991</v>
      </c>
      <c r="S83" s="27">
        <v>8461.9186000000009</v>
      </c>
      <c r="T83" s="27">
        <v>8488.1080000000002</v>
      </c>
      <c r="U83" s="27">
        <v>8486.6051000000007</v>
      </c>
      <c r="V83" s="27">
        <v>8443.6471999999994</v>
      </c>
      <c r="W83" s="27" t="s">
        <v>200</v>
      </c>
      <c r="X83" s="27">
        <v>8245.4770000000008</v>
      </c>
      <c r="Y83" s="27" t="s">
        <v>200</v>
      </c>
      <c r="Z83" s="27">
        <v>7910.7484000000004</v>
      </c>
      <c r="AA83" s="27" t="s">
        <v>200</v>
      </c>
      <c r="AB83" s="27">
        <v>7452.2299000000003</v>
      </c>
      <c r="AC83" s="27" t="s">
        <v>200</v>
      </c>
      <c r="AD83" s="27">
        <v>6899.3576999999996</v>
      </c>
    </row>
    <row r="84" spans="1:30">
      <c r="A84" s="27" t="s">
        <v>233</v>
      </c>
      <c r="B84" s="27" t="s">
        <v>230</v>
      </c>
      <c r="C84" s="27" t="s">
        <v>198</v>
      </c>
      <c r="D84" s="27" t="s">
        <v>199</v>
      </c>
      <c r="E84" s="27" t="s">
        <v>92</v>
      </c>
      <c r="F84" s="27" t="s">
        <v>200</v>
      </c>
      <c r="G84" s="27" t="s">
        <v>200</v>
      </c>
      <c r="H84" s="27">
        <v>6871.7587843000001</v>
      </c>
      <c r="I84" s="27">
        <v>7285.2946683999999</v>
      </c>
      <c r="J84" s="27">
        <v>7656.4177418135077</v>
      </c>
      <c r="K84" s="27" t="s">
        <v>200</v>
      </c>
      <c r="L84" s="27" t="s">
        <v>200</v>
      </c>
      <c r="M84" s="27" t="s">
        <v>200</v>
      </c>
      <c r="N84" s="27" t="s">
        <v>200</v>
      </c>
      <c r="O84" s="27">
        <v>8002.2694610545932</v>
      </c>
      <c r="P84" s="27">
        <v>8316.7857534488812</v>
      </c>
      <c r="Q84" s="27">
        <v>8600.4017416814913</v>
      </c>
      <c r="R84" s="27">
        <v>8851.4768697682139</v>
      </c>
      <c r="S84" s="27">
        <v>9066.9891571428525</v>
      </c>
      <c r="T84" s="27">
        <v>9242.4535367683566</v>
      </c>
      <c r="U84" s="27">
        <v>9374.8141058708206</v>
      </c>
      <c r="V84" s="27">
        <v>9465.5539970501031</v>
      </c>
      <c r="W84" s="27">
        <v>9520.5585375843712</v>
      </c>
      <c r="X84" s="27">
        <v>9543.7345808569353</v>
      </c>
      <c r="Y84" s="27">
        <v>9535.986024638356</v>
      </c>
      <c r="Z84" s="27">
        <v>9498.5052712829729</v>
      </c>
      <c r="AA84" s="27">
        <v>9434.0882580191646</v>
      </c>
      <c r="AB84" s="27">
        <v>9348.0315114173845</v>
      </c>
      <c r="AC84" s="27">
        <v>9244.9020231836694</v>
      </c>
      <c r="AD84" s="27">
        <v>9127.9378844023577</v>
      </c>
    </row>
    <row r="85" spans="1:30">
      <c r="A85" s="27" t="s">
        <v>211</v>
      </c>
      <c r="B85" s="27" t="s">
        <v>290</v>
      </c>
      <c r="C85" s="27" t="s">
        <v>198</v>
      </c>
      <c r="D85" s="27" t="s">
        <v>199</v>
      </c>
      <c r="E85" s="27" t="s">
        <v>92</v>
      </c>
      <c r="F85" s="27">
        <v>6119.419921875</v>
      </c>
      <c r="G85" s="27">
        <v>6503.1298828125</v>
      </c>
      <c r="H85" s="27">
        <v>6867.39013671875</v>
      </c>
      <c r="I85" s="27" t="s">
        <v>200</v>
      </c>
      <c r="J85" s="27">
        <v>7611.25</v>
      </c>
      <c r="K85" s="27" t="s">
        <v>200</v>
      </c>
      <c r="L85" s="27" t="s">
        <v>200</v>
      </c>
      <c r="M85" s="27" t="s">
        <v>200</v>
      </c>
      <c r="N85" s="27" t="s">
        <v>200</v>
      </c>
      <c r="O85" s="27" t="s">
        <v>200</v>
      </c>
      <c r="P85" s="27">
        <v>8261.990234375</v>
      </c>
      <c r="Q85" s="27" t="s">
        <v>200</v>
      </c>
      <c r="R85" s="27">
        <v>8787.1201171875</v>
      </c>
      <c r="S85" s="27" t="s">
        <v>200</v>
      </c>
      <c r="T85" s="27">
        <v>9169.1103515625</v>
      </c>
      <c r="U85" s="27" t="s">
        <v>200</v>
      </c>
      <c r="V85" s="27">
        <v>9384.7001953125</v>
      </c>
      <c r="W85" s="27" t="s">
        <v>200</v>
      </c>
      <c r="X85" s="27">
        <v>9456.8798828125</v>
      </c>
      <c r="Y85" s="27" t="s">
        <v>200</v>
      </c>
      <c r="Z85" s="27">
        <v>9407.259765625</v>
      </c>
      <c r="AA85" s="27" t="s">
        <v>200</v>
      </c>
      <c r="AB85" s="27">
        <v>9253.9501953125</v>
      </c>
      <c r="AC85" s="27" t="s">
        <v>200</v>
      </c>
      <c r="AD85" s="27">
        <v>9032.419921875</v>
      </c>
    </row>
    <row r="86" spans="1:30">
      <c r="A86" s="27" t="s">
        <v>226</v>
      </c>
      <c r="B86" s="27" t="s">
        <v>291</v>
      </c>
      <c r="C86" s="27" t="s">
        <v>198</v>
      </c>
      <c r="D86" s="27" t="s">
        <v>199</v>
      </c>
      <c r="E86" s="27" t="s">
        <v>92</v>
      </c>
      <c r="F86" s="27" t="s">
        <v>200</v>
      </c>
      <c r="G86" s="27">
        <v>6465.5870000000004</v>
      </c>
      <c r="H86" s="27">
        <v>6858.4391000000014</v>
      </c>
      <c r="I86" s="27">
        <v>7248.0137000000004</v>
      </c>
      <c r="J86" s="27">
        <v>7637.5883000000003</v>
      </c>
      <c r="K86" s="27" t="s">
        <v>200</v>
      </c>
      <c r="L86" s="27" t="s">
        <v>200</v>
      </c>
      <c r="M86" s="27" t="s">
        <v>200</v>
      </c>
      <c r="N86" s="27" t="s">
        <v>200</v>
      </c>
      <c r="O86" s="27">
        <v>7978.3733999999986</v>
      </c>
      <c r="P86" s="27">
        <v>8287.5741000000016</v>
      </c>
      <c r="Q86" s="27">
        <v>8565.3942999999999</v>
      </c>
      <c r="R86" s="27">
        <v>8809.9674999999988</v>
      </c>
      <c r="S86" s="27">
        <v>9018.4266000000043</v>
      </c>
      <c r="T86" s="27">
        <v>9186.5607999999993</v>
      </c>
      <c r="U86" s="27">
        <v>9311.6731</v>
      </c>
      <c r="V86" s="27">
        <v>9395.1237000000019</v>
      </c>
      <c r="W86" s="27" t="s">
        <v>200</v>
      </c>
      <c r="X86" s="27">
        <v>9457.9455999999991</v>
      </c>
      <c r="Y86" s="27" t="s">
        <v>200</v>
      </c>
      <c r="Z86" s="27">
        <v>9399.8698999999997</v>
      </c>
      <c r="AA86" s="27" t="s">
        <v>200</v>
      </c>
      <c r="AB86" s="27">
        <v>9239.5298000000003</v>
      </c>
      <c r="AC86" s="27" t="s">
        <v>200</v>
      </c>
      <c r="AD86" s="27">
        <v>9012.2114999999994</v>
      </c>
    </row>
    <row r="87" spans="1:30">
      <c r="A87" s="27" t="s">
        <v>261</v>
      </c>
      <c r="B87" s="27" t="s">
        <v>292</v>
      </c>
      <c r="C87" s="27" t="s">
        <v>198</v>
      </c>
      <c r="D87" s="27" t="s">
        <v>199</v>
      </c>
      <c r="E87" s="27" t="s">
        <v>92</v>
      </c>
      <c r="F87" s="27" t="s">
        <v>200</v>
      </c>
      <c r="G87" s="27">
        <v>6541.73681640625</v>
      </c>
      <c r="H87" s="27">
        <v>6957.7060546875</v>
      </c>
      <c r="I87" s="27">
        <v>7382.4990234375</v>
      </c>
      <c r="J87" s="27">
        <v>7756.7080078125</v>
      </c>
      <c r="K87" s="27" t="s">
        <v>200</v>
      </c>
      <c r="L87" s="27" t="s">
        <v>200</v>
      </c>
      <c r="M87" s="27" t="s">
        <v>200</v>
      </c>
      <c r="N87" s="27" t="s">
        <v>200</v>
      </c>
      <c r="O87" s="27">
        <v>8105.07421875</v>
      </c>
      <c r="P87" s="27">
        <v>8421.4912109375</v>
      </c>
      <c r="Q87" s="27">
        <v>8706.3720703125</v>
      </c>
      <c r="R87" s="27">
        <v>8958.1103515625</v>
      </c>
      <c r="S87" s="27">
        <v>9173.7060546875</v>
      </c>
      <c r="T87" s="27">
        <v>9348.6796875</v>
      </c>
      <c r="U87" s="27">
        <v>9480.0478515625</v>
      </c>
      <c r="V87" s="27">
        <v>9569.134765625</v>
      </c>
      <c r="W87" s="27">
        <v>9621.3115234375</v>
      </c>
      <c r="X87" s="27">
        <v>9641.6494140625</v>
      </c>
      <c r="Y87" s="27">
        <v>9631.0654296875</v>
      </c>
      <c r="Z87" s="27">
        <v>9590.7734375</v>
      </c>
      <c r="AA87" s="27">
        <v>9523.6240234375</v>
      </c>
      <c r="AB87" s="27">
        <v>9435.03125</v>
      </c>
      <c r="AC87" s="27">
        <v>9329.603515625</v>
      </c>
      <c r="AD87" s="27">
        <v>9210.525390625</v>
      </c>
    </row>
    <row r="88" spans="1:30">
      <c r="A88" s="27" t="s">
        <v>261</v>
      </c>
      <c r="B88" s="27" t="s">
        <v>293</v>
      </c>
      <c r="C88" s="27" t="s">
        <v>198</v>
      </c>
      <c r="D88" s="27" t="s">
        <v>199</v>
      </c>
      <c r="E88" s="27" t="s">
        <v>92</v>
      </c>
      <c r="F88" s="27" t="s">
        <v>200</v>
      </c>
      <c r="G88" s="27">
        <v>6541.73681640625</v>
      </c>
      <c r="H88" s="27">
        <v>6957.7060546875</v>
      </c>
      <c r="I88" s="27">
        <v>7382.4990234375</v>
      </c>
      <c r="J88" s="27">
        <v>7756.7080078125</v>
      </c>
      <c r="K88" s="27" t="s">
        <v>200</v>
      </c>
      <c r="L88" s="27" t="s">
        <v>200</v>
      </c>
      <c r="M88" s="27" t="s">
        <v>200</v>
      </c>
      <c r="N88" s="27" t="s">
        <v>200</v>
      </c>
      <c r="O88" s="27">
        <v>8032.658203125</v>
      </c>
      <c r="P88" s="27">
        <v>8258.1728515625</v>
      </c>
      <c r="Q88" s="27">
        <v>8448.5009765625</v>
      </c>
      <c r="R88" s="27">
        <v>8596.3046875</v>
      </c>
      <c r="S88" s="27">
        <v>8695.7197265625</v>
      </c>
      <c r="T88" s="27">
        <v>8743.8984375</v>
      </c>
      <c r="U88" s="27">
        <v>8746.41015625</v>
      </c>
      <c r="V88" s="27">
        <v>8706.01953125</v>
      </c>
      <c r="W88" s="27">
        <v>8626.0146484375</v>
      </c>
      <c r="X88" s="27">
        <v>8508.7451171875</v>
      </c>
      <c r="Y88" s="27">
        <v>8356.0087890625</v>
      </c>
      <c r="Z88" s="27">
        <v>8169.212890625</v>
      </c>
      <c r="AA88" s="27">
        <v>7949.27197265625</v>
      </c>
      <c r="AB88" s="27">
        <v>7701.02392578125</v>
      </c>
      <c r="AC88" s="27">
        <v>7428.81494140625</v>
      </c>
      <c r="AD88" s="27">
        <v>7134.71923828125</v>
      </c>
    </row>
    <row r="89" spans="1:30">
      <c r="A89" s="27" t="s">
        <v>196</v>
      </c>
      <c r="B89" s="27" t="s">
        <v>280</v>
      </c>
      <c r="C89" s="27" t="s">
        <v>198</v>
      </c>
      <c r="D89" s="27" t="s">
        <v>199</v>
      </c>
      <c r="E89" s="27" t="s">
        <v>92</v>
      </c>
      <c r="F89" s="27" t="s">
        <v>200</v>
      </c>
      <c r="G89" s="27">
        <v>6522.9120999999996</v>
      </c>
      <c r="H89" s="27">
        <v>6935.7699000000002</v>
      </c>
      <c r="I89" s="27">
        <v>7359.7948999999999</v>
      </c>
      <c r="J89" s="27">
        <v>7714.5160999999998</v>
      </c>
      <c r="K89" s="27" t="s">
        <v>200</v>
      </c>
      <c r="L89" s="27" t="s">
        <v>200</v>
      </c>
      <c r="M89" s="27" t="s">
        <v>200</v>
      </c>
      <c r="N89" s="27" t="s">
        <v>200</v>
      </c>
      <c r="O89" s="27">
        <v>8043.7245999999996</v>
      </c>
      <c r="P89" s="27">
        <v>8341.3484000000008</v>
      </c>
      <c r="Q89" s="27">
        <v>8607.5912000000008</v>
      </c>
      <c r="R89" s="27">
        <v>8840.5871999999999</v>
      </c>
      <c r="S89" s="27">
        <v>9037.4691999999995</v>
      </c>
      <c r="T89" s="27">
        <v>9194.0269000000008</v>
      </c>
      <c r="U89" s="27">
        <v>9319.14</v>
      </c>
      <c r="V89" s="27">
        <v>9402.5894000000008</v>
      </c>
      <c r="W89" s="27" t="s">
        <v>200</v>
      </c>
      <c r="X89" s="27">
        <v>9465.4109000000008</v>
      </c>
      <c r="Y89" s="27" t="s">
        <v>200</v>
      </c>
      <c r="Z89" s="27">
        <v>9407.3359</v>
      </c>
      <c r="AA89" s="27" t="s">
        <v>200</v>
      </c>
      <c r="AB89" s="27">
        <v>9246.9953999999998</v>
      </c>
      <c r="AC89" s="27" t="s">
        <v>200</v>
      </c>
      <c r="AD89" s="27">
        <v>9019.6777000000002</v>
      </c>
    </row>
    <row r="90" spans="1:30">
      <c r="A90" s="27" t="s">
        <v>218</v>
      </c>
      <c r="B90" s="27" t="s">
        <v>294</v>
      </c>
      <c r="C90" s="27" t="s">
        <v>198</v>
      </c>
      <c r="D90" s="27" t="s">
        <v>199</v>
      </c>
      <c r="E90" s="27" t="s">
        <v>92</v>
      </c>
      <c r="F90" s="27" t="s">
        <v>200</v>
      </c>
      <c r="G90" s="27">
        <v>6465.5870000000004</v>
      </c>
      <c r="H90" s="27">
        <v>6858.4391999999998</v>
      </c>
      <c r="I90" s="27">
        <v>7248.0137000000004</v>
      </c>
      <c r="J90" s="27">
        <v>7637.5883000000003</v>
      </c>
      <c r="K90" s="27" t="s">
        <v>200</v>
      </c>
      <c r="L90" s="27" t="s">
        <v>200</v>
      </c>
      <c r="M90" s="27" t="s">
        <v>200</v>
      </c>
      <c r="N90" s="27" t="s">
        <v>200</v>
      </c>
      <c r="O90" s="27">
        <v>7978.3739999999998</v>
      </c>
      <c r="P90" s="27">
        <v>8287.5740000000005</v>
      </c>
      <c r="Q90" s="27">
        <v>8565.3940000000002</v>
      </c>
      <c r="R90" s="27">
        <v>8809.9669999999987</v>
      </c>
      <c r="S90" s="27">
        <v>9018.4259999999995</v>
      </c>
      <c r="T90" s="27">
        <v>9186.5609999999997</v>
      </c>
      <c r="U90" s="27">
        <v>9311.6740000000009</v>
      </c>
      <c r="V90" s="27">
        <v>9395.1229999999996</v>
      </c>
      <c r="W90" s="27" t="s">
        <v>200</v>
      </c>
      <c r="X90" s="27">
        <v>9457.9449999999997</v>
      </c>
      <c r="Y90" s="27" t="s">
        <v>200</v>
      </c>
      <c r="Z90" s="27">
        <v>9399.8700000000008</v>
      </c>
      <c r="AA90" s="27" t="s">
        <v>200</v>
      </c>
      <c r="AB90" s="27">
        <v>9239.5290000000005</v>
      </c>
      <c r="AC90" s="27" t="s">
        <v>200</v>
      </c>
      <c r="AD90" s="27">
        <v>9012.2119999999995</v>
      </c>
    </row>
    <row r="91" spans="1:30">
      <c r="A91" s="27" t="s">
        <v>261</v>
      </c>
      <c r="B91" s="27" t="s">
        <v>295</v>
      </c>
      <c r="C91" s="27" t="s">
        <v>198</v>
      </c>
      <c r="D91" s="27" t="s">
        <v>199</v>
      </c>
      <c r="E91" s="27" t="s">
        <v>92</v>
      </c>
      <c r="F91" s="27" t="s">
        <v>200</v>
      </c>
      <c r="G91" s="27">
        <v>6541.73681640625</v>
      </c>
      <c r="H91" s="27">
        <v>6957.7060546875</v>
      </c>
      <c r="I91" s="27">
        <v>7382.4990234375</v>
      </c>
      <c r="J91" s="27">
        <v>7756.7080078125</v>
      </c>
      <c r="K91" s="27" t="s">
        <v>200</v>
      </c>
      <c r="L91" s="27" t="s">
        <v>200</v>
      </c>
      <c r="M91" s="27" t="s">
        <v>200</v>
      </c>
      <c r="N91" s="27" t="s">
        <v>200</v>
      </c>
      <c r="O91" s="27">
        <v>8105.07421875</v>
      </c>
      <c r="P91" s="27">
        <v>8421.4912109375</v>
      </c>
      <c r="Q91" s="27">
        <v>8706.3720703125</v>
      </c>
      <c r="R91" s="27">
        <v>8958.1103515625</v>
      </c>
      <c r="S91" s="27">
        <v>9173.7060546875</v>
      </c>
      <c r="T91" s="27">
        <v>9348.6796875</v>
      </c>
      <c r="U91" s="27">
        <v>9480.0478515625</v>
      </c>
      <c r="V91" s="27">
        <v>9569.134765625</v>
      </c>
      <c r="W91" s="27">
        <v>9621.3115234375</v>
      </c>
      <c r="X91" s="27">
        <v>9641.6494140625</v>
      </c>
      <c r="Y91" s="27">
        <v>9631.0654296875</v>
      </c>
      <c r="Z91" s="27">
        <v>9590.7734375</v>
      </c>
      <c r="AA91" s="27">
        <v>9523.6240234375</v>
      </c>
      <c r="AB91" s="27">
        <v>9435.03125</v>
      </c>
      <c r="AC91" s="27">
        <v>9329.603515625</v>
      </c>
      <c r="AD91" s="27">
        <v>9210.525390625</v>
      </c>
    </row>
    <row r="92" spans="1:30">
      <c r="A92" s="27" t="s">
        <v>196</v>
      </c>
      <c r="B92" s="27" t="s">
        <v>296</v>
      </c>
      <c r="C92" s="27" t="s">
        <v>198</v>
      </c>
      <c r="D92" s="27" t="s">
        <v>199</v>
      </c>
      <c r="E92" s="27" t="s">
        <v>92</v>
      </c>
      <c r="F92" s="27" t="s">
        <v>200</v>
      </c>
      <c r="G92" s="27">
        <v>6522.9120999999996</v>
      </c>
      <c r="H92" s="27">
        <v>6935.7699000000002</v>
      </c>
      <c r="I92" s="27">
        <v>7359.7948999999999</v>
      </c>
      <c r="J92" s="27">
        <v>7714.5160999999998</v>
      </c>
      <c r="K92" s="27" t="s">
        <v>200</v>
      </c>
      <c r="L92" s="27" t="s">
        <v>200</v>
      </c>
      <c r="M92" s="27" t="s">
        <v>200</v>
      </c>
      <c r="N92" s="27" t="s">
        <v>200</v>
      </c>
      <c r="O92" s="27">
        <v>8043.7245999999996</v>
      </c>
      <c r="P92" s="27">
        <v>8341.3484000000008</v>
      </c>
      <c r="Q92" s="27">
        <v>8607.5912000000008</v>
      </c>
      <c r="R92" s="27">
        <v>8840.5871999999999</v>
      </c>
      <c r="S92" s="27">
        <v>9037.4691999999995</v>
      </c>
      <c r="T92" s="27">
        <v>9194.0269000000008</v>
      </c>
      <c r="U92" s="27">
        <v>9319.14</v>
      </c>
      <c r="V92" s="27">
        <v>9402.5894000000008</v>
      </c>
      <c r="W92" s="27" t="s">
        <v>200</v>
      </c>
      <c r="X92" s="27">
        <v>9465.4109000000008</v>
      </c>
      <c r="Y92" s="27" t="s">
        <v>200</v>
      </c>
      <c r="Z92" s="27">
        <v>9407.3359</v>
      </c>
      <c r="AA92" s="27" t="s">
        <v>200</v>
      </c>
      <c r="AB92" s="27">
        <v>9246.9953999999998</v>
      </c>
      <c r="AC92" s="27" t="s">
        <v>200</v>
      </c>
      <c r="AD92" s="27">
        <v>9019.6777000000002</v>
      </c>
    </row>
    <row r="93" spans="1:30">
      <c r="A93" s="27" t="s">
        <v>196</v>
      </c>
      <c r="B93" s="27" t="s">
        <v>297</v>
      </c>
      <c r="C93" s="27" t="s">
        <v>198</v>
      </c>
      <c r="D93" s="27" t="s">
        <v>199</v>
      </c>
      <c r="E93" s="27" t="s">
        <v>92</v>
      </c>
      <c r="F93" s="27" t="s">
        <v>200</v>
      </c>
      <c r="G93" s="27" t="s">
        <v>200</v>
      </c>
      <c r="H93" s="27">
        <v>6935.7699000000002</v>
      </c>
      <c r="I93" s="27">
        <v>7359.7948999999999</v>
      </c>
      <c r="J93" s="27">
        <v>7714.5160999999998</v>
      </c>
      <c r="K93" s="27" t="s">
        <v>200</v>
      </c>
      <c r="L93" s="27" t="s">
        <v>200</v>
      </c>
      <c r="M93" s="27" t="s">
        <v>200</v>
      </c>
      <c r="N93" s="27" t="s">
        <v>200</v>
      </c>
      <c r="O93" s="27">
        <v>8043.7245999999996</v>
      </c>
      <c r="P93" s="27">
        <v>8341.3484000000008</v>
      </c>
      <c r="Q93" s="27">
        <v>8607.5912000000008</v>
      </c>
      <c r="R93" s="27">
        <v>8840.5871999999999</v>
      </c>
      <c r="S93" s="27">
        <v>9037.4691999999995</v>
      </c>
      <c r="T93" s="27">
        <v>9194.0269000000008</v>
      </c>
      <c r="U93" s="27">
        <v>9319.14</v>
      </c>
      <c r="V93" s="27">
        <v>9402.5894000000008</v>
      </c>
      <c r="W93" s="27" t="s">
        <v>200</v>
      </c>
      <c r="X93" s="27">
        <v>9465.4109000000008</v>
      </c>
      <c r="Y93" s="27" t="s">
        <v>200</v>
      </c>
      <c r="Z93" s="27">
        <v>9407.3359</v>
      </c>
      <c r="AA93" s="27" t="s">
        <v>200</v>
      </c>
      <c r="AB93" s="27">
        <v>9246.9953999999998</v>
      </c>
      <c r="AC93" s="27" t="s">
        <v>200</v>
      </c>
      <c r="AD93" s="27">
        <v>9019.6777000000002</v>
      </c>
    </row>
    <row r="94" spans="1:30">
      <c r="A94" s="27" t="s">
        <v>244</v>
      </c>
      <c r="B94" s="27" t="s">
        <v>267</v>
      </c>
      <c r="C94" s="27" t="s">
        <v>198</v>
      </c>
      <c r="D94" s="27" t="s">
        <v>199</v>
      </c>
      <c r="E94" s="27" t="s">
        <v>92</v>
      </c>
      <c r="F94" s="27" t="s">
        <v>200</v>
      </c>
      <c r="G94" s="27" t="s">
        <v>200</v>
      </c>
      <c r="H94" s="27" t="s">
        <v>200</v>
      </c>
      <c r="I94" s="27">
        <v>7378.5392570000122</v>
      </c>
      <c r="J94" s="27">
        <v>7795.1362320000117</v>
      </c>
      <c r="K94" s="27" t="s">
        <v>200</v>
      </c>
      <c r="L94" s="27" t="s">
        <v>200</v>
      </c>
      <c r="M94" s="27" t="s">
        <v>200</v>
      </c>
      <c r="N94" s="27" t="s">
        <v>200</v>
      </c>
      <c r="O94" s="27">
        <v>8188.2336990000131</v>
      </c>
      <c r="P94" s="27">
        <v>8555.2617090000167</v>
      </c>
      <c r="Q94" s="27">
        <v>8897.4752190000127</v>
      </c>
      <c r="R94" s="27">
        <v>9238.1439210000153</v>
      </c>
      <c r="S94" s="27">
        <v>9498.9464660000158</v>
      </c>
      <c r="T94" s="27">
        <v>9755.900937000024</v>
      </c>
      <c r="U94" s="27">
        <v>9982.6675190000224</v>
      </c>
      <c r="V94" s="27">
        <v>10179.86546700002</v>
      </c>
      <c r="W94" s="27">
        <v>10350.31374000002</v>
      </c>
      <c r="X94" s="27">
        <v>10495.81078500002</v>
      </c>
      <c r="Y94" s="27">
        <v>10617.97046401325</v>
      </c>
      <c r="Z94" s="27">
        <v>10718.53389378218</v>
      </c>
      <c r="AA94" s="27">
        <v>10799.03546433675</v>
      </c>
      <c r="AB94" s="27">
        <v>10861.87495100884</v>
      </c>
      <c r="AC94" s="27">
        <v>10907.46879944686</v>
      </c>
      <c r="AD94" s="27">
        <v>10934.711234630549</v>
      </c>
    </row>
    <row r="95" spans="1:30">
      <c r="A95" s="27" t="s">
        <v>261</v>
      </c>
      <c r="B95" s="27" t="s">
        <v>298</v>
      </c>
      <c r="C95" s="27" t="s">
        <v>198</v>
      </c>
      <c r="D95" s="27" t="s">
        <v>199</v>
      </c>
      <c r="E95" s="27" t="s">
        <v>92</v>
      </c>
      <c r="F95" s="27" t="s">
        <v>200</v>
      </c>
      <c r="G95" s="27">
        <v>6541.73681640625</v>
      </c>
      <c r="H95" s="27">
        <v>6957.7060546875</v>
      </c>
      <c r="I95" s="27">
        <v>7382.4990234375</v>
      </c>
      <c r="J95" s="27">
        <v>7756.7080078125</v>
      </c>
      <c r="K95" s="27" t="s">
        <v>200</v>
      </c>
      <c r="L95" s="27" t="s">
        <v>200</v>
      </c>
      <c r="M95" s="27" t="s">
        <v>200</v>
      </c>
      <c r="N95" s="27" t="s">
        <v>200</v>
      </c>
      <c r="O95" s="27">
        <v>8032.658203125</v>
      </c>
      <c r="P95" s="27">
        <v>8258.1728515625</v>
      </c>
      <c r="Q95" s="27">
        <v>8448.5009765625</v>
      </c>
      <c r="R95" s="27">
        <v>8596.3046875</v>
      </c>
      <c r="S95" s="27">
        <v>8695.7197265625</v>
      </c>
      <c r="T95" s="27">
        <v>8743.8984375</v>
      </c>
      <c r="U95" s="27">
        <v>8746.41015625</v>
      </c>
      <c r="V95" s="27">
        <v>8706.01953125</v>
      </c>
      <c r="W95" s="27">
        <v>8626.0146484375</v>
      </c>
      <c r="X95" s="27">
        <v>8508.7451171875</v>
      </c>
      <c r="Y95" s="27">
        <v>8356.0087890625</v>
      </c>
      <c r="Z95" s="27">
        <v>8169.212890625</v>
      </c>
      <c r="AA95" s="27">
        <v>7949.27197265625</v>
      </c>
      <c r="AB95" s="27">
        <v>7701.02392578125</v>
      </c>
      <c r="AC95" s="27">
        <v>7428.81494140625</v>
      </c>
      <c r="AD95" s="27">
        <v>7134.71923828125</v>
      </c>
    </row>
    <row r="96" spans="1:30">
      <c r="A96" s="27" t="s">
        <v>261</v>
      </c>
      <c r="B96" s="27" t="s">
        <v>299</v>
      </c>
      <c r="C96" s="27" t="s">
        <v>198</v>
      </c>
      <c r="D96" s="27" t="s">
        <v>199</v>
      </c>
      <c r="E96" s="27" t="s">
        <v>92</v>
      </c>
      <c r="F96" s="27" t="s">
        <v>200</v>
      </c>
      <c r="G96" s="27">
        <v>6541.73681640625</v>
      </c>
      <c r="H96" s="27">
        <v>6957.7060546875</v>
      </c>
      <c r="I96" s="27">
        <v>7382.4990234375</v>
      </c>
      <c r="J96" s="27">
        <v>7756.7080078125</v>
      </c>
      <c r="K96" s="27" t="s">
        <v>200</v>
      </c>
      <c r="L96" s="27" t="s">
        <v>200</v>
      </c>
      <c r="M96" s="27" t="s">
        <v>200</v>
      </c>
      <c r="N96" s="27" t="s">
        <v>200</v>
      </c>
      <c r="O96" s="27">
        <v>8105.07421875</v>
      </c>
      <c r="P96" s="27">
        <v>8421.4912109375</v>
      </c>
      <c r="Q96" s="27">
        <v>8706.3720703125</v>
      </c>
      <c r="R96" s="27">
        <v>8958.1103515625</v>
      </c>
      <c r="S96" s="27">
        <v>9173.7060546875</v>
      </c>
      <c r="T96" s="27">
        <v>9348.6796875</v>
      </c>
      <c r="U96" s="27">
        <v>9480.0478515625</v>
      </c>
      <c r="V96" s="27">
        <v>9569.134765625</v>
      </c>
      <c r="W96" s="27">
        <v>9621.3115234375</v>
      </c>
      <c r="X96" s="27">
        <v>9641.6494140625</v>
      </c>
      <c r="Y96" s="27">
        <v>9631.0654296875</v>
      </c>
      <c r="Z96" s="27">
        <v>9590.7734375</v>
      </c>
      <c r="AA96" s="27">
        <v>9523.6240234375</v>
      </c>
      <c r="AB96" s="27">
        <v>9435.03125</v>
      </c>
      <c r="AC96" s="27">
        <v>9329.603515625</v>
      </c>
      <c r="AD96" s="27">
        <v>9210.525390625</v>
      </c>
    </row>
    <row r="97" spans="1:30">
      <c r="A97" s="27" t="s">
        <v>207</v>
      </c>
      <c r="B97" s="27" t="s">
        <v>267</v>
      </c>
      <c r="C97" s="27" t="s">
        <v>198</v>
      </c>
      <c r="D97" s="27" t="s">
        <v>199</v>
      </c>
      <c r="E97" s="27" t="s">
        <v>92</v>
      </c>
      <c r="F97" s="27">
        <v>6119.4199905395508</v>
      </c>
      <c r="G97" s="27">
        <v>6503.1299362182617</v>
      </c>
      <c r="H97" s="27">
        <v>6867.3900375366211</v>
      </c>
      <c r="I97" s="27">
        <v>7239.32</v>
      </c>
      <c r="J97" s="27">
        <v>7611.2499999999991</v>
      </c>
      <c r="K97" s="27" t="s">
        <v>200</v>
      </c>
      <c r="L97" s="27" t="s">
        <v>200</v>
      </c>
      <c r="M97" s="27" t="s">
        <v>200</v>
      </c>
      <c r="N97" s="27" t="s">
        <v>200</v>
      </c>
      <c r="O97" s="27">
        <v>7936.62</v>
      </c>
      <c r="P97" s="27">
        <v>8261.9900000000016</v>
      </c>
      <c r="Q97" s="27">
        <v>8524.5550000000003</v>
      </c>
      <c r="R97" s="27">
        <v>8787.1200000000008</v>
      </c>
      <c r="S97" s="27">
        <v>8978.1149999999998</v>
      </c>
      <c r="T97" s="27">
        <v>9169.11</v>
      </c>
      <c r="U97" s="27">
        <v>9276.9050000000007</v>
      </c>
      <c r="V97" s="27">
        <v>9384.7000000000007</v>
      </c>
      <c r="W97" s="27" t="s">
        <v>200</v>
      </c>
      <c r="X97" s="27">
        <v>9456.8799999999992</v>
      </c>
      <c r="Y97" s="27" t="s">
        <v>200</v>
      </c>
      <c r="Z97" s="27">
        <v>9407.26</v>
      </c>
      <c r="AA97" s="27" t="s">
        <v>200</v>
      </c>
      <c r="AB97" s="27">
        <v>9253.9500000000007</v>
      </c>
      <c r="AC97" s="27" t="s">
        <v>200</v>
      </c>
      <c r="AD97" s="27">
        <v>9032.4200000000019</v>
      </c>
    </row>
    <row r="101" spans="1:30">
      <c r="C101" s="3" t="s">
        <v>69</v>
      </c>
      <c r="F101" s="27">
        <f>MEDIAN(F2:F97)</f>
        <v>6119.4199905395508</v>
      </c>
      <c r="G101" s="27">
        <f t="shared" ref="G101:R101" si="0">MEDIAN(G2:G97)</f>
        <v>6522.9120999999996</v>
      </c>
      <c r="H101" s="27">
        <f t="shared" si="0"/>
        <v>6916.18310546875</v>
      </c>
      <c r="I101" s="27">
        <f t="shared" si="0"/>
        <v>7359.7948999999999</v>
      </c>
      <c r="J101" s="27">
        <f t="shared" si="0"/>
        <v>7653.3779709067539</v>
      </c>
      <c r="K101" s="27">
        <f t="shared" si="0"/>
        <v>7676.3239999999996</v>
      </c>
      <c r="L101" s="27">
        <f t="shared" si="0"/>
        <v>7741.3980000000001</v>
      </c>
      <c r="M101" s="27">
        <f t="shared" si="0"/>
        <v>7806.4719999999998</v>
      </c>
      <c r="N101" s="27">
        <f t="shared" si="0"/>
        <v>7871.5460000000003</v>
      </c>
      <c r="O101" s="27">
        <f t="shared" si="0"/>
        <v>8002.2694610545932</v>
      </c>
      <c r="P101" s="27">
        <f t="shared" si="0"/>
        <v>8287.5740000000005</v>
      </c>
      <c r="Q101" s="27">
        <f t="shared" si="0"/>
        <v>8600.4017416814913</v>
      </c>
      <c r="R101" s="27">
        <f t="shared" si="0"/>
        <v>8809.9669999999987</v>
      </c>
      <c r="S101" s="27">
        <f>MEDIAN(S2:S97)</f>
        <v>9037.4691999999995</v>
      </c>
      <c r="T101" s="27">
        <f t="shared" ref="T101:AD101" si="1">MEDIAN(T2:T97)</f>
        <v>9186.5609999999997</v>
      </c>
      <c r="U101" s="27">
        <f t="shared" si="1"/>
        <v>9319.14</v>
      </c>
      <c r="V101" s="27">
        <f t="shared" si="1"/>
        <v>9395.1229999999996</v>
      </c>
      <c r="W101" s="27">
        <f t="shared" si="1"/>
        <v>9563.8909999999996</v>
      </c>
      <c r="X101" s="27">
        <f t="shared" si="1"/>
        <v>9457.9449999999997</v>
      </c>
      <c r="Y101" s="27">
        <f t="shared" si="1"/>
        <v>9565.1270000000004</v>
      </c>
      <c r="Z101" s="27">
        <f t="shared" si="1"/>
        <v>9407.26</v>
      </c>
      <c r="AA101" s="27">
        <f t="shared" si="1"/>
        <v>9450.7749999999996</v>
      </c>
      <c r="AB101" s="27">
        <f t="shared" si="1"/>
        <v>9246.9953999999998</v>
      </c>
      <c r="AC101" s="27">
        <f t="shared" si="1"/>
        <v>9251.4249999999993</v>
      </c>
      <c r="AD101" s="27">
        <f t="shared" si="1"/>
        <v>9019.6777000000002</v>
      </c>
    </row>
    <row r="102" spans="1:30">
      <c r="C102" s="3" t="s">
        <v>72</v>
      </c>
      <c r="F102" s="27">
        <f>_xlfn.PERCENTILE.INC(F2:F97,0.25)</f>
        <v>6119.4199905395499</v>
      </c>
      <c r="G102" s="27">
        <f t="shared" ref="G102:R102" si="2">_xlfn.PERCENTILE.INC(G2:G97,0.25)</f>
        <v>6503.1299362182599</v>
      </c>
      <c r="H102" s="27">
        <f t="shared" si="2"/>
        <v>6867.3900375366211</v>
      </c>
      <c r="I102" s="27">
        <f t="shared" si="2"/>
        <v>7248.0137000000004</v>
      </c>
      <c r="J102" s="27">
        <f t="shared" si="2"/>
        <v>7611.25</v>
      </c>
      <c r="K102" s="27">
        <f t="shared" si="2"/>
        <v>7676.3239999999996</v>
      </c>
      <c r="L102" s="27">
        <f t="shared" si="2"/>
        <v>7741.3980000000001</v>
      </c>
      <c r="M102" s="27">
        <f t="shared" si="2"/>
        <v>7806.4719999999998</v>
      </c>
      <c r="N102" s="27">
        <f t="shared" si="2"/>
        <v>7871.5460000000003</v>
      </c>
      <c r="O102" s="27">
        <f t="shared" si="2"/>
        <v>7936.62</v>
      </c>
      <c r="P102" s="27">
        <f t="shared" si="2"/>
        <v>8261.99</v>
      </c>
      <c r="Q102" s="27">
        <f t="shared" si="2"/>
        <v>8524.5550000000003</v>
      </c>
      <c r="R102" s="27">
        <f t="shared" si="2"/>
        <v>8787.1200000000008</v>
      </c>
      <c r="S102" s="27">
        <f>_xlfn.PERCENTILE.INC(S2:S97,0.25)</f>
        <v>8978.1149999999998</v>
      </c>
      <c r="T102" s="27">
        <f t="shared" ref="T102:AD102" si="3">_xlfn.PERCENTILE.INC(T2:T97,0.25)</f>
        <v>9169.11</v>
      </c>
      <c r="U102" s="27">
        <f t="shared" si="3"/>
        <v>9276.9050000000007</v>
      </c>
      <c r="V102" s="27">
        <f t="shared" si="3"/>
        <v>9384.7000000000007</v>
      </c>
      <c r="W102" s="27">
        <f t="shared" si="3"/>
        <v>9520.5585375843712</v>
      </c>
      <c r="X102" s="27">
        <f t="shared" si="3"/>
        <v>9456.8799999999992</v>
      </c>
      <c r="Y102" s="27">
        <f t="shared" si="3"/>
        <v>9535.986024638356</v>
      </c>
      <c r="Z102" s="27">
        <f t="shared" si="3"/>
        <v>9399.8700000000008</v>
      </c>
      <c r="AA102" s="27">
        <f t="shared" si="3"/>
        <v>9434.0882580191646</v>
      </c>
      <c r="AB102" s="27">
        <f t="shared" si="3"/>
        <v>9239.5290000000005</v>
      </c>
      <c r="AC102" s="27">
        <f t="shared" si="3"/>
        <v>9244.9020231836694</v>
      </c>
      <c r="AD102" s="27">
        <f t="shared" si="3"/>
        <v>9012.2119999999995</v>
      </c>
    </row>
    <row r="103" spans="1:30">
      <c r="C103" s="3" t="s">
        <v>73</v>
      </c>
      <c r="F103" s="27">
        <f>_xlfn.PERCENTILE.INC(F2:F97,0.75)</f>
        <v>6119.4199905395508</v>
      </c>
      <c r="G103" s="27">
        <f t="shared" ref="G103:R103" si="4">_xlfn.PERCENTILE.INC(G2:G97,0.75)</f>
        <v>6522.9120999999996</v>
      </c>
      <c r="H103" s="27">
        <f t="shared" si="4"/>
        <v>6935.7699000000002</v>
      </c>
      <c r="I103" s="27">
        <f t="shared" si="4"/>
        <v>7359.7948999999999</v>
      </c>
      <c r="J103" s="27">
        <f t="shared" si="4"/>
        <v>7714.5160999999998</v>
      </c>
      <c r="K103" s="27">
        <f t="shared" si="4"/>
        <v>7676.3239999999996</v>
      </c>
      <c r="L103" s="27">
        <f t="shared" si="4"/>
        <v>7741.3980000000001</v>
      </c>
      <c r="M103" s="27">
        <f t="shared" si="4"/>
        <v>7806.4719999999998</v>
      </c>
      <c r="N103" s="27">
        <f t="shared" si="4"/>
        <v>7871.5460000000003</v>
      </c>
      <c r="O103" s="27">
        <f t="shared" si="4"/>
        <v>8043.7245999999996</v>
      </c>
      <c r="P103" s="27">
        <f t="shared" si="4"/>
        <v>8341.3484000000008</v>
      </c>
      <c r="Q103" s="27">
        <f t="shared" si="4"/>
        <v>8607.5912000000008</v>
      </c>
      <c r="R103" s="27">
        <f t="shared" si="4"/>
        <v>8840.5871999999999</v>
      </c>
      <c r="S103" s="27">
        <f>_xlfn.PERCENTILE.INC(S2:S97,0.75)</f>
        <v>9052.229178571426</v>
      </c>
      <c r="T103" s="27">
        <f t="shared" ref="T103:AD103" si="5">_xlfn.PERCENTILE.INC(T2:T97,0.75)</f>
        <v>9194.0269000000008</v>
      </c>
      <c r="U103" s="27">
        <f t="shared" si="5"/>
        <v>9374.8141058708206</v>
      </c>
      <c r="V103" s="27">
        <f t="shared" si="5"/>
        <v>9402.5894000000008</v>
      </c>
      <c r="W103" s="27">
        <f t="shared" si="5"/>
        <v>9621.3115234375</v>
      </c>
      <c r="X103" s="27">
        <f t="shared" si="5"/>
        <v>9465.4109000000008</v>
      </c>
      <c r="Y103" s="27">
        <f t="shared" si="5"/>
        <v>9631.0654296875</v>
      </c>
      <c r="Z103" s="27">
        <f t="shared" si="5"/>
        <v>9407.3359</v>
      </c>
      <c r="AA103" s="27">
        <f t="shared" si="5"/>
        <v>9523.6240234375</v>
      </c>
      <c r="AB103" s="27">
        <f t="shared" si="5"/>
        <v>9253.9501953125</v>
      </c>
      <c r="AC103" s="27">
        <f t="shared" si="5"/>
        <v>9329.603515625</v>
      </c>
      <c r="AD103" s="27">
        <f t="shared" si="5"/>
        <v>9032.4200000000019</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6B389-9731-4909-8E7B-730E01628B0E}">
  <sheetPr codeName="Sheet11">
    <tabColor theme="9" tint="0.79998168889431442"/>
  </sheetPr>
  <dimension ref="A1:F67"/>
  <sheetViews>
    <sheetView topLeftCell="A16" workbookViewId="0">
      <selection activeCell="E15" sqref="E15"/>
    </sheetView>
  </sheetViews>
  <sheetFormatPr defaultRowHeight="15"/>
  <cols>
    <col min="1" max="1" width="15.140625" customWidth="1"/>
    <col min="2" max="2" width="36.5703125" customWidth="1"/>
  </cols>
  <sheetData>
    <row r="1" spans="1:6" ht="30" customHeight="1">
      <c r="A1" s="215" t="s">
        <v>300</v>
      </c>
      <c r="B1" s="215"/>
    </row>
    <row r="2" spans="1:6">
      <c r="A2" s="216"/>
      <c r="B2" s="58" t="s">
        <v>301</v>
      </c>
      <c r="E2" t="s">
        <v>171</v>
      </c>
      <c r="F2" t="s">
        <v>302</v>
      </c>
    </row>
    <row r="3" spans="1:6">
      <c r="A3" s="216"/>
      <c r="B3" s="58" t="s">
        <v>303</v>
      </c>
      <c r="F3" s="46" t="s">
        <v>304</v>
      </c>
    </row>
    <row r="4" spans="1:6">
      <c r="A4" s="216"/>
      <c r="B4" s="58" t="s">
        <v>305</v>
      </c>
    </row>
    <row r="5" spans="1:6">
      <c r="A5">
        <v>1991</v>
      </c>
      <c r="B5" s="60">
        <v>3495100</v>
      </c>
    </row>
    <row r="6" spans="1:6">
      <c r="A6">
        <v>1992</v>
      </c>
      <c r="B6" s="60">
        <v>3531700</v>
      </c>
    </row>
    <row r="7" spans="1:6">
      <c r="A7">
        <v>1993</v>
      </c>
      <c r="B7" s="60">
        <v>3572200</v>
      </c>
    </row>
    <row r="8" spans="1:6">
      <c r="A8">
        <v>1994</v>
      </c>
      <c r="B8" s="60">
        <v>3620000</v>
      </c>
    </row>
    <row r="9" spans="1:6">
      <c r="A9">
        <v>1995</v>
      </c>
      <c r="B9" s="60">
        <v>3673400</v>
      </c>
    </row>
    <row r="10" spans="1:6">
      <c r="A10">
        <v>1996</v>
      </c>
      <c r="B10" s="60">
        <v>3732000</v>
      </c>
    </row>
    <row r="11" spans="1:6">
      <c r="A11">
        <v>1997</v>
      </c>
      <c r="B11" s="60">
        <v>3781300</v>
      </c>
    </row>
    <row r="12" spans="1:6">
      <c r="A12">
        <v>1998</v>
      </c>
      <c r="B12" s="60">
        <v>3815000</v>
      </c>
    </row>
    <row r="13" spans="1:6">
      <c r="A13">
        <v>1999</v>
      </c>
      <c r="B13" s="60">
        <v>3835100</v>
      </c>
    </row>
    <row r="14" spans="1:6">
      <c r="A14">
        <v>2000</v>
      </c>
      <c r="B14" s="60">
        <v>3857700</v>
      </c>
    </row>
    <row r="15" spans="1:6">
      <c r="A15">
        <v>2001</v>
      </c>
      <c r="B15" s="60">
        <v>3880500</v>
      </c>
    </row>
    <row r="16" spans="1:6">
      <c r="A16">
        <v>2002</v>
      </c>
      <c r="B16" s="60">
        <v>3948500</v>
      </c>
    </row>
    <row r="17" spans="1:2">
      <c r="A17">
        <v>2003</v>
      </c>
      <c r="B17" s="60">
        <v>4027200</v>
      </c>
    </row>
    <row r="18" spans="1:2">
      <c r="A18">
        <v>2004</v>
      </c>
      <c r="B18" s="60">
        <v>4087500</v>
      </c>
    </row>
    <row r="19" spans="1:2">
      <c r="A19">
        <v>2005</v>
      </c>
      <c r="B19" s="60">
        <v>4133900</v>
      </c>
    </row>
    <row r="20" spans="1:2">
      <c r="A20">
        <v>2006</v>
      </c>
      <c r="B20" s="60">
        <v>4184600</v>
      </c>
    </row>
    <row r="21" spans="1:2">
      <c r="A21">
        <v>2007</v>
      </c>
      <c r="B21" s="60">
        <v>4223800</v>
      </c>
    </row>
    <row r="22" spans="1:2">
      <c r="A22">
        <v>2008</v>
      </c>
      <c r="B22" s="60">
        <v>4259800</v>
      </c>
    </row>
    <row r="23" spans="1:2">
      <c r="A23">
        <v>2009</v>
      </c>
      <c r="B23" s="60">
        <v>4302600</v>
      </c>
    </row>
    <row r="24" spans="1:2">
      <c r="A24">
        <v>2010</v>
      </c>
      <c r="B24" s="60">
        <v>4350700</v>
      </c>
    </row>
    <row r="25" spans="1:2">
      <c r="A25">
        <v>2011</v>
      </c>
      <c r="B25" s="60">
        <v>4384000</v>
      </c>
    </row>
    <row r="26" spans="1:2">
      <c r="A26">
        <v>2012</v>
      </c>
      <c r="B26" s="60">
        <v>4408100</v>
      </c>
    </row>
    <row r="27" spans="1:2">
      <c r="A27">
        <v>2013</v>
      </c>
      <c r="B27" s="60">
        <v>4442100</v>
      </c>
    </row>
    <row r="28" spans="1:2">
      <c r="A28">
        <v>2014</v>
      </c>
      <c r="B28" s="60">
        <v>4516500</v>
      </c>
    </row>
    <row r="29" spans="1:2">
      <c r="A29">
        <v>2015</v>
      </c>
      <c r="B29" s="60">
        <v>4609400</v>
      </c>
    </row>
    <row r="30" spans="1:2">
      <c r="A30">
        <v>2016</v>
      </c>
      <c r="B30" s="60">
        <v>4714100</v>
      </c>
    </row>
    <row r="31" spans="1:2">
      <c r="A31">
        <v>2017</v>
      </c>
      <c r="B31" s="60">
        <v>4813600</v>
      </c>
    </row>
    <row r="32" spans="1:2">
      <c r="A32">
        <v>2018</v>
      </c>
      <c r="B32" s="60">
        <v>4900600</v>
      </c>
    </row>
    <row r="33" spans="1:2">
      <c r="A33">
        <v>2019</v>
      </c>
      <c r="B33" s="60">
        <v>4979200</v>
      </c>
    </row>
    <row r="34" spans="1:2">
      <c r="A34">
        <v>2020</v>
      </c>
      <c r="B34" s="60">
        <v>5090200</v>
      </c>
    </row>
    <row r="35" spans="1:2">
      <c r="A35">
        <v>2021</v>
      </c>
      <c r="B35" s="60">
        <v>5111300</v>
      </c>
    </row>
    <row r="36" spans="1:2">
      <c r="A36">
        <v>2022</v>
      </c>
      <c r="B36" s="60">
        <v>5117200</v>
      </c>
    </row>
    <row r="37" spans="1:2">
      <c r="A37" s="59" t="s">
        <v>306</v>
      </c>
      <c r="B37" s="60">
        <v>5223100</v>
      </c>
    </row>
    <row r="38" spans="1:2" ht="15" customHeight="1">
      <c r="A38" s="217" t="s">
        <v>307</v>
      </c>
      <c r="B38" s="217"/>
    </row>
    <row r="39" spans="1:2" ht="15" customHeight="1">
      <c r="A39" s="214" t="s">
        <v>308</v>
      </c>
      <c r="B39" s="214"/>
    </row>
    <row r="40" spans="1:2" ht="15" customHeight="1">
      <c r="A40" s="214" t="s">
        <v>309</v>
      </c>
      <c r="B40" s="214"/>
    </row>
    <row r="41" spans="1:2">
      <c r="A41" s="214"/>
      <c r="B41" s="214"/>
    </row>
    <row r="42" spans="1:2" ht="15" customHeight="1">
      <c r="A42" s="217" t="s">
        <v>310</v>
      </c>
      <c r="B42" s="217"/>
    </row>
    <row r="43" spans="1:2" ht="30" customHeight="1">
      <c r="A43" s="214" t="s">
        <v>311</v>
      </c>
      <c r="B43" s="214"/>
    </row>
    <row r="44" spans="1:2" ht="45" customHeight="1">
      <c r="A44" s="214" t="s">
        <v>312</v>
      </c>
      <c r="B44" s="214"/>
    </row>
    <row r="45" spans="1:2">
      <c r="A45" s="214"/>
      <c r="B45" s="214"/>
    </row>
    <row r="46" spans="1:2" ht="15" customHeight="1">
      <c r="A46" s="214" t="s">
        <v>313</v>
      </c>
      <c r="B46" s="214"/>
    </row>
    <row r="47" spans="1:2" ht="15" customHeight="1">
      <c r="A47" s="214" t="s">
        <v>314</v>
      </c>
      <c r="B47" s="214"/>
    </row>
    <row r="48" spans="1:2" ht="15" customHeight="1">
      <c r="A48" s="214" t="s">
        <v>315</v>
      </c>
      <c r="B48" s="214"/>
    </row>
    <row r="49" spans="1:2" ht="15" customHeight="1">
      <c r="A49" s="214" t="s">
        <v>316</v>
      </c>
      <c r="B49" s="214"/>
    </row>
    <row r="50" spans="1:2" ht="15" customHeight="1">
      <c r="A50" s="214" t="s">
        <v>317</v>
      </c>
      <c r="B50" s="214"/>
    </row>
    <row r="51" spans="1:2" ht="15" customHeight="1">
      <c r="A51" s="214" t="s">
        <v>318</v>
      </c>
      <c r="B51" s="214"/>
    </row>
    <row r="52" spans="1:2" ht="15" customHeight="1">
      <c r="A52" s="214" t="s">
        <v>319</v>
      </c>
      <c r="B52" s="214"/>
    </row>
    <row r="53" spans="1:2">
      <c r="A53" s="214"/>
      <c r="B53" s="214"/>
    </row>
    <row r="54" spans="1:2" ht="15" customHeight="1">
      <c r="A54" s="214" t="s">
        <v>320</v>
      </c>
      <c r="B54" s="214"/>
    </row>
    <row r="55" spans="1:2">
      <c r="A55" s="214"/>
      <c r="B55" s="214"/>
    </row>
    <row r="56" spans="1:2" ht="15" customHeight="1">
      <c r="A56" s="214" t="s">
        <v>321</v>
      </c>
      <c r="B56" s="214"/>
    </row>
    <row r="57" spans="1:2" ht="15" customHeight="1">
      <c r="A57" s="214" t="s">
        <v>322</v>
      </c>
      <c r="B57" s="214"/>
    </row>
    <row r="58" spans="1:2">
      <c r="A58" s="214"/>
      <c r="B58" s="214"/>
    </row>
    <row r="59" spans="1:2" ht="15" customHeight="1">
      <c r="A59" s="214" t="s">
        <v>323</v>
      </c>
      <c r="B59" s="214"/>
    </row>
    <row r="60" spans="1:2" ht="15" customHeight="1">
      <c r="A60" s="214" t="s">
        <v>324</v>
      </c>
      <c r="B60" s="214"/>
    </row>
    <row r="61" spans="1:2">
      <c r="A61" s="214"/>
      <c r="B61" s="214"/>
    </row>
    <row r="62" spans="1:2" ht="15" customHeight="1">
      <c r="A62" s="214" t="s">
        <v>325</v>
      </c>
      <c r="B62" s="214"/>
    </row>
    <row r="63" spans="1:2" ht="15" customHeight="1">
      <c r="A63" s="214" t="s">
        <v>326</v>
      </c>
      <c r="B63" s="214"/>
    </row>
    <row r="64" spans="1:2" ht="15" customHeight="1">
      <c r="A64" s="214" t="s">
        <v>327</v>
      </c>
      <c r="B64" s="214"/>
    </row>
    <row r="65" spans="1:2" ht="15" customHeight="1">
      <c r="A65" s="218" t="s">
        <v>328</v>
      </c>
      <c r="B65" s="218"/>
    </row>
    <row r="66" spans="1:2">
      <c r="A66" s="214"/>
      <c r="B66" s="214"/>
    </row>
    <row r="67" spans="1:2">
      <c r="A67" s="214"/>
      <c r="B67" s="214"/>
    </row>
  </sheetData>
  <mergeCells count="32">
    <mergeCell ref="A66:B66"/>
    <mergeCell ref="A67:B67"/>
    <mergeCell ref="A60:B60"/>
    <mergeCell ref="A61:B61"/>
    <mergeCell ref="A62:B62"/>
    <mergeCell ref="A63:B63"/>
    <mergeCell ref="A64:B64"/>
    <mergeCell ref="A65:B65"/>
    <mergeCell ref="A59:B59"/>
    <mergeCell ref="A48:B48"/>
    <mergeCell ref="A49:B49"/>
    <mergeCell ref="A50:B50"/>
    <mergeCell ref="A51:B51"/>
    <mergeCell ref="A52:B52"/>
    <mergeCell ref="A53:B53"/>
    <mergeCell ref="A54:B54"/>
    <mergeCell ref="A55:B55"/>
    <mergeCell ref="A56:B56"/>
    <mergeCell ref="A57:B57"/>
    <mergeCell ref="A58:B58"/>
    <mergeCell ref="A47:B47"/>
    <mergeCell ref="A1:B1"/>
    <mergeCell ref="A2:A4"/>
    <mergeCell ref="A38:B38"/>
    <mergeCell ref="A39:B39"/>
    <mergeCell ref="A40:B40"/>
    <mergeCell ref="A41:B41"/>
    <mergeCell ref="A42:B42"/>
    <mergeCell ref="A43:B43"/>
    <mergeCell ref="A44:B44"/>
    <mergeCell ref="A45:B45"/>
    <mergeCell ref="A46:B46"/>
  </mergeCells>
  <hyperlinks>
    <hyperlink ref="A65" r:id="rId1" display="mailto:info@stats.govt.nz" xr:uid="{C1EA829C-5234-41F5-AD3F-2C4305677BBB}"/>
    <hyperlink ref="F3" r:id="rId2" xr:uid="{CB4E1A1B-86F2-4878-9C8D-4D2812655D55}"/>
  </hyperlinks>
  <pageMargins left="0.75" right="0.75" top="1" bottom="1" header="0.5" footer="0.5"/>
  <pageSetup orientation="portrait" horizontalDpi="0" verticalDpi="0"/>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5B8A7-C84E-4D1D-BA60-55B1F80585AA}">
  <sheetPr codeName="Sheet12">
    <tabColor theme="9" tint="0.79998168889431442"/>
    <pageSetUpPr fitToPage="1"/>
  </sheetPr>
  <dimension ref="A1:Z336"/>
  <sheetViews>
    <sheetView zoomScaleNormal="100" workbookViewId="0">
      <pane xSplit="2" ySplit="7" topLeftCell="C8" activePane="bottomRight" state="frozen"/>
      <selection pane="bottomRight" activeCell="V26" sqref="V26"/>
      <selection pane="bottomLeft" activeCell="P108" sqref="P108"/>
      <selection pane="topRight" activeCell="P108" sqref="P108"/>
    </sheetView>
  </sheetViews>
  <sheetFormatPr defaultColWidth="8" defaultRowHeight="12.75"/>
  <cols>
    <col min="1" max="1" width="2.85546875" style="64" customWidth="1"/>
    <col min="2" max="2" width="7.140625" style="64" customWidth="1"/>
    <col min="3" max="7" width="8" style="64" customWidth="1"/>
    <col min="8" max="12" width="8.28515625" style="64" customWidth="1"/>
    <col min="13" max="16384" width="8" style="64"/>
  </cols>
  <sheetData>
    <row r="1" spans="1:26" ht="12.75" customHeight="1">
      <c r="A1" s="61" t="s">
        <v>329</v>
      </c>
      <c r="B1" s="61"/>
      <c r="C1" s="62"/>
      <c r="D1" s="63"/>
      <c r="E1" s="63"/>
      <c r="F1" s="63"/>
      <c r="G1" s="63"/>
      <c r="H1" s="63"/>
      <c r="I1" s="63"/>
      <c r="J1" s="63"/>
      <c r="K1" s="63"/>
      <c r="L1" s="63"/>
    </row>
    <row r="2" spans="1:26" ht="9.75" customHeight="1">
      <c r="A2" s="61"/>
      <c r="B2" s="61"/>
      <c r="C2" s="65"/>
      <c r="D2" s="63"/>
      <c r="E2" s="63"/>
      <c r="F2" s="63"/>
      <c r="G2" s="63"/>
      <c r="H2" s="63"/>
      <c r="I2" s="63"/>
      <c r="J2" s="63"/>
      <c r="K2" s="63"/>
      <c r="L2" s="63"/>
    </row>
    <row r="3" spans="1:26" ht="15" customHeight="1">
      <c r="A3" s="66" t="s">
        <v>330</v>
      </c>
      <c r="B3" s="66"/>
      <c r="C3" s="67"/>
      <c r="D3" s="67"/>
      <c r="E3" s="67"/>
      <c r="F3" s="67"/>
      <c r="G3" s="67"/>
      <c r="H3" s="67"/>
      <c r="I3" s="67"/>
      <c r="J3" s="67"/>
      <c r="K3" s="67"/>
      <c r="L3" s="67"/>
    </row>
    <row r="4" spans="1:26" ht="15" customHeight="1">
      <c r="A4" s="68" t="s">
        <v>331</v>
      </c>
      <c r="B4" s="68"/>
      <c r="C4" s="69"/>
      <c r="D4" s="69"/>
      <c r="E4" s="69"/>
      <c r="F4" s="69"/>
      <c r="G4" s="69"/>
      <c r="H4" s="69"/>
      <c r="I4" s="69"/>
      <c r="J4" s="69"/>
      <c r="K4" s="69"/>
      <c r="L4" s="69"/>
    </row>
    <row r="5" spans="1:26" ht="6" customHeight="1">
      <c r="A5" s="70"/>
      <c r="B5" s="71"/>
      <c r="C5" s="63"/>
      <c r="D5" s="63"/>
      <c r="E5" s="63"/>
      <c r="F5" s="63"/>
      <c r="G5" s="63"/>
      <c r="H5" s="63"/>
      <c r="I5" s="63"/>
      <c r="J5" s="63"/>
      <c r="K5" s="63"/>
      <c r="L5" s="63"/>
    </row>
    <row r="6" spans="1:26" s="73" customFormat="1" ht="12" customHeight="1">
      <c r="A6" s="221" t="s">
        <v>332</v>
      </c>
      <c r="B6" s="222"/>
      <c r="C6" s="225" t="s">
        <v>333</v>
      </c>
      <c r="D6" s="226"/>
      <c r="E6" s="226"/>
      <c r="F6" s="226"/>
      <c r="G6" s="227"/>
      <c r="H6" s="72" t="s">
        <v>194</v>
      </c>
      <c r="I6" s="72"/>
      <c r="J6" s="72"/>
      <c r="K6" s="72"/>
      <c r="L6" s="72"/>
    </row>
    <row r="7" spans="1:26" s="78" customFormat="1" ht="33.75">
      <c r="A7" s="223"/>
      <c r="B7" s="224"/>
      <c r="C7" s="74" t="s">
        <v>334</v>
      </c>
      <c r="D7" s="75" t="s">
        <v>335</v>
      </c>
      <c r="E7" s="76" t="s">
        <v>336</v>
      </c>
      <c r="F7" s="75" t="s">
        <v>337</v>
      </c>
      <c r="G7" s="75" t="s">
        <v>338</v>
      </c>
      <c r="H7" s="76" t="s">
        <v>339</v>
      </c>
      <c r="I7" s="76" t="s">
        <v>340</v>
      </c>
      <c r="J7" s="76" t="s">
        <v>341</v>
      </c>
      <c r="K7" s="76" t="s">
        <v>342</v>
      </c>
      <c r="L7" s="77" t="s">
        <v>343</v>
      </c>
    </row>
    <row r="8" spans="1:26" s="73" customFormat="1" ht="11.25">
      <c r="A8" s="220" t="s">
        <v>344</v>
      </c>
      <c r="B8" s="220"/>
      <c r="C8" s="220"/>
      <c r="D8" s="220"/>
      <c r="E8" s="220"/>
      <c r="F8" s="220"/>
      <c r="G8" s="220"/>
      <c r="H8" s="220"/>
      <c r="I8" s="220"/>
      <c r="J8" s="220"/>
      <c r="K8" s="220"/>
      <c r="L8" s="220"/>
    </row>
    <row r="9" spans="1:26" s="73" customFormat="1" ht="15.75">
      <c r="A9" s="219" t="s">
        <v>345</v>
      </c>
      <c r="B9" s="219"/>
      <c r="C9" s="79">
        <v>5097</v>
      </c>
      <c r="D9" s="79">
        <v>5115</v>
      </c>
      <c r="E9" s="79">
        <v>5128</v>
      </c>
      <c r="F9" s="79">
        <v>5142</v>
      </c>
      <c r="G9" s="79">
        <v>5162</v>
      </c>
      <c r="H9" s="79">
        <v>5128</v>
      </c>
      <c r="I9" s="79">
        <v>5128</v>
      </c>
      <c r="J9" s="79">
        <v>5128</v>
      </c>
      <c r="K9" s="79">
        <v>5128</v>
      </c>
      <c r="L9" s="79">
        <v>5128</v>
      </c>
      <c r="S9" s="80" t="s">
        <v>346</v>
      </c>
      <c r="T9" s="81"/>
      <c r="U9" s="82"/>
      <c r="V9" s="82"/>
      <c r="W9" s="82"/>
      <c r="X9" s="82"/>
      <c r="Y9" s="82"/>
      <c r="Z9" s="82"/>
    </row>
    <row r="10" spans="1:26" s="73" customFormat="1" ht="15">
      <c r="A10" s="219">
        <v>2023</v>
      </c>
      <c r="B10" s="219"/>
      <c r="C10" s="79">
        <v>5104</v>
      </c>
      <c r="D10" s="79">
        <v>5131</v>
      </c>
      <c r="E10" s="79">
        <v>5149</v>
      </c>
      <c r="F10" s="79">
        <v>5169</v>
      </c>
      <c r="G10" s="79">
        <v>5198</v>
      </c>
      <c r="H10" s="79">
        <v>5152</v>
      </c>
      <c r="I10" s="79">
        <v>5150</v>
      </c>
      <c r="J10" s="79">
        <v>5151</v>
      </c>
      <c r="K10" s="79">
        <v>5149</v>
      </c>
      <c r="L10" s="79">
        <v>5157</v>
      </c>
      <c r="S10" s="213" t="s">
        <v>347</v>
      </c>
      <c r="T10" s="81"/>
      <c r="U10" s="82"/>
      <c r="V10" s="82"/>
      <c r="W10" s="82"/>
      <c r="X10" s="82"/>
      <c r="Y10" s="82"/>
      <c r="Z10" s="82"/>
    </row>
    <row r="11" spans="1:26" s="73" customFormat="1" ht="15">
      <c r="A11" s="219">
        <v>2028</v>
      </c>
      <c r="B11" s="219"/>
      <c r="C11" s="79">
        <v>5170</v>
      </c>
      <c r="D11" s="79">
        <v>5277</v>
      </c>
      <c r="E11" s="79">
        <v>5354</v>
      </c>
      <c r="F11" s="79">
        <v>5431</v>
      </c>
      <c r="G11" s="79">
        <v>5547</v>
      </c>
      <c r="H11" s="79">
        <v>5396</v>
      </c>
      <c r="I11" s="79">
        <v>5363</v>
      </c>
      <c r="J11" s="79">
        <v>5251</v>
      </c>
      <c r="K11" s="79">
        <v>5354</v>
      </c>
      <c r="L11" s="79">
        <v>5473</v>
      </c>
      <c r="S11" s="83"/>
      <c r="T11" s="81"/>
      <c r="U11" s="82"/>
      <c r="V11" s="82"/>
      <c r="W11" s="82"/>
      <c r="X11" s="82"/>
      <c r="Y11" s="82"/>
      <c r="Z11" s="82"/>
    </row>
    <row r="12" spans="1:26" s="73" customFormat="1">
      <c r="A12" s="219">
        <v>2033</v>
      </c>
      <c r="B12" s="219"/>
      <c r="C12" s="79">
        <v>5281</v>
      </c>
      <c r="D12" s="79">
        <v>5442</v>
      </c>
      <c r="E12" s="79">
        <v>5564</v>
      </c>
      <c r="F12" s="79">
        <v>5679</v>
      </c>
      <c r="G12" s="79">
        <v>5849</v>
      </c>
      <c r="H12" s="79">
        <v>5686</v>
      </c>
      <c r="I12" s="79">
        <v>5591</v>
      </c>
      <c r="J12" s="79">
        <v>5314</v>
      </c>
      <c r="K12" s="79">
        <v>5485</v>
      </c>
      <c r="L12" s="79">
        <v>5824</v>
      </c>
      <c r="S12" s="94" t="s">
        <v>348</v>
      </c>
      <c r="T12" s="208"/>
      <c r="U12" s="208"/>
      <c r="V12" s="208"/>
      <c r="W12" s="208"/>
      <c r="X12" s="208"/>
      <c r="Y12" s="208"/>
      <c r="Z12" s="208"/>
    </row>
    <row r="13" spans="1:26" s="73" customFormat="1">
      <c r="A13" s="219">
        <v>2038</v>
      </c>
      <c r="B13" s="219"/>
      <c r="C13" s="79">
        <v>5386</v>
      </c>
      <c r="D13" s="79">
        <v>5589</v>
      </c>
      <c r="E13" s="79">
        <v>5753</v>
      </c>
      <c r="F13" s="79">
        <v>5910</v>
      </c>
      <c r="G13" s="79">
        <v>6141</v>
      </c>
      <c r="H13" s="79">
        <v>5979</v>
      </c>
      <c r="I13" s="79">
        <v>5808</v>
      </c>
      <c r="J13" s="79">
        <v>5345</v>
      </c>
      <c r="K13" s="79">
        <v>5746</v>
      </c>
      <c r="L13" s="79">
        <v>6164</v>
      </c>
      <c r="S13" s="95" t="s">
        <v>349</v>
      </c>
      <c r="T13" s="81"/>
      <c r="U13" s="82"/>
      <c r="V13" s="82"/>
      <c r="W13" s="82"/>
      <c r="X13" s="82"/>
      <c r="Y13" s="82"/>
      <c r="Z13" s="82"/>
    </row>
    <row r="14" spans="1:26" s="73" customFormat="1">
      <c r="A14" s="219">
        <v>2043</v>
      </c>
      <c r="B14" s="219"/>
      <c r="C14" s="79">
        <v>5484</v>
      </c>
      <c r="D14" s="79">
        <v>5733</v>
      </c>
      <c r="E14" s="79">
        <v>5924</v>
      </c>
      <c r="F14" s="79">
        <v>6109</v>
      </c>
      <c r="G14" s="79">
        <v>6396</v>
      </c>
      <c r="H14" s="79">
        <v>6269</v>
      </c>
      <c r="I14" s="79">
        <v>6016</v>
      </c>
      <c r="J14" s="79">
        <v>5350</v>
      </c>
      <c r="K14" s="79">
        <v>5839</v>
      </c>
      <c r="L14" s="79">
        <v>6493</v>
      </c>
      <c r="S14" s="96" t="s">
        <v>350</v>
      </c>
      <c r="T14" s="81"/>
      <c r="U14" s="82"/>
      <c r="V14" s="82"/>
      <c r="W14" s="82"/>
      <c r="X14" s="82"/>
      <c r="Y14" s="82"/>
      <c r="Z14" s="82"/>
    </row>
    <row r="15" spans="1:26" s="73" customFormat="1">
      <c r="A15" s="219">
        <v>2048</v>
      </c>
      <c r="B15" s="219"/>
      <c r="C15" s="79">
        <v>5553</v>
      </c>
      <c r="D15" s="79">
        <v>5854</v>
      </c>
      <c r="E15" s="79">
        <v>6077</v>
      </c>
      <c r="F15" s="79">
        <v>6299</v>
      </c>
      <c r="G15" s="79">
        <v>6645</v>
      </c>
      <c r="H15" s="79">
        <v>6546</v>
      </c>
      <c r="I15" s="79">
        <v>6214</v>
      </c>
      <c r="J15" s="79">
        <v>5332</v>
      </c>
      <c r="K15" s="79">
        <v>6067</v>
      </c>
      <c r="L15" s="79">
        <v>6809</v>
      </c>
      <c r="S15" s="84"/>
      <c r="T15" s="81"/>
      <c r="U15" s="82"/>
      <c r="V15" s="82"/>
      <c r="W15" s="82"/>
      <c r="X15" s="82"/>
      <c r="Y15" s="82"/>
      <c r="Z15" s="82"/>
    </row>
    <row r="16" spans="1:26" s="73" customFormat="1">
      <c r="A16" s="219">
        <v>2053</v>
      </c>
      <c r="B16" s="219"/>
      <c r="C16" s="79">
        <v>5588</v>
      </c>
      <c r="D16" s="79">
        <v>5952</v>
      </c>
      <c r="E16" s="79">
        <v>6209</v>
      </c>
      <c r="F16" s="79">
        <v>6477</v>
      </c>
      <c r="G16" s="79">
        <v>6863</v>
      </c>
      <c r="H16" s="79">
        <v>6811</v>
      </c>
      <c r="I16" s="79">
        <v>6397</v>
      </c>
      <c r="J16" s="79">
        <v>5290</v>
      </c>
      <c r="K16" s="79">
        <v>6121</v>
      </c>
      <c r="L16" s="79">
        <v>7109</v>
      </c>
      <c r="S16" s="209"/>
      <c r="T16" s="209"/>
      <c r="U16" s="209"/>
      <c r="V16" s="209"/>
      <c r="W16" s="209"/>
      <c r="X16" s="209"/>
      <c r="Y16" s="82"/>
      <c r="Z16" s="82"/>
    </row>
    <row r="17" spans="1:26" s="73" customFormat="1">
      <c r="A17" s="219">
        <v>2058</v>
      </c>
      <c r="B17" s="219"/>
      <c r="C17" s="79">
        <v>5638</v>
      </c>
      <c r="D17" s="79">
        <v>6018</v>
      </c>
      <c r="E17" s="79">
        <v>6326</v>
      </c>
      <c r="F17" s="79">
        <v>6633</v>
      </c>
      <c r="G17" s="79">
        <v>7089</v>
      </c>
      <c r="H17" s="79">
        <v>7082</v>
      </c>
      <c r="I17" s="79">
        <v>6569</v>
      </c>
      <c r="J17" s="79">
        <v>5226</v>
      </c>
      <c r="K17" s="79">
        <v>6313</v>
      </c>
      <c r="L17" s="79">
        <v>7398</v>
      </c>
      <c r="S17" s="85"/>
      <c r="T17" s="86"/>
      <c r="U17" s="82"/>
      <c r="V17" s="82"/>
      <c r="W17" s="82"/>
      <c r="X17" s="82"/>
      <c r="Y17" s="82"/>
      <c r="Z17" s="82"/>
    </row>
    <row r="18" spans="1:26" s="73" customFormat="1">
      <c r="A18" s="219">
        <v>2063</v>
      </c>
      <c r="B18" s="219"/>
      <c r="C18" s="79">
        <v>5652</v>
      </c>
      <c r="D18" s="79">
        <v>6085</v>
      </c>
      <c r="E18" s="79">
        <v>6435</v>
      </c>
      <c r="F18" s="79">
        <v>6776</v>
      </c>
      <c r="G18" s="79">
        <v>7345</v>
      </c>
      <c r="H18" s="79">
        <v>7379</v>
      </c>
      <c r="I18" s="79">
        <v>6735</v>
      </c>
      <c r="J18" s="79">
        <v>5149</v>
      </c>
      <c r="K18" s="79">
        <v>6345</v>
      </c>
      <c r="L18" s="79">
        <v>7685</v>
      </c>
      <c r="S18" s="84"/>
      <c r="T18" s="81"/>
      <c r="U18" s="82"/>
      <c r="V18" s="82"/>
      <c r="W18" s="82"/>
      <c r="X18" s="82"/>
      <c r="Y18" s="82"/>
      <c r="Z18" s="82"/>
    </row>
    <row r="19" spans="1:26" s="73" customFormat="1">
      <c r="A19" s="219">
        <v>2068</v>
      </c>
      <c r="B19" s="219"/>
      <c r="C19" s="79">
        <v>5660</v>
      </c>
      <c r="D19" s="79">
        <v>6155</v>
      </c>
      <c r="E19" s="79">
        <v>6542</v>
      </c>
      <c r="F19" s="79">
        <v>6937</v>
      </c>
      <c r="G19" s="79">
        <v>7607</v>
      </c>
      <c r="H19" s="79">
        <v>7704</v>
      </c>
      <c r="I19" s="79">
        <v>6902</v>
      </c>
      <c r="J19" s="79">
        <v>5062</v>
      </c>
      <c r="K19" s="79">
        <v>6527</v>
      </c>
      <c r="L19" s="79">
        <v>7972</v>
      </c>
      <c r="S19" s="87"/>
      <c r="T19" s="81"/>
      <c r="U19" s="82"/>
      <c r="V19" s="82"/>
      <c r="W19" s="82"/>
      <c r="X19" s="82"/>
      <c r="Y19" s="82"/>
      <c r="Z19" s="82"/>
    </row>
    <row r="20" spans="1:26" s="73" customFormat="1">
      <c r="A20" s="219">
        <v>2073</v>
      </c>
      <c r="B20" s="219"/>
      <c r="C20" s="79">
        <v>5622</v>
      </c>
      <c r="D20" s="79">
        <v>6199</v>
      </c>
      <c r="E20" s="79">
        <v>6644</v>
      </c>
      <c r="F20" s="79">
        <v>7098</v>
      </c>
      <c r="G20" s="79">
        <v>7860</v>
      </c>
      <c r="H20" s="79">
        <v>8046</v>
      </c>
      <c r="I20" s="79">
        <v>7069</v>
      </c>
      <c r="J20" s="79">
        <v>4967</v>
      </c>
      <c r="K20" s="79">
        <v>6552</v>
      </c>
      <c r="L20" s="79">
        <v>8256</v>
      </c>
      <c r="S20" s="207"/>
      <c r="T20" s="207"/>
      <c r="U20" s="207"/>
      <c r="V20" s="207"/>
      <c r="W20" s="207"/>
      <c r="X20" s="207"/>
      <c r="Y20" s="207"/>
      <c r="Z20" s="82"/>
    </row>
    <row r="21" spans="1:26" s="78" customFormat="1">
      <c r="A21" s="220" t="s">
        <v>351</v>
      </c>
      <c r="B21" s="220"/>
      <c r="C21" s="220"/>
      <c r="D21" s="220"/>
      <c r="E21" s="220"/>
      <c r="F21" s="220"/>
      <c r="G21" s="220"/>
      <c r="H21" s="220"/>
      <c r="I21" s="220"/>
      <c r="J21" s="220"/>
      <c r="K21" s="220"/>
      <c r="L21" s="220"/>
      <c r="S21" s="207"/>
      <c r="T21" s="207"/>
      <c r="U21" s="207"/>
      <c r="V21" s="207"/>
      <c r="W21" s="207"/>
      <c r="X21" s="207"/>
      <c r="Y21" s="207"/>
      <c r="Z21" s="82"/>
    </row>
    <row r="22" spans="1:26" s="78" customFormat="1">
      <c r="A22" s="219">
        <v>2023</v>
      </c>
      <c r="B22" s="219"/>
      <c r="C22" s="88">
        <v>-14</v>
      </c>
      <c r="D22" s="88">
        <v>8</v>
      </c>
      <c r="E22" s="88">
        <v>22</v>
      </c>
      <c r="F22" s="88">
        <v>36</v>
      </c>
      <c r="G22" s="88">
        <v>57</v>
      </c>
      <c r="H22" s="88">
        <v>24</v>
      </c>
      <c r="I22" s="88">
        <v>22</v>
      </c>
      <c r="J22" s="88">
        <v>23</v>
      </c>
      <c r="K22" s="88">
        <v>22</v>
      </c>
      <c r="L22" s="88">
        <v>29</v>
      </c>
      <c r="S22" s="207"/>
      <c r="T22" s="207"/>
      <c r="U22" s="207"/>
      <c r="V22" s="207"/>
      <c r="W22" s="207"/>
      <c r="X22" s="207"/>
      <c r="Y22" s="207"/>
      <c r="Z22" s="207"/>
    </row>
    <row r="23" spans="1:26" s="78" customFormat="1">
      <c r="A23" s="219">
        <v>2028</v>
      </c>
      <c r="B23" s="219"/>
      <c r="C23" s="88">
        <v>-5</v>
      </c>
      <c r="D23" s="88">
        <v>25</v>
      </c>
      <c r="E23" s="88">
        <v>45</v>
      </c>
      <c r="F23" s="88">
        <v>64</v>
      </c>
      <c r="G23" s="88">
        <v>90</v>
      </c>
      <c r="H23" s="88">
        <v>56</v>
      </c>
      <c r="I23" s="88">
        <v>47</v>
      </c>
      <c r="J23" s="88">
        <v>17</v>
      </c>
      <c r="K23" s="88">
        <v>40</v>
      </c>
      <c r="L23" s="88">
        <v>72</v>
      </c>
      <c r="S23" s="81"/>
      <c r="T23" s="81"/>
      <c r="U23" s="82"/>
      <c r="V23" s="82"/>
      <c r="W23" s="82"/>
      <c r="X23" s="82"/>
      <c r="Y23" s="82"/>
      <c r="Z23" s="82"/>
    </row>
    <row r="24" spans="1:26" s="78" customFormat="1">
      <c r="A24" s="219">
        <v>2033</v>
      </c>
      <c r="B24" s="219"/>
      <c r="C24" s="88">
        <v>-8</v>
      </c>
      <c r="D24" s="88">
        <v>19</v>
      </c>
      <c r="E24" s="88">
        <v>40</v>
      </c>
      <c r="F24" s="88">
        <v>60</v>
      </c>
      <c r="G24" s="88">
        <v>87</v>
      </c>
      <c r="H24" s="88">
        <v>58</v>
      </c>
      <c r="I24" s="88">
        <v>45</v>
      </c>
      <c r="J24" s="88">
        <v>10</v>
      </c>
      <c r="K24" s="88">
        <v>44</v>
      </c>
      <c r="L24" s="88">
        <v>69</v>
      </c>
      <c r="S24" s="81"/>
      <c r="T24" s="81"/>
      <c r="U24" s="82"/>
      <c r="V24" s="82"/>
      <c r="W24" s="82"/>
      <c r="X24" s="82"/>
      <c r="Y24" s="82"/>
      <c r="Z24" s="82"/>
    </row>
    <row r="25" spans="1:26" s="78" customFormat="1">
      <c r="A25" s="219">
        <v>2038</v>
      </c>
      <c r="B25" s="219"/>
      <c r="C25" s="88">
        <v>-13</v>
      </c>
      <c r="D25" s="88">
        <v>16</v>
      </c>
      <c r="E25" s="88">
        <v>36</v>
      </c>
      <c r="F25" s="88">
        <v>56</v>
      </c>
      <c r="G25" s="88">
        <v>87</v>
      </c>
      <c r="H25" s="88">
        <v>59</v>
      </c>
      <c r="I25" s="88">
        <v>43</v>
      </c>
      <c r="J25" s="88">
        <v>4</v>
      </c>
      <c r="K25" s="88">
        <v>31</v>
      </c>
      <c r="L25" s="88">
        <v>67</v>
      </c>
      <c r="S25" s="89"/>
      <c r="T25" s="90"/>
      <c r="U25" s="82"/>
      <c r="V25" s="82"/>
      <c r="W25" s="82"/>
      <c r="X25" s="82"/>
      <c r="Y25" s="82"/>
      <c r="Z25" s="82"/>
    </row>
    <row r="26" spans="1:26" s="78" customFormat="1" ht="15">
      <c r="A26" s="219">
        <v>2043</v>
      </c>
      <c r="B26" s="219"/>
      <c r="C26" s="88">
        <v>-17</v>
      </c>
      <c r="D26" s="88">
        <v>13</v>
      </c>
      <c r="E26" s="88">
        <v>33</v>
      </c>
      <c r="F26" s="88">
        <v>53</v>
      </c>
      <c r="G26" s="88">
        <v>82</v>
      </c>
      <c r="H26" s="88">
        <v>57</v>
      </c>
      <c r="I26" s="88">
        <v>41</v>
      </c>
      <c r="J26" s="88">
        <v>-1</v>
      </c>
      <c r="K26" s="88">
        <v>37</v>
      </c>
      <c r="L26" s="88">
        <v>65</v>
      </c>
      <c r="S26" s="91"/>
      <c r="T26" s="91"/>
      <c r="U26" s="82"/>
      <c r="V26" s="82"/>
      <c r="W26" s="82"/>
      <c r="X26" s="82"/>
      <c r="Y26" s="82"/>
      <c r="Z26" s="82"/>
    </row>
    <row r="27" spans="1:26" s="78" customFormat="1">
      <c r="A27" s="219">
        <v>2048</v>
      </c>
      <c r="B27" s="219"/>
      <c r="C27" s="88">
        <v>-20</v>
      </c>
      <c r="D27" s="88">
        <v>10</v>
      </c>
      <c r="E27" s="88">
        <v>29</v>
      </c>
      <c r="F27" s="88">
        <v>52</v>
      </c>
      <c r="G27" s="88">
        <v>83</v>
      </c>
      <c r="H27" s="88">
        <v>54</v>
      </c>
      <c r="I27" s="88">
        <v>38</v>
      </c>
      <c r="J27" s="88">
        <v>-6</v>
      </c>
      <c r="K27" s="88">
        <v>24</v>
      </c>
      <c r="L27" s="88">
        <v>62</v>
      </c>
      <c r="S27" s="81"/>
      <c r="T27" s="81"/>
      <c r="U27" s="82"/>
      <c r="V27" s="82"/>
      <c r="W27" s="82"/>
      <c r="X27" s="82"/>
      <c r="Y27" s="82"/>
      <c r="Z27" s="82"/>
    </row>
    <row r="28" spans="1:26" s="78" customFormat="1">
      <c r="A28" s="219">
        <v>2053</v>
      </c>
      <c r="B28" s="219"/>
      <c r="C28" s="88">
        <v>-23</v>
      </c>
      <c r="D28" s="88">
        <v>4</v>
      </c>
      <c r="E28" s="88">
        <v>25</v>
      </c>
      <c r="F28" s="88">
        <v>47</v>
      </c>
      <c r="G28" s="88">
        <v>76</v>
      </c>
      <c r="H28" s="88">
        <v>53</v>
      </c>
      <c r="I28" s="88">
        <v>36</v>
      </c>
      <c r="J28" s="88">
        <v>-10</v>
      </c>
      <c r="K28" s="88">
        <v>29</v>
      </c>
      <c r="L28" s="88">
        <v>59</v>
      </c>
      <c r="S28" s="92"/>
      <c r="T28" s="93"/>
      <c r="U28" s="82"/>
      <c r="V28" s="82"/>
      <c r="W28" s="82"/>
      <c r="X28" s="82"/>
      <c r="Y28" s="82"/>
      <c r="Z28" s="82"/>
    </row>
    <row r="29" spans="1:26" s="78" customFormat="1">
      <c r="A29" s="219">
        <v>2058</v>
      </c>
      <c r="B29" s="219"/>
      <c r="C29" s="88">
        <v>-29</v>
      </c>
      <c r="D29" s="88">
        <v>2</v>
      </c>
      <c r="E29" s="88">
        <v>22</v>
      </c>
      <c r="F29" s="88">
        <v>43</v>
      </c>
      <c r="G29" s="88">
        <v>76</v>
      </c>
      <c r="H29" s="88">
        <v>56</v>
      </c>
      <c r="I29" s="88">
        <v>34</v>
      </c>
      <c r="J29" s="88">
        <v>-14</v>
      </c>
      <c r="K29" s="88">
        <v>18</v>
      </c>
      <c r="L29" s="88">
        <v>57</v>
      </c>
      <c r="S29" s="92"/>
      <c r="T29" s="61"/>
      <c r="U29" s="82"/>
      <c r="V29" s="82"/>
      <c r="W29" s="82"/>
      <c r="X29" s="82"/>
      <c r="Y29" s="82"/>
      <c r="Z29" s="82"/>
    </row>
    <row r="30" spans="1:26" s="78" customFormat="1">
      <c r="A30" s="219">
        <v>2063</v>
      </c>
      <c r="B30" s="219"/>
      <c r="C30" s="88">
        <v>-28</v>
      </c>
      <c r="D30" s="88">
        <v>-1</v>
      </c>
      <c r="E30" s="88">
        <v>22</v>
      </c>
      <c r="F30" s="88">
        <v>43</v>
      </c>
      <c r="G30" s="88">
        <v>77</v>
      </c>
      <c r="H30" s="88">
        <v>62</v>
      </c>
      <c r="I30" s="88">
        <v>33</v>
      </c>
      <c r="J30" s="88">
        <v>-16</v>
      </c>
      <c r="K30" s="88">
        <v>26</v>
      </c>
      <c r="L30" s="88">
        <v>57</v>
      </c>
      <c r="S30" s="82"/>
      <c r="T30" s="82"/>
      <c r="U30" s="82"/>
      <c r="V30" s="82"/>
      <c r="W30" s="82"/>
      <c r="X30" s="82"/>
      <c r="Y30" s="82"/>
      <c r="Z30" s="82"/>
    </row>
    <row r="31" spans="1:26" s="78" customFormat="1">
      <c r="A31" s="219">
        <v>2068</v>
      </c>
      <c r="B31" s="219"/>
      <c r="C31" s="88">
        <v>-34</v>
      </c>
      <c r="D31" s="88">
        <v>-1</v>
      </c>
      <c r="E31" s="88">
        <v>21</v>
      </c>
      <c r="F31" s="88">
        <v>45</v>
      </c>
      <c r="G31" s="88">
        <v>80</v>
      </c>
      <c r="H31" s="88">
        <v>67</v>
      </c>
      <c r="I31" s="88">
        <v>33</v>
      </c>
      <c r="J31" s="88">
        <v>-18</v>
      </c>
      <c r="K31" s="88">
        <v>17</v>
      </c>
      <c r="L31" s="88">
        <v>58</v>
      </c>
      <c r="T31" s="82"/>
      <c r="U31" s="82"/>
      <c r="V31" s="82"/>
      <c r="W31" s="82"/>
      <c r="X31" s="82"/>
      <c r="Y31" s="82"/>
      <c r="Z31" s="82"/>
    </row>
    <row r="32" spans="1:26" s="78" customFormat="1">
      <c r="A32" s="219">
        <v>2073</v>
      </c>
      <c r="B32" s="219"/>
      <c r="C32" s="88">
        <v>-36</v>
      </c>
      <c r="D32" s="88">
        <v>-3</v>
      </c>
      <c r="E32" s="88">
        <v>20</v>
      </c>
      <c r="F32" s="88">
        <v>44</v>
      </c>
      <c r="G32" s="88">
        <v>81</v>
      </c>
      <c r="H32" s="88">
        <v>69</v>
      </c>
      <c r="I32" s="88">
        <v>33</v>
      </c>
      <c r="J32" s="88">
        <v>-20</v>
      </c>
      <c r="K32" s="88">
        <v>24</v>
      </c>
      <c r="L32" s="88">
        <v>56</v>
      </c>
      <c r="T32" s="82"/>
      <c r="U32" s="82"/>
      <c r="V32" s="82"/>
      <c r="W32" s="82"/>
      <c r="X32" s="82"/>
      <c r="Y32" s="82"/>
      <c r="Z32" s="82"/>
    </row>
    <row r="33" spans="1:26" s="78" customFormat="1">
      <c r="A33" s="228" t="s">
        <v>352</v>
      </c>
      <c r="B33" s="228"/>
      <c r="C33" s="220"/>
      <c r="D33" s="220"/>
      <c r="E33" s="220"/>
      <c r="F33" s="220"/>
      <c r="G33" s="220"/>
      <c r="H33" s="220"/>
      <c r="I33" s="220"/>
      <c r="J33" s="220"/>
      <c r="K33" s="220"/>
      <c r="L33" s="220"/>
      <c r="T33" s="82"/>
      <c r="U33" s="82"/>
      <c r="V33" s="82"/>
      <c r="W33" s="82"/>
      <c r="X33" s="82"/>
      <c r="Y33" s="82"/>
      <c r="Z33" s="82"/>
    </row>
    <row r="34" spans="1:26" s="78" customFormat="1" ht="11.25">
      <c r="A34" s="219">
        <v>2023</v>
      </c>
      <c r="B34" s="219"/>
      <c r="C34" s="97">
        <v>-0.3</v>
      </c>
      <c r="D34" s="97">
        <v>0.1</v>
      </c>
      <c r="E34" s="97">
        <v>0.4</v>
      </c>
      <c r="F34" s="97">
        <v>0.7</v>
      </c>
      <c r="G34" s="97">
        <v>1.1000000000000001</v>
      </c>
      <c r="H34" s="97">
        <v>0.5</v>
      </c>
      <c r="I34" s="97">
        <v>0.4</v>
      </c>
      <c r="J34" s="97">
        <v>0.5</v>
      </c>
      <c r="K34" s="97">
        <v>0.4</v>
      </c>
      <c r="L34" s="97">
        <v>0.6</v>
      </c>
    </row>
    <row r="35" spans="1:26" s="78" customFormat="1" ht="11.25">
      <c r="A35" s="219">
        <v>2028</v>
      </c>
      <c r="B35" s="219"/>
      <c r="C35" s="97">
        <v>-0.1</v>
      </c>
      <c r="D35" s="97">
        <v>0.5</v>
      </c>
      <c r="E35" s="97">
        <v>0.8</v>
      </c>
      <c r="F35" s="97">
        <v>1.2</v>
      </c>
      <c r="G35" s="97">
        <v>1.7</v>
      </c>
      <c r="H35" s="97">
        <v>1.1000000000000001</v>
      </c>
      <c r="I35" s="97">
        <v>0.9</v>
      </c>
      <c r="J35" s="97">
        <v>0.3</v>
      </c>
      <c r="K35" s="97">
        <v>0.7</v>
      </c>
      <c r="L35" s="97">
        <v>1.3</v>
      </c>
    </row>
    <row r="36" spans="1:26" s="78" customFormat="1" ht="11.25">
      <c r="A36" s="219">
        <v>2033</v>
      </c>
      <c r="B36" s="219"/>
      <c r="C36" s="97">
        <v>-0.1</v>
      </c>
      <c r="D36" s="97">
        <v>0.3</v>
      </c>
      <c r="E36" s="97">
        <v>0.7</v>
      </c>
      <c r="F36" s="97">
        <v>1.1000000000000001</v>
      </c>
      <c r="G36" s="97">
        <v>1.6</v>
      </c>
      <c r="H36" s="97">
        <v>1</v>
      </c>
      <c r="I36" s="97">
        <v>0.8</v>
      </c>
      <c r="J36" s="97">
        <v>0.2</v>
      </c>
      <c r="K36" s="97">
        <v>0.8</v>
      </c>
      <c r="L36" s="97">
        <v>1.2</v>
      </c>
    </row>
    <row r="37" spans="1:26" s="78" customFormat="1" ht="11.25">
      <c r="A37" s="219">
        <v>2038</v>
      </c>
      <c r="B37" s="219"/>
      <c r="C37" s="97">
        <v>-0.2</v>
      </c>
      <c r="D37" s="97">
        <v>0.3</v>
      </c>
      <c r="E37" s="97">
        <v>0.6</v>
      </c>
      <c r="F37" s="97">
        <v>1</v>
      </c>
      <c r="G37" s="97">
        <v>1.5</v>
      </c>
      <c r="H37" s="97">
        <v>1</v>
      </c>
      <c r="I37" s="97">
        <v>0.7</v>
      </c>
      <c r="J37" s="97">
        <v>0.1</v>
      </c>
      <c r="K37" s="97">
        <v>0.5</v>
      </c>
      <c r="L37" s="97">
        <v>1.1000000000000001</v>
      </c>
    </row>
    <row r="38" spans="1:26" s="78" customFormat="1" ht="11.25">
      <c r="A38" s="219">
        <v>2043</v>
      </c>
      <c r="B38" s="219"/>
      <c r="C38" s="97">
        <v>-0.3</v>
      </c>
      <c r="D38" s="97">
        <v>0.2</v>
      </c>
      <c r="E38" s="97">
        <v>0.6</v>
      </c>
      <c r="F38" s="97">
        <v>0.9</v>
      </c>
      <c r="G38" s="97">
        <v>1.4</v>
      </c>
      <c r="H38" s="97">
        <v>0.9</v>
      </c>
      <c r="I38" s="97">
        <v>0.7</v>
      </c>
      <c r="J38" s="97">
        <v>0</v>
      </c>
      <c r="K38" s="97">
        <v>0.6</v>
      </c>
      <c r="L38" s="97">
        <v>1</v>
      </c>
    </row>
    <row r="39" spans="1:26" s="78" customFormat="1" ht="11.25">
      <c r="A39" s="219">
        <v>2048</v>
      </c>
      <c r="B39" s="219"/>
      <c r="C39" s="97">
        <v>-0.3</v>
      </c>
      <c r="D39" s="97">
        <v>0.2</v>
      </c>
      <c r="E39" s="97">
        <v>0.5</v>
      </c>
      <c r="F39" s="97">
        <v>0.8</v>
      </c>
      <c r="G39" s="97">
        <v>1.3</v>
      </c>
      <c r="H39" s="97">
        <v>0.8</v>
      </c>
      <c r="I39" s="97">
        <v>0.6</v>
      </c>
      <c r="J39" s="97">
        <v>-0.1</v>
      </c>
      <c r="K39" s="97">
        <v>0.4</v>
      </c>
      <c r="L39" s="97">
        <v>0.9</v>
      </c>
    </row>
    <row r="40" spans="1:26" s="78" customFormat="1" ht="11.25">
      <c r="A40" s="219">
        <v>2053</v>
      </c>
      <c r="B40" s="219"/>
      <c r="C40" s="97">
        <v>-0.4</v>
      </c>
      <c r="D40" s="97">
        <v>0.1</v>
      </c>
      <c r="E40" s="97">
        <v>0.4</v>
      </c>
      <c r="F40" s="97">
        <v>0.7</v>
      </c>
      <c r="G40" s="97">
        <v>1.2</v>
      </c>
      <c r="H40" s="97">
        <v>0.8</v>
      </c>
      <c r="I40" s="97">
        <v>0.6</v>
      </c>
      <c r="J40" s="97">
        <v>-0.2</v>
      </c>
      <c r="K40" s="97">
        <v>0.5</v>
      </c>
      <c r="L40" s="97">
        <v>0.8</v>
      </c>
    </row>
    <row r="41" spans="1:26" s="78" customFormat="1" ht="11.25">
      <c r="A41" s="219">
        <v>2058</v>
      </c>
      <c r="B41" s="219"/>
      <c r="C41" s="97">
        <v>-0.5</v>
      </c>
      <c r="D41" s="97">
        <v>0</v>
      </c>
      <c r="E41" s="97">
        <v>0.4</v>
      </c>
      <c r="F41" s="97">
        <v>0.7</v>
      </c>
      <c r="G41" s="97">
        <v>1.1000000000000001</v>
      </c>
      <c r="H41" s="97">
        <v>0.8</v>
      </c>
      <c r="I41" s="97">
        <v>0.5</v>
      </c>
      <c r="J41" s="97">
        <v>-0.3</v>
      </c>
      <c r="K41" s="97">
        <v>0.3</v>
      </c>
      <c r="L41" s="97">
        <v>0.8</v>
      </c>
    </row>
    <row r="42" spans="1:26" s="78" customFormat="1" ht="11.25">
      <c r="A42" s="219">
        <v>2063</v>
      </c>
      <c r="B42" s="219"/>
      <c r="C42" s="97">
        <v>-0.5</v>
      </c>
      <c r="D42" s="97">
        <v>0</v>
      </c>
      <c r="E42" s="97">
        <v>0.3</v>
      </c>
      <c r="F42" s="97">
        <v>0.7</v>
      </c>
      <c r="G42" s="97">
        <v>1.1000000000000001</v>
      </c>
      <c r="H42" s="97">
        <v>0.8</v>
      </c>
      <c r="I42" s="97">
        <v>0.5</v>
      </c>
      <c r="J42" s="97">
        <v>-0.3</v>
      </c>
      <c r="K42" s="97">
        <v>0.4</v>
      </c>
      <c r="L42" s="97">
        <v>0.8</v>
      </c>
    </row>
    <row r="43" spans="1:26" s="78" customFormat="1" ht="11.25">
      <c r="A43" s="219">
        <v>2068</v>
      </c>
      <c r="B43" s="219"/>
      <c r="C43" s="97">
        <v>-0.5</v>
      </c>
      <c r="D43" s="97">
        <v>0</v>
      </c>
      <c r="E43" s="97">
        <v>0.3</v>
      </c>
      <c r="F43" s="97">
        <v>0.7</v>
      </c>
      <c r="G43" s="97">
        <v>1.1000000000000001</v>
      </c>
      <c r="H43" s="97">
        <v>0.9</v>
      </c>
      <c r="I43" s="97">
        <v>0.5</v>
      </c>
      <c r="J43" s="97">
        <v>-0.4</v>
      </c>
      <c r="K43" s="97">
        <v>0.3</v>
      </c>
      <c r="L43" s="97">
        <v>0.7</v>
      </c>
    </row>
    <row r="44" spans="1:26" s="78" customFormat="1" ht="11.25">
      <c r="A44" s="219">
        <v>2073</v>
      </c>
      <c r="B44" s="219"/>
      <c r="C44" s="97">
        <v>-0.6</v>
      </c>
      <c r="D44" s="97">
        <v>-0.1</v>
      </c>
      <c r="E44" s="97">
        <v>0.3</v>
      </c>
      <c r="F44" s="97">
        <v>0.6</v>
      </c>
      <c r="G44" s="97">
        <v>1.1000000000000001</v>
      </c>
      <c r="H44" s="97">
        <v>0.9</v>
      </c>
      <c r="I44" s="97">
        <v>0.5</v>
      </c>
      <c r="J44" s="97">
        <v>-0.4</v>
      </c>
      <c r="K44" s="97">
        <v>0.4</v>
      </c>
      <c r="L44" s="97">
        <v>0.7</v>
      </c>
    </row>
    <row r="45" spans="1:26" s="78" customFormat="1" ht="11.25">
      <c r="A45" s="220" t="s">
        <v>353</v>
      </c>
      <c r="B45" s="220"/>
      <c r="C45" s="220"/>
      <c r="D45" s="220"/>
      <c r="E45" s="220"/>
      <c r="F45" s="220"/>
      <c r="G45" s="220"/>
      <c r="H45" s="220"/>
      <c r="I45" s="220"/>
      <c r="J45" s="220"/>
      <c r="K45" s="220"/>
      <c r="L45" s="220"/>
    </row>
    <row r="46" spans="1:26" s="78" customFormat="1" ht="11.25">
      <c r="A46" s="219" t="s">
        <v>345</v>
      </c>
      <c r="B46" s="219"/>
      <c r="C46" s="79">
        <v>960</v>
      </c>
      <c r="D46" s="79">
        <v>963</v>
      </c>
      <c r="E46" s="79">
        <v>965</v>
      </c>
      <c r="F46" s="79">
        <v>968</v>
      </c>
      <c r="G46" s="79">
        <v>971</v>
      </c>
      <c r="H46" s="79">
        <v>965</v>
      </c>
      <c r="I46" s="79">
        <v>965</v>
      </c>
      <c r="J46" s="79">
        <v>965</v>
      </c>
      <c r="K46" s="79">
        <v>965</v>
      </c>
      <c r="L46" s="79">
        <v>965</v>
      </c>
    </row>
    <row r="47" spans="1:26" s="78" customFormat="1" ht="11.25">
      <c r="A47" s="219">
        <v>2023</v>
      </c>
      <c r="B47" s="219"/>
      <c r="C47" s="79">
        <v>946</v>
      </c>
      <c r="D47" s="79">
        <v>952</v>
      </c>
      <c r="E47" s="79">
        <v>956</v>
      </c>
      <c r="F47" s="79">
        <v>960</v>
      </c>
      <c r="G47" s="79">
        <v>965</v>
      </c>
      <c r="H47" s="79">
        <v>958</v>
      </c>
      <c r="I47" s="79">
        <v>956</v>
      </c>
      <c r="J47" s="79">
        <v>957</v>
      </c>
      <c r="K47" s="79">
        <v>956</v>
      </c>
      <c r="L47" s="79">
        <v>957</v>
      </c>
    </row>
    <row r="48" spans="1:26" s="78" customFormat="1" ht="11.25">
      <c r="A48" s="219">
        <v>2028</v>
      </c>
      <c r="B48" s="219"/>
      <c r="C48" s="79">
        <v>878</v>
      </c>
      <c r="D48" s="79">
        <v>905</v>
      </c>
      <c r="E48" s="79">
        <v>925</v>
      </c>
      <c r="F48" s="79">
        <v>946</v>
      </c>
      <c r="G48" s="79">
        <v>974</v>
      </c>
      <c r="H48" s="79">
        <v>967</v>
      </c>
      <c r="I48" s="79">
        <v>925</v>
      </c>
      <c r="J48" s="79">
        <v>908</v>
      </c>
      <c r="K48" s="79">
        <v>925</v>
      </c>
      <c r="L48" s="79">
        <v>950</v>
      </c>
    </row>
    <row r="49" spans="1:12" s="78" customFormat="1" ht="11.25">
      <c r="A49" s="219">
        <v>2033</v>
      </c>
      <c r="B49" s="219"/>
      <c r="C49" s="79">
        <v>820</v>
      </c>
      <c r="D49" s="79">
        <v>875</v>
      </c>
      <c r="E49" s="79">
        <v>913</v>
      </c>
      <c r="F49" s="79">
        <v>951</v>
      </c>
      <c r="G49" s="79">
        <v>1008</v>
      </c>
      <c r="H49" s="79">
        <v>1034</v>
      </c>
      <c r="I49" s="79">
        <v>913</v>
      </c>
      <c r="J49" s="79">
        <v>864</v>
      </c>
      <c r="K49" s="79">
        <v>896</v>
      </c>
      <c r="L49" s="79">
        <v>969</v>
      </c>
    </row>
    <row r="50" spans="1:12" s="78" customFormat="1" ht="11.25">
      <c r="A50" s="219">
        <v>2038</v>
      </c>
      <c r="B50" s="219"/>
      <c r="C50" s="79">
        <v>766</v>
      </c>
      <c r="D50" s="79">
        <v>849</v>
      </c>
      <c r="E50" s="79">
        <v>911</v>
      </c>
      <c r="F50" s="79">
        <v>969</v>
      </c>
      <c r="G50" s="79">
        <v>1055</v>
      </c>
      <c r="H50" s="79">
        <v>1135</v>
      </c>
      <c r="I50" s="79">
        <v>912</v>
      </c>
      <c r="J50" s="79">
        <v>824</v>
      </c>
      <c r="K50" s="79">
        <v>909</v>
      </c>
      <c r="L50" s="79">
        <v>1001</v>
      </c>
    </row>
    <row r="51" spans="1:12" s="78" customFormat="1" ht="11.25">
      <c r="A51" s="219">
        <v>2043</v>
      </c>
      <c r="B51" s="219"/>
      <c r="C51" s="79">
        <v>734</v>
      </c>
      <c r="D51" s="79">
        <v>840</v>
      </c>
      <c r="E51" s="79">
        <v>919</v>
      </c>
      <c r="F51" s="79">
        <v>992</v>
      </c>
      <c r="G51" s="79">
        <v>1109</v>
      </c>
      <c r="H51" s="79">
        <v>1221</v>
      </c>
      <c r="I51" s="79">
        <v>920</v>
      </c>
      <c r="J51" s="79">
        <v>794</v>
      </c>
      <c r="K51" s="79">
        <v>901</v>
      </c>
      <c r="L51" s="79">
        <v>1041</v>
      </c>
    </row>
    <row r="52" spans="1:12" s="78" customFormat="1" ht="11.25">
      <c r="A52" s="219">
        <v>2048</v>
      </c>
      <c r="B52" s="219"/>
      <c r="C52" s="79">
        <v>707</v>
      </c>
      <c r="D52" s="79">
        <v>840</v>
      </c>
      <c r="E52" s="79">
        <v>931</v>
      </c>
      <c r="F52" s="79">
        <v>1025</v>
      </c>
      <c r="G52" s="79">
        <v>1162</v>
      </c>
      <c r="H52" s="79">
        <v>1278</v>
      </c>
      <c r="I52" s="79">
        <v>932</v>
      </c>
      <c r="J52" s="79">
        <v>776</v>
      </c>
      <c r="K52" s="79">
        <v>930</v>
      </c>
      <c r="L52" s="79">
        <v>1079</v>
      </c>
    </row>
    <row r="53" spans="1:12" s="78" customFormat="1" ht="11.25">
      <c r="A53" s="219">
        <v>2053</v>
      </c>
      <c r="B53" s="219"/>
      <c r="C53" s="79">
        <v>681</v>
      </c>
      <c r="D53" s="79">
        <v>833</v>
      </c>
      <c r="E53" s="79">
        <v>937</v>
      </c>
      <c r="F53" s="79">
        <v>1048</v>
      </c>
      <c r="G53" s="79">
        <v>1208</v>
      </c>
      <c r="H53" s="79">
        <v>1314</v>
      </c>
      <c r="I53" s="79">
        <v>939</v>
      </c>
      <c r="J53" s="79">
        <v>759</v>
      </c>
      <c r="K53" s="79">
        <v>923</v>
      </c>
      <c r="L53" s="79">
        <v>1108</v>
      </c>
    </row>
    <row r="54" spans="1:12" s="78" customFormat="1" ht="11.25">
      <c r="A54" s="219">
        <v>2058</v>
      </c>
      <c r="B54" s="219"/>
      <c r="C54" s="79">
        <v>649</v>
      </c>
      <c r="D54" s="79">
        <v>822</v>
      </c>
      <c r="E54" s="79">
        <v>934</v>
      </c>
      <c r="F54" s="79">
        <v>1055</v>
      </c>
      <c r="G54" s="79">
        <v>1250</v>
      </c>
      <c r="H54" s="79">
        <v>1347</v>
      </c>
      <c r="I54" s="79">
        <v>936</v>
      </c>
      <c r="J54" s="79">
        <v>734</v>
      </c>
      <c r="K54" s="79">
        <v>935</v>
      </c>
      <c r="L54" s="79">
        <v>1126</v>
      </c>
    </row>
    <row r="55" spans="1:12" s="78" customFormat="1" ht="11.25">
      <c r="A55" s="219">
        <v>2063</v>
      </c>
      <c r="B55" s="219"/>
      <c r="C55" s="79">
        <v>615</v>
      </c>
      <c r="D55" s="79">
        <v>794</v>
      </c>
      <c r="E55" s="79">
        <v>926</v>
      </c>
      <c r="F55" s="79">
        <v>1063</v>
      </c>
      <c r="G55" s="79">
        <v>1290</v>
      </c>
      <c r="H55" s="79">
        <v>1402</v>
      </c>
      <c r="I55" s="79">
        <v>928</v>
      </c>
      <c r="J55" s="79">
        <v>702</v>
      </c>
      <c r="K55" s="79">
        <v>912</v>
      </c>
      <c r="L55" s="79">
        <v>1142</v>
      </c>
    </row>
    <row r="56" spans="1:12" s="78" customFormat="1" ht="11.25">
      <c r="A56" s="219">
        <v>2068</v>
      </c>
      <c r="B56" s="219"/>
      <c r="C56" s="79">
        <v>571</v>
      </c>
      <c r="D56" s="79">
        <v>770</v>
      </c>
      <c r="E56" s="79">
        <v>922</v>
      </c>
      <c r="F56" s="79">
        <v>1080</v>
      </c>
      <c r="G56" s="79">
        <v>1349</v>
      </c>
      <c r="H56" s="79">
        <v>1484</v>
      </c>
      <c r="I56" s="79">
        <v>924</v>
      </c>
      <c r="J56" s="79">
        <v>671</v>
      </c>
      <c r="K56" s="79">
        <v>922</v>
      </c>
      <c r="L56" s="79">
        <v>1163</v>
      </c>
    </row>
    <row r="57" spans="1:12" s="78" customFormat="1" ht="11.25">
      <c r="A57" s="219">
        <v>2073</v>
      </c>
      <c r="B57" s="219"/>
      <c r="C57" s="79">
        <v>531</v>
      </c>
      <c r="D57" s="79">
        <v>753</v>
      </c>
      <c r="E57" s="79">
        <v>924</v>
      </c>
      <c r="F57" s="79">
        <v>1099</v>
      </c>
      <c r="G57" s="79">
        <v>1403</v>
      </c>
      <c r="H57" s="79">
        <v>1573</v>
      </c>
      <c r="I57" s="79">
        <v>927</v>
      </c>
      <c r="J57" s="79">
        <v>646</v>
      </c>
      <c r="K57" s="79">
        <v>909</v>
      </c>
      <c r="L57" s="79">
        <v>1190</v>
      </c>
    </row>
    <row r="58" spans="1:12" s="78" customFormat="1" ht="11.25">
      <c r="A58" s="220" t="s">
        <v>354</v>
      </c>
      <c r="B58" s="220"/>
      <c r="C58" s="220"/>
      <c r="D58" s="220"/>
      <c r="E58" s="220"/>
      <c r="F58" s="220"/>
      <c r="G58" s="220"/>
      <c r="H58" s="220"/>
      <c r="I58" s="220"/>
      <c r="J58" s="220"/>
      <c r="K58" s="220"/>
      <c r="L58" s="220"/>
    </row>
    <row r="59" spans="1:12" s="78" customFormat="1" ht="11.25">
      <c r="A59" s="219" t="s">
        <v>345</v>
      </c>
      <c r="B59" s="219"/>
      <c r="C59" s="79">
        <v>1716</v>
      </c>
      <c r="D59" s="79">
        <v>1725</v>
      </c>
      <c r="E59" s="79">
        <v>1730</v>
      </c>
      <c r="F59" s="79">
        <v>1737</v>
      </c>
      <c r="G59" s="79">
        <v>1745</v>
      </c>
      <c r="H59" s="79">
        <v>1730</v>
      </c>
      <c r="I59" s="79">
        <v>1730</v>
      </c>
      <c r="J59" s="79">
        <v>1730</v>
      </c>
      <c r="K59" s="79">
        <v>1730</v>
      </c>
      <c r="L59" s="79">
        <v>1730</v>
      </c>
    </row>
    <row r="60" spans="1:12" s="78" customFormat="1" ht="11.25">
      <c r="A60" s="219">
        <v>2023</v>
      </c>
      <c r="B60" s="219"/>
      <c r="C60" s="79">
        <v>1707</v>
      </c>
      <c r="D60" s="79">
        <v>1722</v>
      </c>
      <c r="E60" s="79">
        <v>1732</v>
      </c>
      <c r="F60" s="79">
        <v>1742</v>
      </c>
      <c r="G60" s="79">
        <v>1756</v>
      </c>
      <c r="H60" s="79">
        <v>1732</v>
      </c>
      <c r="I60" s="79">
        <v>1732</v>
      </c>
      <c r="J60" s="79">
        <v>1730</v>
      </c>
      <c r="K60" s="79">
        <v>1732</v>
      </c>
      <c r="L60" s="79">
        <v>1736</v>
      </c>
    </row>
    <row r="61" spans="1:12" s="78" customFormat="1" ht="11.25">
      <c r="A61" s="219">
        <v>2028</v>
      </c>
      <c r="B61" s="219"/>
      <c r="C61" s="79">
        <v>1682</v>
      </c>
      <c r="D61" s="79">
        <v>1740</v>
      </c>
      <c r="E61" s="79">
        <v>1781</v>
      </c>
      <c r="F61" s="79">
        <v>1822</v>
      </c>
      <c r="G61" s="79">
        <v>1884</v>
      </c>
      <c r="H61" s="79">
        <v>1781</v>
      </c>
      <c r="I61" s="79">
        <v>1781</v>
      </c>
      <c r="J61" s="79">
        <v>1710</v>
      </c>
      <c r="K61" s="79">
        <v>1781</v>
      </c>
      <c r="L61" s="79">
        <v>1847</v>
      </c>
    </row>
    <row r="62" spans="1:12" s="78" customFormat="1" ht="11.25">
      <c r="A62" s="219">
        <v>2033</v>
      </c>
      <c r="B62" s="219"/>
      <c r="C62" s="79">
        <v>1644</v>
      </c>
      <c r="D62" s="79">
        <v>1723</v>
      </c>
      <c r="E62" s="79">
        <v>1783</v>
      </c>
      <c r="F62" s="79">
        <v>1841</v>
      </c>
      <c r="G62" s="79">
        <v>1926</v>
      </c>
      <c r="H62" s="79">
        <v>1783</v>
      </c>
      <c r="I62" s="79">
        <v>1784</v>
      </c>
      <c r="J62" s="79">
        <v>1637</v>
      </c>
      <c r="K62" s="79">
        <v>1740</v>
      </c>
      <c r="L62" s="79">
        <v>1919</v>
      </c>
    </row>
    <row r="63" spans="1:12" s="78" customFormat="1" ht="11.25">
      <c r="A63" s="219">
        <v>2038</v>
      </c>
      <c r="B63" s="219"/>
      <c r="C63" s="79">
        <v>1638</v>
      </c>
      <c r="D63" s="79">
        <v>1730</v>
      </c>
      <c r="E63" s="79">
        <v>1798</v>
      </c>
      <c r="F63" s="79">
        <v>1866</v>
      </c>
      <c r="G63" s="79">
        <v>1969</v>
      </c>
      <c r="H63" s="79">
        <v>1800</v>
      </c>
      <c r="I63" s="79">
        <v>1799</v>
      </c>
      <c r="J63" s="79">
        <v>1592</v>
      </c>
      <c r="K63" s="79">
        <v>1800</v>
      </c>
      <c r="L63" s="79">
        <v>1996</v>
      </c>
    </row>
    <row r="64" spans="1:12" s="78" customFormat="1" ht="11.25">
      <c r="A64" s="219">
        <v>2043</v>
      </c>
      <c r="B64" s="219"/>
      <c r="C64" s="79">
        <v>1650</v>
      </c>
      <c r="D64" s="79">
        <v>1751</v>
      </c>
      <c r="E64" s="79">
        <v>1824</v>
      </c>
      <c r="F64" s="79">
        <v>1903</v>
      </c>
      <c r="G64" s="79">
        <v>2012</v>
      </c>
      <c r="H64" s="79">
        <v>1866</v>
      </c>
      <c r="I64" s="79">
        <v>1826</v>
      </c>
      <c r="J64" s="79">
        <v>1559</v>
      </c>
      <c r="K64" s="79">
        <v>1786</v>
      </c>
      <c r="L64" s="79">
        <v>2073</v>
      </c>
    </row>
    <row r="65" spans="1:12" s="78" customFormat="1" ht="11.25">
      <c r="A65" s="219">
        <v>2048</v>
      </c>
      <c r="B65" s="219"/>
      <c r="C65" s="79">
        <v>1628</v>
      </c>
      <c r="D65" s="79">
        <v>1748</v>
      </c>
      <c r="E65" s="79">
        <v>1828</v>
      </c>
      <c r="F65" s="79">
        <v>1913</v>
      </c>
      <c r="G65" s="79">
        <v>2036</v>
      </c>
      <c r="H65" s="79">
        <v>1949</v>
      </c>
      <c r="I65" s="79">
        <v>1831</v>
      </c>
      <c r="J65" s="79">
        <v>1510</v>
      </c>
      <c r="K65" s="79">
        <v>1837</v>
      </c>
      <c r="L65" s="79">
        <v>2126</v>
      </c>
    </row>
    <row r="66" spans="1:12" s="78" customFormat="1" ht="11.25">
      <c r="A66" s="219">
        <v>2053</v>
      </c>
      <c r="B66" s="219"/>
      <c r="C66" s="79">
        <v>1575</v>
      </c>
      <c r="D66" s="79">
        <v>1708</v>
      </c>
      <c r="E66" s="79">
        <v>1805</v>
      </c>
      <c r="F66" s="79">
        <v>1904</v>
      </c>
      <c r="G66" s="79">
        <v>2045</v>
      </c>
      <c r="H66" s="79">
        <v>2030</v>
      </c>
      <c r="I66" s="79">
        <v>1808</v>
      </c>
      <c r="J66" s="79">
        <v>1435</v>
      </c>
      <c r="K66" s="79">
        <v>1768</v>
      </c>
      <c r="L66" s="79">
        <v>2152</v>
      </c>
    </row>
    <row r="67" spans="1:12" s="78" customFormat="1" ht="11.25">
      <c r="A67" s="219">
        <v>2058</v>
      </c>
      <c r="B67" s="219"/>
      <c r="C67" s="79">
        <v>1537</v>
      </c>
      <c r="D67" s="79">
        <v>1682</v>
      </c>
      <c r="E67" s="79">
        <v>1802</v>
      </c>
      <c r="F67" s="79">
        <v>1919</v>
      </c>
      <c r="G67" s="79">
        <v>2097</v>
      </c>
      <c r="H67" s="79">
        <v>2145</v>
      </c>
      <c r="I67" s="79">
        <v>1806</v>
      </c>
      <c r="J67" s="79">
        <v>1377</v>
      </c>
      <c r="K67" s="79">
        <v>1808</v>
      </c>
      <c r="L67" s="79">
        <v>2200</v>
      </c>
    </row>
    <row r="68" spans="1:12" s="78" customFormat="1" ht="11.25">
      <c r="A68" s="219">
        <v>2063</v>
      </c>
      <c r="B68" s="219"/>
      <c r="C68" s="79">
        <v>1478</v>
      </c>
      <c r="D68" s="79">
        <v>1670</v>
      </c>
      <c r="E68" s="79">
        <v>1811</v>
      </c>
      <c r="F68" s="79">
        <v>1947</v>
      </c>
      <c r="G68" s="79">
        <v>2174</v>
      </c>
      <c r="H68" s="79">
        <v>2276</v>
      </c>
      <c r="I68" s="79">
        <v>1816</v>
      </c>
      <c r="J68" s="79">
        <v>1331</v>
      </c>
      <c r="K68" s="79">
        <v>1774</v>
      </c>
      <c r="L68" s="79">
        <v>2258</v>
      </c>
    </row>
    <row r="69" spans="1:12" s="78" customFormat="1" ht="11.25">
      <c r="A69" s="219">
        <v>2068</v>
      </c>
      <c r="B69" s="219"/>
      <c r="C69" s="79">
        <v>1433</v>
      </c>
      <c r="D69" s="79">
        <v>1657</v>
      </c>
      <c r="E69" s="79">
        <v>1819</v>
      </c>
      <c r="F69" s="79">
        <v>1984</v>
      </c>
      <c r="G69" s="79">
        <v>2248</v>
      </c>
      <c r="H69" s="79">
        <v>2377</v>
      </c>
      <c r="I69" s="79">
        <v>1825</v>
      </c>
      <c r="J69" s="79">
        <v>1288</v>
      </c>
      <c r="K69" s="79">
        <v>1827</v>
      </c>
      <c r="L69" s="79">
        <v>2312</v>
      </c>
    </row>
    <row r="70" spans="1:12" s="78" customFormat="1" ht="11.25">
      <c r="A70" s="219">
        <v>2073</v>
      </c>
      <c r="B70" s="219"/>
      <c r="C70" s="79">
        <v>1375</v>
      </c>
      <c r="D70" s="79">
        <v>1643</v>
      </c>
      <c r="E70" s="79">
        <v>1824</v>
      </c>
      <c r="F70" s="79">
        <v>2014</v>
      </c>
      <c r="G70" s="79">
        <v>2316</v>
      </c>
      <c r="H70" s="79">
        <v>2458</v>
      </c>
      <c r="I70" s="79">
        <v>1831</v>
      </c>
      <c r="J70" s="79">
        <v>1250</v>
      </c>
      <c r="K70" s="79">
        <v>1790</v>
      </c>
      <c r="L70" s="79">
        <v>2359</v>
      </c>
    </row>
    <row r="71" spans="1:12" s="78" customFormat="1" ht="11.25">
      <c r="A71" s="220" t="s">
        <v>355</v>
      </c>
      <c r="B71" s="220"/>
      <c r="C71" s="220"/>
      <c r="D71" s="220"/>
      <c r="E71" s="220"/>
      <c r="F71" s="220"/>
      <c r="G71" s="220"/>
      <c r="H71" s="220"/>
      <c r="I71" s="220"/>
      <c r="J71" s="220"/>
      <c r="K71" s="220"/>
      <c r="L71" s="220"/>
    </row>
    <row r="72" spans="1:12" s="78" customFormat="1" ht="11.25">
      <c r="A72" s="219" t="s">
        <v>345</v>
      </c>
      <c r="B72" s="219"/>
      <c r="C72" s="79">
        <v>1583</v>
      </c>
      <c r="D72" s="79">
        <v>1587</v>
      </c>
      <c r="E72" s="79">
        <v>1590</v>
      </c>
      <c r="F72" s="79">
        <v>1593</v>
      </c>
      <c r="G72" s="79">
        <v>1597</v>
      </c>
      <c r="H72" s="79">
        <v>1590</v>
      </c>
      <c r="I72" s="79">
        <v>1590</v>
      </c>
      <c r="J72" s="79">
        <v>1590</v>
      </c>
      <c r="K72" s="79">
        <v>1590</v>
      </c>
      <c r="L72" s="79">
        <v>1590</v>
      </c>
    </row>
    <row r="73" spans="1:12" s="78" customFormat="1" ht="11.25">
      <c r="A73" s="219">
        <v>2023</v>
      </c>
      <c r="B73" s="219"/>
      <c r="C73" s="79">
        <v>1584</v>
      </c>
      <c r="D73" s="79">
        <v>1590</v>
      </c>
      <c r="E73" s="79">
        <v>1593</v>
      </c>
      <c r="F73" s="79">
        <v>1598</v>
      </c>
      <c r="G73" s="79">
        <v>1603</v>
      </c>
      <c r="H73" s="79">
        <v>1593</v>
      </c>
      <c r="I73" s="79">
        <v>1594</v>
      </c>
      <c r="J73" s="79">
        <v>1596</v>
      </c>
      <c r="K73" s="79">
        <v>1593</v>
      </c>
      <c r="L73" s="79">
        <v>1595</v>
      </c>
    </row>
    <row r="74" spans="1:12" s="78" customFormat="1" ht="11.25">
      <c r="A74" s="219">
        <v>2028</v>
      </c>
      <c r="B74" s="219"/>
      <c r="C74" s="79">
        <v>1589</v>
      </c>
      <c r="D74" s="79">
        <v>1612</v>
      </c>
      <c r="E74" s="79">
        <v>1628</v>
      </c>
      <c r="F74" s="79">
        <v>1644</v>
      </c>
      <c r="G74" s="79">
        <v>1667</v>
      </c>
      <c r="H74" s="79">
        <v>1628</v>
      </c>
      <c r="I74" s="79">
        <v>1629</v>
      </c>
      <c r="J74" s="79">
        <v>1619</v>
      </c>
      <c r="K74" s="79">
        <v>1628</v>
      </c>
      <c r="L74" s="79">
        <v>1653</v>
      </c>
    </row>
    <row r="75" spans="1:12" s="78" customFormat="1" ht="11.25">
      <c r="A75" s="219">
        <v>2033</v>
      </c>
      <c r="B75" s="219"/>
      <c r="C75" s="79">
        <v>1651</v>
      </c>
      <c r="D75" s="79">
        <v>1688</v>
      </c>
      <c r="E75" s="79">
        <v>1716</v>
      </c>
      <c r="F75" s="79">
        <v>1742</v>
      </c>
      <c r="G75" s="79">
        <v>1782</v>
      </c>
      <c r="H75" s="79">
        <v>1716</v>
      </c>
      <c r="I75" s="79">
        <v>1719</v>
      </c>
      <c r="J75" s="79">
        <v>1676</v>
      </c>
      <c r="K75" s="79">
        <v>1699</v>
      </c>
      <c r="L75" s="79">
        <v>1776</v>
      </c>
    </row>
    <row r="76" spans="1:12" s="78" customFormat="1" ht="11.25">
      <c r="A76" s="219">
        <v>2038</v>
      </c>
      <c r="B76" s="219"/>
      <c r="C76" s="79">
        <v>1679</v>
      </c>
      <c r="D76" s="79">
        <v>1732</v>
      </c>
      <c r="E76" s="79">
        <v>1771</v>
      </c>
      <c r="F76" s="79">
        <v>1813</v>
      </c>
      <c r="G76" s="79">
        <v>1872</v>
      </c>
      <c r="H76" s="79">
        <v>1771</v>
      </c>
      <c r="I76" s="79">
        <v>1776</v>
      </c>
      <c r="J76" s="79">
        <v>1680</v>
      </c>
      <c r="K76" s="79">
        <v>1766</v>
      </c>
      <c r="L76" s="79">
        <v>1878</v>
      </c>
    </row>
    <row r="77" spans="1:12" s="78" customFormat="1" ht="11.25">
      <c r="A77" s="219">
        <v>2043</v>
      </c>
      <c r="B77" s="219"/>
      <c r="C77" s="79">
        <v>1712</v>
      </c>
      <c r="D77" s="79">
        <v>1789</v>
      </c>
      <c r="E77" s="79">
        <v>1843</v>
      </c>
      <c r="F77" s="79">
        <v>1900</v>
      </c>
      <c r="G77" s="79">
        <v>1983</v>
      </c>
      <c r="H77" s="79">
        <v>1843</v>
      </c>
      <c r="I77" s="79">
        <v>1851</v>
      </c>
      <c r="J77" s="79">
        <v>1688</v>
      </c>
      <c r="K77" s="79">
        <v>1818</v>
      </c>
      <c r="L77" s="79">
        <v>2012</v>
      </c>
    </row>
    <row r="78" spans="1:12" s="78" customFormat="1" ht="11.25">
      <c r="A78" s="219">
        <v>2048</v>
      </c>
      <c r="B78" s="219"/>
      <c r="C78" s="79">
        <v>1756</v>
      </c>
      <c r="D78" s="79">
        <v>1851</v>
      </c>
      <c r="E78" s="79">
        <v>1919</v>
      </c>
      <c r="F78" s="79">
        <v>1990</v>
      </c>
      <c r="G78" s="79">
        <v>2092</v>
      </c>
      <c r="H78" s="79">
        <v>1919</v>
      </c>
      <c r="I78" s="79">
        <v>1930</v>
      </c>
      <c r="J78" s="79">
        <v>1685</v>
      </c>
      <c r="K78" s="79">
        <v>1905</v>
      </c>
      <c r="L78" s="79">
        <v>2160</v>
      </c>
    </row>
    <row r="79" spans="1:12" s="78" customFormat="1" ht="11.25">
      <c r="A79" s="219">
        <v>2053</v>
      </c>
      <c r="B79" s="219"/>
      <c r="C79" s="79">
        <v>1796</v>
      </c>
      <c r="D79" s="79">
        <v>1908</v>
      </c>
      <c r="E79" s="79">
        <v>1987</v>
      </c>
      <c r="F79" s="79">
        <v>2068</v>
      </c>
      <c r="G79" s="79">
        <v>2182</v>
      </c>
      <c r="H79" s="79">
        <v>1987</v>
      </c>
      <c r="I79" s="79">
        <v>2000</v>
      </c>
      <c r="J79" s="79">
        <v>1668</v>
      </c>
      <c r="K79" s="79">
        <v>1957</v>
      </c>
      <c r="L79" s="79">
        <v>2298</v>
      </c>
    </row>
    <row r="80" spans="1:12" s="78" customFormat="1" ht="11.25">
      <c r="A80" s="219">
        <v>2058</v>
      </c>
      <c r="B80" s="219"/>
      <c r="C80" s="79">
        <v>1782</v>
      </c>
      <c r="D80" s="79">
        <v>1907</v>
      </c>
      <c r="E80" s="79">
        <v>1993</v>
      </c>
      <c r="F80" s="79">
        <v>2084</v>
      </c>
      <c r="G80" s="79">
        <v>2216</v>
      </c>
      <c r="H80" s="79">
        <v>1993</v>
      </c>
      <c r="I80" s="79">
        <v>2008</v>
      </c>
      <c r="J80" s="79">
        <v>1601</v>
      </c>
      <c r="K80" s="79">
        <v>1980</v>
      </c>
      <c r="L80" s="79">
        <v>2373</v>
      </c>
    </row>
    <row r="81" spans="1:12" s="78" customFormat="1" ht="11.25">
      <c r="A81" s="219">
        <v>2063</v>
      </c>
      <c r="B81" s="219"/>
      <c r="C81" s="79">
        <v>1787</v>
      </c>
      <c r="D81" s="79">
        <v>1919</v>
      </c>
      <c r="E81" s="79">
        <v>2011</v>
      </c>
      <c r="F81" s="79">
        <v>2109</v>
      </c>
      <c r="G81" s="79">
        <v>2254</v>
      </c>
      <c r="H81" s="79">
        <v>2013</v>
      </c>
      <c r="I81" s="79">
        <v>2028</v>
      </c>
      <c r="J81" s="79">
        <v>1559</v>
      </c>
      <c r="K81" s="79">
        <v>1984</v>
      </c>
      <c r="L81" s="79">
        <v>2451</v>
      </c>
    </row>
    <row r="82" spans="1:12" s="78" customFormat="1" ht="11.25">
      <c r="A82" s="219">
        <v>2068</v>
      </c>
      <c r="B82" s="219"/>
      <c r="C82" s="79">
        <v>1804</v>
      </c>
      <c r="D82" s="79">
        <v>1940</v>
      </c>
      <c r="E82" s="79">
        <v>2039</v>
      </c>
      <c r="F82" s="79">
        <v>2142</v>
      </c>
      <c r="G82" s="79">
        <v>2291</v>
      </c>
      <c r="H82" s="79">
        <v>2081</v>
      </c>
      <c r="I82" s="79">
        <v>2058</v>
      </c>
      <c r="J82" s="79">
        <v>1530</v>
      </c>
      <c r="K82" s="79">
        <v>2031</v>
      </c>
      <c r="L82" s="79">
        <v>2531</v>
      </c>
    </row>
    <row r="83" spans="1:12" s="78" customFormat="1" ht="11.25">
      <c r="A83" s="219">
        <v>2073</v>
      </c>
      <c r="B83" s="219"/>
      <c r="C83" s="79">
        <v>1799</v>
      </c>
      <c r="D83" s="79">
        <v>1938</v>
      </c>
      <c r="E83" s="79">
        <v>2045</v>
      </c>
      <c r="F83" s="79">
        <v>2152</v>
      </c>
      <c r="G83" s="79">
        <v>2319</v>
      </c>
      <c r="H83" s="79">
        <v>2165</v>
      </c>
      <c r="I83" s="79">
        <v>2066</v>
      </c>
      <c r="J83" s="79">
        <v>1482</v>
      </c>
      <c r="K83" s="79">
        <v>2024</v>
      </c>
      <c r="L83" s="79">
        <v>2585</v>
      </c>
    </row>
    <row r="84" spans="1:12" s="78" customFormat="1" ht="11.25">
      <c r="A84" s="220" t="s">
        <v>356</v>
      </c>
      <c r="B84" s="220"/>
      <c r="C84" s="220"/>
      <c r="D84" s="220"/>
      <c r="E84" s="220"/>
      <c r="F84" s="220"/>
      <c r="G84" s="220"/>
      <c r="H84" s="220"/>
      <c r="I84" s="220"/>
      <c r="J84" s="220"/>
      <c r="K84" s="220"/>
      <c r="L84" s="220"/>
    </row>
    <row r="85" spans="1:12" s="78" customFormat="1" ht="11.25">
      <c r="A85" s="219" t="s">
        <v>345</v>
      </c>
      <c r="B85" s="219"/>
      <c r="C85" s="79">
        <v>838</v>
      </c>
      <c r="D85" s="79">
        <v>840</v>
      </c>
      <c r="E85" s="79">
        <v>842</v>
      </c>
      <c r="F85" s="79">
        <v>845</v>
      </c>
      <c r="G85" s="79">
        <v>848</v>
      </c>
      <c r="H85" s="79">
        <v>842</v>
      </c>
      <c r="I85" s="79">
        <v>842</v>
      </c>
      <c r="J85" s="79">
        <v>842</v>
      </c>
      <c r="K85" s="79">
        <v>842</v>
      </c>
      <c r="L85" s="79">
        <v>842</v>
      </c>
    </row>
    <row r="86" spans="1:12" s="78" customFormat="1" ht="11.25">
      <c r="A86" s="219">
        <v>2023</v>
      </c>
      <c r="B86" s="219"/>
      <c r="C86" s="79">
        <v>864</v>
      </c>
      <c r="D86" s="79">
        <v>867</v>
      </c>
      <c r="E86" s="79">
        <v>869</v>
      </c>
      <c r="F86" s="79">
        <v>871</v>
      </c>
      <c r="G86" s="79">
        <v>875</v>
      </c>
      <c r="H86" s="79">
        <v>869</v>
      </c>
      <c r="I86" s="79">
        <v>869</v>
      </c>
      <c r="J86" s="79">
        <v>869</v>
      </c>
      <c r="K86" s="79">
        <v>869</v>
      </c>
      <c r="L86" s="79">
        <v>869</v>
      </c>
    </row>
    <row r="87" spans="1:12" s="78" customFormat="1" ht="11.25">
      <c r="A87" s="219">
        <v>2028</v>
      </c>
      <c r="B87" s="219"/>
      <c r="C87" s="79">
        <v>1011</v>
      </c>
      <c r="D87" s="79">
        <v>1017</v>
      </c>
      <c r="E87" s="79">
        <v>1020</v>
      </c>
      <c r="F87" s="79">
        <v>1024</v>
      </c>
      <c r="G87" s="79">
        <v>1030</v>
      </c>
      <c r="H87" s="79">
        <v>1020</v>
      </c>
      <c r="I87" s="79">
        <v>1028</v>
      </c>
      <c r="J87" s="79">
        <v>1014</v>
      </c>
      <c r="K87" s="79">
        <v>1020</v>
      </c>
      <c r="L87" s="79">
        <v>1024</v>
      </c>
    </row>
    <row r="88" spans="1:12" s="78" customFormat="1" ht="11.25">
      <c r="A88" s="219">
        <v>2033</v>
      </c>
      <c r="B88" s="219"/>
      <c r="C88" s="79">
        <v>1136</v>
      </c>
      <c r="D88" s="79">
        <v>1145</v>
      </c>
      <c r="E88" s="79">
        <v>1153</v>
      </c>
      <c r="F88" s="79">
        <v>1159</v>
      </c>
      <c r="G88" s="79">
        <v>1170</v>
      </c>
      <c r="H88" s="79">
        <v>1153</v>
      </c>
      <c r="I88" s="79">
        <v>1176</v>
      </c>
      <c r="J88" s="79">
        <v>1137</v>
      </c>
      <c r="K88" s="79">
        <v>1150</v>
      </c>
      <c r="L88" s="79">
        <v>1162</v>
      </c>
    </row>
    <row r="89" spans="1:12" s="78" customFormat="1" ht="11.25">
      <c r="A89" s="219">
        <v>2038</v>
      </c>
      <c r="B89" s="219"/>
      <c r="C89" s="79">
        <v>1244</v>
      </c>
      <c r="D89" s="79">
        <v>1260</v>
      </c>
      <c r="E89" s="79">
        <v>1272</v>
      </c>
      <c r="F89" s="79">
        <v>1283</v>
      </c>
      <c r="G89" s="79">
        <v>1300</v>
      </c>
      <c r="H89" s="79">
        <v>1272</v>
      </c>
      <c r="I89" s="79">
        <v>1320</v>
      </c>
      <c r="J89" s="79">
        <v>1249</v>
      </c>
      <c r="K89" s="79">
        <v>1271</v>
      </c>
      <c r="L89" s="79">
        <v>1289</v>
      </c>
    </row>
    <row r="90" spans="1:12" s="78" customFormat="1" ht="11.25">
      <c r="A90" s="219">
        <v>2043</v>
      </c>
      <c r="B90" s="219"/>
      <c r="C90" s="79">
        <v>1296</v>
      </c>
      <c r="D90" s="79">
        <v>1321</v>
      </c>
      <c r="E90" s="79">
        <v>1338</v>
      </c>
      <c r="F90" s="79">
        <v>1355</v>
      </c>
      <c r="G90" s="79">
        <v>1381</v>
      </c>
      <c r="H90" s="79">
        <v>1338</v>
      </c>
      <c r="I90" s="79">
        <v>1419</v>
      </c>
      <c r="J90" s="79">
        <v>1309</v>
      </c>
      <c r="K90" s="79">
        <v>1334</v>
      </c>
      <c r="L90" s="79">
        <v>1367</v>
      </c>
    </row>
    <row r="91" spans="1:12" s="78" customFormat="1" ht="11.25">
      <c r="A91" s="219">
        <v>2048</v>
      </c>
      <c r="B91" s="219"/>
      <c r="C91" s="79">
        <v>1340</v>
      </c>
      <c r="D91" s="79">
        <v>1375</v>
      </c>
      <c r="E91" s="79">
        <v>1399</v>
      </c>
      <c r="F91" s="79">
        <v>1423</v>
      </c>
      <c r="G91" s="79">
        <v>1460</v>
      </c>
      <c r="H91" s="79">
        <v>1399</v>
      </c>
      <c r="I91" s="79">
        <v>1521</v>
      </c>
      <c r="J91" s="79">
        <v>1362</v>
      </c>
      <c r="K91" s="79">
        <v>1395</v>
      </c>
      <c r="L91" s="79">
        <v>1445</v>
      </c>
    </row>
    <row r="92" spans="1:12" s="78" customFormat="1" ht="11.25">
      <c r="A92" s="219">
        <v>2053</v>
      </c>
      <c r="B92" s="219"/>
      <c r="C92" s="79">
        <v>1401</v>
      </c>
      <c r="D92" s="79">
        <v>1448</v>
      </c>
      <c r="E92" s="79">
        <v>1480</v>
      </c>
      <c r="F92" s="79">
        <v>1514</v>
      </c>
      <c r="G92" s="79">
        <v>1565</v>
      </c>
      <c r="H92" s="79">
        <v>1480</v>
      </c>
      <c r="I92" s="79">
        <v>1650</v>
      </c>
      <c r="J92" s="79">
        <v>1428</v>
      </c>
      <c r="K92" s="79">
        <v>1473</v>
      </c>
      <c r="L92" s="79">
        <v>1550</v>
      </c>
    </row>
    <row r="93" spans="1:12" s="78" customFormat="1" ht="11.25">
      <c r="A93" s="219">
        <v>2058</v>
      </c>
      <c r="B93" s="219"/>
      <c r="C93" s="79">
        <v>1493</v>
      </c>
      <c r="D93" s="79">
        <v>1556</v>
      </c>
      <c r="E93" s="79">
        <v>1597</v>
      </c>
      <c r="F93" s="79">
        <v>1641</v>
      </c>
      <c r="G93" s="79">
        <v>1705</v>
      </c>
      <c r="H93" s="79">
        <v>1597</v>
      </c>
      <c r="I93" s="79">
        <v>1819</v>
      </c>
      <c r="J93" s="79">
        <v>1514</v>
      </c>
      <c r="K93" s="79">
        <v>1589</v>
      </c>
      <c r="L93" s="79">
        <v>1699</v>
      </c>
    </row>
    <row r="94" spans="1:12" s="78" customFormat="1" ht="11.25">
      <c r="A94" s="219">
        <v>2063</v>
      </c>
      <c r="B94" s="219"/>
      <c r="C94" s="79">
        <v>1556</v>
      </c>
      <c r="D94" s="79">
        <v>1635</v>
      </c>
      <c r="E94" s="79">
        <v>1688</v>
      </c>
      <c r="F94" s="79">
        <v>1745</v>
      </c>
      <c r="G94" s="79">
        <v>1826</v>
      </c>
      <c r="H94" s="79">
        <v>1688</v>
      </c>
      <c r="I94" s="79">
        <v>1964</v>
      </c>
      <c r="J94" s="79">
        <v>1556</v>
      </c>
      <c r="K94" s="79">
        <v>1676</v>
      </c>
      <c r="L94" s="79">
        <v>1833</v>
      </c>
    </row>
    <row r="95" spans="1:12" s="78" customFormat="1" ht="11.25">
      <c r="A95" s="219">
        <v>2068</v>
      </c>
      <c r="B95" s="219"/>
      <c r="C95" s="79">
        <v>1595</v>
      </c>
      <c r="D95" s="79">
        <v>1695</v>
      </c>
      <c r="E95" s="79">
        <v>1763</v>
      </c>
      <c r="F95" s="79">
        <v>1834</v>
      </c>
      <c r="G95" s="79">
        <v>1936</v>
      </c>
      <c r="H95" s="79">
        <v>1763</v>
      </c>
      <c r="I95" s="79">
        <v>2095</v>
      </c>
      <c r="J95" s="79">
        <v>1573</v>
      </c>
      <c r="K95" s="79">
        <v>1747</v>
      </c>
      <c r="L95" s="79">
        <v>1966</v>
      </c>
    </row>
    <row r="96" spans="1:12" s="78" customFormat="1" ht="11.25">
      <c r="A96" s="219">
        <v>2073</v>
      </c>
      <c r="B96" s="219"/>
      <c r="C96" s="79">
        <v>1645</v>
      </c>
      <c r="D96" s="79">
        <v>1767</v>
      </c>
      <c r="E96" s="79">
        <v>1850</v>
      </c>
      <c r="F96" s="79">
        <v>1939</v>
      </c>
      <c r="G96" s="79">
        <v>2062</v>
      </c>
      <c r="H96" s="79">
        <v>1850</v>
      </c>
      <c r="I96" s="79">
        <v>2246</v>
      </c>
      <c r="J96" s="79">
        <v>1588</v>
      </c>
      <c r="K96" s="79">
        <v>1829</v>
      </c>
      <c r="L96" s="79">
        <v>2122</v>
      </c>
    </row>
    <row r="97" spans="1:12" s="78" customFormat="1" ht="11.25">
      <c r="A97" s="220" t="s">
        <v>357</v>
      </c>
      <c r="B97" s="220"/>
      <c r="C97" s="220"/>
      <c r="D97" s="220"/>
      <c r="E97" s="220"/>
      <c r="F97" s="220"/>
      <c r="G97" s="220"/>
      <c r="H97" s="220"/>
      <c r="I97" s="220"/>
      <c r="J97" s="220"/>
      <c r="K97" s="220"/>
      <c r="L97" s="220"/>
    </row>
    <row r="98" spans="1:12" s="78" customFormat="1" ht="11.25">
      <c r="A98" s="219" t="s">
        <v>345</v>
      </c>
      <c r="B98" s="219"/>
      <c r="C98" s="79">
        <v>92</v>
      </c>
      <c r="D98" s="79">
        <v>93</v>
      </c>
      <c r="E98" s="79">
        <v>93</v>
      </c>
      <c r="F98" s="79">
        <v>94</v>
      </c>
      <c r="G98" s="79">
        <v>94</v>
      </c>
      <c r="H98" s="79">
        <v>93</v>
      </c>
      <c r="I98" s="79">
        <v>93</v>
      </c>
      <c r="J98" s="79">
        <v>93</v>
      </c>
      <c r="K98" s="79">
        <v>93</v>
      </c>
      <c r="L98" s="79">
        <v>93</v>
      </c>
    </row>
    <row r="99" spans="1:12" s="78" customFormat="1" ht="11.25">
      <c r="A99" s="219">
        <v>2023</v>
      </c>
      <c r="B99" s="219"/>
      <c r="C99" s="79">
        <v>95</v>
      </c>
      <c r="D99" s="79">
        <v>95</v>
      </c>
      <c r="E99" s="79">
        <v>96</v>
      </c>
      <c r="F99" s="79">
        <v>96</v>
      </c>
      <c r="G99" s="79">
        <v>97</v>
      </c>
      <c r="H99" s="79">
        <v>96</v>
      </c>
      <c r="I99" s="79">
        <v>96</v>
      </c>
      <c r="J99" s="79">
        <v>96</v>
      </c>
      <c r="K99" s="79">
        <v>96</v>
      </c>
      <c r="L99" s="79">
        <v>96</v>
      </c>
    </row>
    <row r="100" spans="1:12" s="78" customFormat="1" ht="11.25">
      <c r="A100" s="219">
        <v>2028</v>
      </c>
      <c r="B100" s="219"/>
      <c r="C100" s="79">
        <v>116</v>
      </c>
      <c r="D100" s="79">
        <v>117</v>
      </c>
      <c r="E100" s="79">
        <v>118</v>
      </c>
      <c r="F100" s="79">
        <v>119</v>
      </c>
      <c r="G100" s="79">
        <v>121</v>
      </c>
      <c r="H100" s="79">
        <v>118</v>
      </c>
      <c r="I100" s="79">
        <v>122</v>
      </c>
      <c r="J100" s="79">
        <v>118</v>
      </c>
      <c r="K100" s="79">
        <v>118</v>
      </c>
      <c r="L100" s="79">
        <v>119</v>
      </c>
    </row>
    <row r="101" spans="1:12" s="78" customFormat="1" ht="11.25">
      <c r="A101" s="219">
        <v>2033</v>
      </c>
      <c r="B101" s="219"/>
      <c r="C101" s="79">
        <v>148</v>
      </c>
      <c r="D101" s="79">
        <v>152</v>
      </c>
      <c r="E101" s="79">
        <v>154</v>
      </c>
      <c r="F101" s="79">
        <v>156</v>
      </c>
      <c r="G101" s="79">
        <v>160</v>
      </c>
      <c r="H101" s="79">
        <v>154</v>
      </c>
      <c r="I101" s="79">
        <v>166</v>
      </c>
      <c r="J101" s="79">
        <v>154</v>
      </c>
      <c r="K101" s="79">
        <v>154</v>
      </c>
      <c r="L101" s="79">
        <v>155</v>
      </c>
    </row>
    <row r="102" spans="1:12" s="78" customFormat="1" ht="11.25">
      <c r="A102" s="219">
        <v>2038</v>
      </c>
      <c r="B102" s="219"/>
      <c r="C102" s="79">
        <v>181</v>
      </c>
      <c r="D102" s="79">
        <v>187</v>
      </c>
      <c r="E102" s="79">
        <v>192</v>
      </c>
      <c r="F102" s="79">
        <v>196</v>
      </c>
      <c r="G102" s="79">
        <v>202</v>
      </c>
      <c r="H102" s="79">
        <v>192</v>
      </c>
      <c r="I102" s="79">
        <v>218</v>
      </c>
      <c r="J102" s="79">
        <v>191</v>
      </c>
      <c r="K102" s="79">
        <v>192</v>
      </c>
      <c r="L102" s="79">
        <v>193</v>
      </c>
    </row>
    <row r="103" spans="1:12" s="78" customFormat="1" ht="11.25">
      <c r="A103" s="219">
        <v>2043</v>
      </c>
      <c r="B103" s="219"/>
      <c r="C103" s="79">
        <v>213</v>
      </c>
      <c r="D103" s="79">
        <v>223</v>
      </c>
      <c r="E103" s="79">
        <v>230</v>
      </c>
      <c r="F103" s="79">
        <v>237</v>
      </c>
      <c r="G103" s="79">
        <v>248</v>
      </c>
      <c r="H103" s="79">
        <v>230</v>
      </c>
      <c r="I103" s="79">
        <v>279</v>
      </c>
      <c r="J103" s="79">
        <v>228</v>
      </c>
      <c r="K103" s="79">
        <v>230</v>
      </c>
      <c r="L103" s="79">
        <v>232</v>
      </c>
    </row>
    <row r="104" spans="1:12" s="78" customFormat="1" ht="11.25">
      <c r="A104" s="219">
        <v>2048</v>
      </c>
      <c r="B104" s="219"/>
      <c r="C104" s="79">
        <v>251</v>
      </c>
      <c r="D104" s="79">
        <v>267</v>
      </c>
      <c r="E104" s="79">
        <v>278</v>
      </c>
      <c r="F104" s="79">
        <v>289</v>
      </c>
      <c r="G104" s="79">
        <v>305</v>
      </c>
      <c r="H104" s="79">
        <v>278</v>
      </c>
      <c r="I104" s="79">
        <v>358</v>
      </c>
      <c r="J104" s="79">
        <v>273</v>
      </c>
      <c r="K104" s="79">
        <v>277</v>
      </c>
      <c r="L104" s="79">
        <v>281</v>
      </c>
    </row>
    <row r="105" spans="1:12" s="78" customFormat="1" ht="11.25">
      <c r="A105" s="219">
        <v>2053</v>
      </c>
      <c r="B105" s="219"/>
      <c r="C105" s="79">
        <v>273</v>
      </c>
      <c r="D105" s="79">
        <v>294</v>
      </c>
      <c r="E105" s="79">
        <v>309</v>
      </c>
      <c r="F105" s="79">
        <v>325</v>
      </c>
      <c r="G105" s="79">
        <v>347</v>
      </c>
      <c r="H105" s="79">
        <v>309</v>
      </c>
      <c r="I105" s="79">
        <v>427</v>
      </c>
      <c r="J105" s="79">
        <v>301</v>
      </c>
      <c r="K105" s="79">
        <v>308</v>
      </c>
      <c r="L105" s="79">
        <v>314</v>
      </c>
    </row>
    <row r="106" spans="1:12" s="78" customFormat="1" ht="11.25">
      <c r="A106" s="219">
        <v>2058</v>
      </c>
      <c r="B106" s="219"/>
      <c r="C106" s="79">
        <v>290</v>
      </c>
      <c r="D106" s="79">
        <v>318</v>
      </c>
      <c r="E106" s="79">
        <v>337</v>
      </c>
      <c r="F106" s="79">
        <v>358</v>
      </c>
      <c r="G106" s="79">
        <v>387</v>
      </c>
      <c r="H106" s="79">
        <v>337</v>
      </c>
      <c r="I106" s="79">
        <v>499</v>
      </c>
      <c r="J106" s="79">
        <v>327</v>
      </c>
      <c r="K106" s="79">
        <v>336</v>
      </c>
      <c r="L106" s="79">
        <v>346</v>
      </c>
    </row>
    <row r="107" spans="1:12" s="78" customFormat="1" ht="11.25">
      <c r="A107" s="219">
        <v>2063</v>
      </c>
      <c r="B107" s="219"/>
      <c r="C107" s="79">
        <v>283</v>
      </c>
      <c r="D107" s="79">
        <v>317</v>
      </c>
      <c r="E107" s="79">
        <v>340</v>
      </c>
      <c r="F107" s="79">
        <v>366</v>
      </c>
      <c r="G107" s="79">
        <v>399</v>
      </c>
      <c r="H107" s="79">
        <v>340</v>
      </c>
      <c r="I107" s="79">
        <v>546</v>
      </c>
      <c r="J107" s="79">
        <v>330</v>
      </c>
      <c r="K107" s="79">
        <v>339</v>
      </c>
      <c r="L107" s="79">
        <v>353</v>
      </c>
    </row>
    <row r="108" spans="1:12" s="78" customFormat="1" ht="11.25">
      <c r="A108" s="219">
        <v>2068</v>
      </c>
      <c r="B108" s="219"/>
      <c r="C108" s="79">
        <v>291</v>
      </c>
      <c r="D108" s="79">
        <v>332</v>
      </c>
      <c r="E108" s="79">
        <v>358</v>
      </c>
      <c r="F108" s="79">
        <v>389</v>
      </c>
      <c r="G108" s="79">
        <v>429</v>
      </c>
      <c r="H108" s="79">
        <v>358</v>
      </c>
      <c r="I108" s="79">
        <v>609</v>
      </c>
      <c r="J108" s="79">
        <v>346</v>
      </c>
      <c r="K108" s="79">
        <v>357</v>
      </c>
      <c r="L108" s="79">
        <v>379</v>
      </c>
    </row>
    <row r="109" spans="1:12" s="78" customFormat="1" ht="11.25">
      <c r="A109" s="219">
        <v>2073</v>
      </c>
      <c r="B109" s="219"/>
      <c r="C109" s="79">
        <v>322</v>
      </c>
      <c r="D109" s="79">
        <v>372</v>
      </c>
      <c r="E109" s="79">
        <v>404</v>
      </c>
      <c r="F109" s="79">
        <v>441</v>
      </c>
      <c r="G109" s="79">
        <v>491</v>
      </c>
      <c r="H109" s="79">
        <v>404</v>
      </c>
      <c r="I109" s="79">
        <v>710</v>
      </c>
      <c r="J109" s="79">
        <v>383</v>
      </c>
      <c r="K109" s="79">
        <v>401</v>
      </c>
      <c r="L109" s="79">
        <v>433</v>
      </c>
    </row>
    <row r="110" spans="1:12" s="78" customFormat="1" ht="11.25">
      <c r="A110" s="220" t="s">
        <v>358</v>
      </c>
      <c r="B110" s="220"/>
      <c r="C110" s="220"/>
      <c r="D110" s="220"/>
      <c r="E110" s="220"/>
      <c r="F110" s="220"/>
      <c r="G110" s="220"/>
      <c r="H110" s="220"/>
      <c r="I110" s="220"/>
      <c r="J110" s="220"/>
      <c r="K110" s="220"/>
      <c r="L110" s="220"/>
    </row>
    <row r="111" spans="1:12" s="78" customFormat="1" ht="11.25">
      <c r="A111" s="219" t="s">
        <v>345</v>
      </c>
      <c r="B111" s="219"/>
      <c r="C111" s="88">
        <v>19</v>
      </c>
      <c r="D111" s="88">
        <v>19</v>
      </c>
      <c r="E111" s="88">
        <v>19</v>
      </c>
      <c r="F111" s="88">
        <v>19</v>
      </c>
      <c r="G111" s="88">
        <v>19</v>
      </c>
      <c r="H111" s="88">
        <v>19</v>
      </c>
      <c r="I111" s="88">
        <v>19</v>
      </c>
      <c r="J111" s="88">
        <v>19</v>
      </c>
      <c r="K111" s="88">
        <v>19</v>
      </c>
      <c r="L111" s="88">
        <v>19</v>
      </c>
    </row>
    <row r="112" spans="1:12" s="78" customFormat="1" ht="11.25">
      <c r="A112" s="219">
        <v>2023</v>
      </c>
      <c r="B112" s="219"/>
      <c r="C112" s="88">
        <v>19</v>
      </c>
      <c r="D112" s="88">
        <v>19</v>
      </c>
      <c r="E112" s="88">
        <v>19</v>
      </c>
      <c r="F112" s="88">
        <v>19</v>
      </c>
      <c r="G112" s="88">
        <v>19</v>
      </c>
      <c r="H112" s="88">
        <v>19</v>
      </c>
      <c r="I112" s="88">
        <v>19</v>
      </c>
      <c r="J112" s="88">
        <v>19</v>
      </c>
      <c r="K112" s="88">
        <v>19</v>
      </c>
      <c r="L112" s="88">
        <v>19</v>
      </c>
    </row>
    <row r="113" spans="1:12" s="78" customFormat="1" ht="11.25">
      <c r="A113" s="219">
        <v>2028</v>
      </c>
      <c r="B113" s="219"/>
      <c r="C113" s="88">
        <v>17</v>
      </c>
      <c r="D113" s="88">
        <v>17</v>
      </c>
      <c r="E113" s="88">
        <v>17</v>
      </c>
      <c r="F113" s="88">
        <v>17</v>
      </c>
      <c r="G113" s="88">
        <v>18</v>
      </c>
      <c r="H113" s="88">
        <v>18</v>
      </c>
      <c r="I113" s="88">
        <v>17</v>
      </c>
      <c r="J113" s="88">
        <v>17</v>
      </c>
      <c r="K113" s="88">
        <v>17</v>
      </c>
      <c r="L113" s="88">
        <v>17</v>
      </c>
    </row>
    <row r="114" spans="1:12" s="78" customFormat="1" ht="11.25">
      <c r="A114" s="219">
        <v>2033</v>
      </c>
      <c r="B114" s="219"/>
      <c r="C114" s="88">
        <v>15</v>
      </c>
      <c r="D114" s="88">
        <v>16</v>
      </c>
      <c r="E114" s="88">
        <v>16</v>
      </c>
      <c r="F114" s="88">
        <v>17</v>
      </c>
      <c r="G114" s="88">
        <v>17</v>
      </c>
      <c r="H114" s="88">
        <v>18</v>
      </c>
      <c r="I114" s="88">
        <v>16</v>
      </c>
      <c r="J114" s="88">
        <v>16</v>
      </c>
      <c r="K114" s="88">
        <v>16</v>
      </c>
      <c r="L114" s="88">
        <v>17</v>
      </c>
    </row>
    <row r="115" spans="1:12" s="78" customFormat="1" ht="11.25">
      <c r="A115" s="219">
        <v>2038</v>
      </c>
      <c r="B115" s="219"/>
      <c r="C115" s="88">
        <v>14</v>
      </c>
      <c r="D115" s="88">
        <v>15</v>
      </c>
      <c r="E115" s="88">
        <v>16</v>
      </c>
      <c r="F115" s="88">
        <v>17</v>
      </c>
      <c r="G115" s="88">
        <v>18</v>
      </c>
      <c r="H115" s="88">
        <v>19</v>
      </c>
      <c r="I115" s="88">
        <v>16</v>
      </c>
      <c r="J115" s="88">
        <v>15</v>
      </c>
      <c r="K115" s="88">
        <v>16</v>
      </c>
      <c r="L115" s="88">
        <v>16</v>
      </c>
    </row>
    <row r="116" spans="1:12" s="78" customFormat="1" ht="11.25">
      <c r="A116" s="219">
        <v>2043</v>
      </c>
      <c r="B116" s="219"/>
      <c r="C116" s="88">
        <v>13</v>
      </c>
      <c r="D116" s="88">
        <v>15</v>
      </c>
      <c r="E116" s="88">
        <v>16</v>
      </c>
      <c r="F116" s="88">
        <v>16</v>
      </c>
      <c r="G116" s="88">
        <v>18</v>
      </c>
      <c r="H116" s="88">
        <v>19</v>
      </c>
      <c r="I116" s="88">
        <v>15</v>
      </c>
      <c r="J116" s="88">
        <v>15</v>
      </c>
      <c r="K116" s="88">
        <v>15</v>
      </c>
      <c r="L116" s="88">
        <v>16</v>
      </c>
    </row>
    <row r="117" spans="1:12" s="78" customFormat="1" ht="11.25">
      <c r="A117" s="219">
        <v>2048</v>
      </c>
      <c r="B117" s="219"/>
      <c r="C117" s="88">
        <v>12</v>
      </c>
      <c r="D117" s="88">
        <v>14</v>
      </c>
      <c r="E117" s="88">
        <v>15</v>
      </c>
      <c r="F117" s="88">
        <v>16</v>
      </c>
      <c r="G117" s="88">
        <v>18</v>
      </c>
      <c r="H117" s="88">
        <v>20</v>
      </c>
      <c r="I117" s="88">
        <v>15</v>
      </c>
      <c r="J117" s="88">
        <v>15</v>
      </c>
      <c r="K117" s="88">
        <v>15</v>
      </c>
      <c r="L117" s="88">
        <v>16</v>
      </c>
    </row>
    <row r="118" spans="1:12" s="78" customFormat="1" ht="11.25">
      <c r="A118" s="219">
        <v>2053</v>
      </c>
      <c r="B118" s="219"/>
      <c r="C118" s="88">
        <v>12</v>
      </c>
      <c r="D118" s="88">
        <v>14</v>
      </c>
      <c r="E118" s="88">
        <v>15</v>
      </c>
      <c r="F118" s="88">
        <v>16</v>
      </c>
      <c r="G118" s="88">
        <v>18</v>
      </c>
      <c r="H118" s="88">
        <v>19</v>
      </c>
      <c r="I118" s="88">
        <v>15</v>
      </c>
      <c r="J118" s="88">
        <v>14</v>
      </c>
      <c r="K118" s="88">
        <v>15</v>
      </c>
      <c r="L118" s="88">
        <v>16</v>
      </c>
    </row>
    <row r="119" spans="1:12" s="78" customFormat="1" ht="11.25">
      <c r="A119" s="219">
        <v>2058</v>
      </c>
      <c r="B119" s="219"/>
      <c r="C119" s="88">
        <v>11</v>
      </c>
      <c r="D119" s="88">
        <v>13</v>
      </c>
      <c r="E119" s="88">
        <v>15</v>
      </c>
      <c r="F119" s="88">
        <v>16</v>
      </c>
      <c r="G119" s="88">
        <v>18</v>
      </c>
      <c r="H119" s="88">
        <v>19</v>
      </c>
      <c r="I119" s="88">
        <v>14</v>
      </c>
      <c r="J119" s="88">
        <v>14</v>
      </c>
      <c r="K119" s="88">
        <v>15</v>
      </c>
      <c r="L119" s="88">
        <v>15</v>
      </c>
    </row>
    <row r="120" spans="1:12" s="78" customFormat="1" ht="11.25">
      <c r="A120" s="219">
        <v>2063</v>
      </c>
      <c r="B120" s="219"/>
      <c r="C120" s="88">
        <v>11</v>
      </c>
      <c r="D120" s="88">
        <v>13</v>
      </c>
      <c r="E120" s="88">
        <v>14</v>
      </c>
      <c r="F120" s="88">
        <v>16</v>
      </c>
      <c r="G120" s="88">
        <v>18</v>
      </c>
      <c r="H120" s="88">
        <v>19</v>
      </c>
      <c r="I120" s="88">
        <v>14</v>
      </c>
      <c r="J120" s="88">
        <v>14</v>
      </c>
      <c r="K120" s="88">
        <v>14</v>
      </c>
      <c r="L120" s="88">
        <v>15</v>
      </c>
    </row>
    <row r="121" spans="1:12" s="78" customFormat="1" ht="11.25">
      <c r="A121" s="219">
        <v>2068</v>
      </c>
      <c r="B121" s="219"/>
      <c r="C121" s="88">
        <v>10</v>
      </c>
      <c r="D121" s="88">
        <v>12</v>
      </c>
      <c r="E121" s="88">
        <v>14</v>
      </c>
      <c r="F121" s="88">
        <v>16</v>
      </c>
      <c r="G121" s="88">
        <v>18</v>
      </c>
      <c r="H121" s="88">
        <v>19</v>
      </c>
      <c r="I121" s="88">
        <v>13</v>
      </c>
      <c r="J121" s="88">
        <v>13</v>
      </c>
      <c r="K121" s="88">
        <v>14</v>
      </c>
      <c r="L121" s="88">
        <v>15</v>
      </c>
    </row>
    <row r="122" spans="1:12" s="78" customFormat="1" ht="11.25">
      <c r="A122" s="219">
        <v>2073</v>
      </c>
      <c r="B122" s="219"/>
      <c r="C122" s="88">
        <v>9</v>
      </c>
      <c r="D122" s="88">
        <v>12</v>
      </c>
      <c r="E122" s="88">
        <v>14</v>
      </c>
      <c r="F122" s="88">
        <v>16</v>
      </c>
      <c r="G122" s="88">
        <v>18</v>
      </c>
      <c r="H122" s="88">
        <v>20</v>
      </c>
      <c r="I122" s="88">
        <v>13</v>
      </c>
      <c r="J122" s="88">
        <v>13</v>
      </c>
      <c r="K122" s="88">
        <v>14</v>
      </c>
      <c r="L122" s="88">
        <v>14</v>
      </c>
    </row>
    <row r="123" spans="1:12" s="78" customFormat="1" ht="11.25">
      <c r="A123" s="220" t="s">
        <v>359</v>
      </c>
      <c r="B123" s="220"/>
      <c r="C123" s="220"/>
      <c r="D123" s="220"/>
      <c r="E123" s="220"/>
      <c r="F123" s="220"/>
      <c r="G123" s="220"/>
      <c r="H123" s="220"/>
      <c r="I123" s="220"/>
      <c r="J123" s="220"/>
      <c r="K123" s="220"/>
      <c r="L123" s="220"/>
    </row>
    <row r="124" spans="1:12" s="78" customFormat="1" ht="11.25">
      <c r="A124" s="219" t="s">
        <v>345</v>
      </c>
      <c r="B124" s="219"/>
      <c r="C124" s="88">
        <v>34</v>
      </c>
      <c r="D124" s="88">
        <v>34</v>
      </c>
      <c r="E124" s="88">
        <v>34</v>
      </c>
      <c r="F124" s="88">
        <v>34</v>
      </c>
      <c r="G124" s="88">
        <v>34</v>
      </c>
      <c r="H124" s="88">
        <v>34</v>
      </c>
      <c r="I124" s="88">
        <v>34</v>
      </c>
      <c r="J124" s="88">
        <v>34</v>
      </c>
      <c r="K124" s="88">
        <v>34</v>
      </c>
      <c r="L124" s="88">
        <v>34</v>
      </c>
    </row>
    <row r="125" spans="1:12" s="78" customFormat="1" ht="11.25">
      <c r="A125" s="219">
        <v>2023</v>
      </c>
      <c r="B125" s="219"/>
      <c r="C125" s="88">
        <v>33</v>
      </c>
      <c r="D125" s="88">
        <v>34</v>
      </c>
      <c r="E125" s="88">
        <v>34</v>
      </c>
      <c r="F125" s="88">
        <v>34</v>
      </c>
      <c r="G125" s="88">
        <v>34</v>
      </c>
      <c r="H125" s="88">
        <v>34</v>
      </c>
      <c r="I125" s="88">
        <v>34</v>
      </c>
      <c r="J125" s="88">
        <v>34</v>
      </c>
      <c r="K125" s="88">
        <v>34</v>
      </c>
      <c r="L125" s="88">
        <v>34</v>
      </c>
    </row>
    <row r="126" spans="1:12" s="78" customFormat="1" ht="11.25">
      <c r="A126" s="219">
        <v>2028</v>
      </c>
      <c r="B126" s="219"/>
      <c r="C126" s="88">
        <v>33</v>
      </c>
      <c r="D126" s="88">
        <v>33</v>
      </c>
      <c r="E126" s="88">
        <v>33</v>
      </c>
      <c r="F126" s="88">
        <v>34</v>
      </c>
      <c r="G126" s="88">
        <v>34</v>
      </c>
      <c r="H126" s="88">
        <v>33</v>
      </c>
      <c r="I126" s="88">
        <v>33</v>
      </c>
      <c r="J126" s="88">
        <v>33</v>
      </c>
      <c r="K126" s="88">
        <v>33</v>
      </c>
      <c r="L126" s="88">
        <v>34</v>
      </c>
    </row>
    <row r="127" spans="1:12" s="78" customFormat="1" ht="11.25">
      <c r="A127" s="219">
        <v>2033</v>
      </c>
      <c r="B127" s="219"/>
      <c r="C127" s="88">
        <v>31</v>
      </c>
      <c r="D127" s="88">
        <v>32</v>
      </c>
      <c r="E127" s="88">
        <v>32</v>
      </c>
      <c r="F127" s="88">
        <v>32</v>
      </c>
      <c r="G127" s="88">
        <v>33</v>
      </c>
      <c r="H127" s="88">
        <v>31</v>
      </c>
      <c r="I127" s="88">
        <v>32</v>
      </c>
      <c r="J127" s="88">
        <v>31</v>
      </c>
      <c r="K127" s="88">
        <v>32</v>
      </c>
      <c r="L127" s="88">
        <v>33</v>
      </c>
    </row>
    <row r="128" spans="1:12" s="78" customFormat="1" ht="11.25">
      <c r="A128" s="219">
        <v>2038</v>
      </c>
      <c r="B128" s="219"/>
      <c r="C128" s="88">
        <v>30</v>
      </c>
      <c r="D128" s="88">
        <v>31</v>
      </c>
      <c r="E128" s="88">
        <v>31</v>
      </c>
      <c r="F128" s="88">
        <v>32</v>
      </c>
      <c r="G128" s="88">
        <v>32</v>
      </c>
      <c r="H128" s="88">
        <v>30</v>
      </c>
      <c r="I128" s="88">
        <v>31</v>
      </c>
      <c r="J128" s="88">
        <v>30</v>
      </c>
      <c r="K128" s="88">
        <v>31</v>
      </c>
      <c r="L128" s="88">
        <v>32</v>
      </c>
    </row>
    <row r="129" spans="1:12" s="78" customFormat="1" ht="11.25">
      <c r="A129" s="219">
        <v>2043</v>
      </c>
      <c r="B129" s="219"/>
      <c r="C129" s="88">
        <v>30</v>
      </c>
      <c r="D129" s="88">
        <v>30</v>
      </c>
      <c r="E129" s="88">
        <v>31</v>
      </c>
      <c r="F129" s="88">
        <v>31</v>
      </c>
      <c r="G129" s="88">
        <v>32</v>
      </c>
      <c r="H129" s="88">
        <v>30</v>
      </c>
      <c r="I129" s="88">
        <v>30</v>
      </c>
      <c r="J129" s="88">
        <v>29</v>
      </c>
      <c r="K129" s="88">
        <v>31</v>
      </c>
      <c r="L129" s="88">
        <v>32</v>
      </c>
    </row>
    <row r="130" spans="1:12" s="78" customFormat="1" ht="11.25">
      <c r="A130" s="219">
        <v>2048</v>
      </c>
      <c r="B130" s="219"/>
      <c r="C130" s="88">
        <v>29</v>
      </c>
      <c r="D130" s="88">
        <v>30</v>
      </c>
      <c r="E130" s="88">
        <v>30</v>
      </c>
      <c r="F130" s="88">
        <v>31</v>
      </c>
      <c r="G130" s="88">
        <v>31</v>
      </c>
      <c r="H130" s="88">
        <v>30</v>
      </c>
      <c r="I130" s="88">
        <v>29</v>
      </c>
      <c r="J130" s="88">
        <v>28</v>
      </c>
      <c r="K130" s="88">
        <v>30</v>
      </c>
      <c r="L130" s="88">
        <v>31</v>
      </c>
    </row>
    <row r="131" spans="1:12" s="78" customFormat="1" ht="11.25">
      <c r="A131" s="219">
        <v>2053</v>
      </c>
      <c r="B131" s="219"/>
      <c r="C131" s="88">
        <v>28</v>
      </c>
      <c r="D131" s="88">
        <v>28</v>
      </c>
      <c r="E131" s="88">
        <v>29</v>
      </c>
      <c r="F131" s="88">
        <v>30</v>
      </c>
      <c r="G131" s="88">
        <v>30</v>
      </c>
      <c r="H131" s="88">
        <v>30</v>
      </c>
      <c r="I131" s="88">
        <v>28</v>
      </c>
      <c r="J131" s="88">
        <v>27</v>
      </c>
      <c r="K131" s="88">
        <v>29</v>
      </c>
      <c r="L131" s="88">
        <v>30</v>
      </c>
    </row>
    <row r="132" spans="1:12" s="78" customFormat="1" ht="11.25">
      <c r="A132" s="219">
        <v>2058</v>
      </c>
      <c r="B132" s="219"/>
      <c r="C132" s="88">
        <v>27</v>
      </c>
      <c r="D132" s="88">
        <v>28</v>
      </c>
      <c r="E132" s="88">
        <v>28</v>
      </c>
      <c r="F132" s="88">
        <v>29</v>
      </c>
      <c r="G132" s="88">
        <v>30</v>
      </c>
      <c r="H132" s="88">
        <v>30</v>
      </c>
      <c r="I132" s="88">
        <v>27</v>
      </c>
      <c r="J132" s="88">
        <v>26</v>
      </c>
      <c r="K132" s="88">
        <v>29</v>
      </c>
      <c r="L132" s="88">
        <v>30</v>
      </c>
    </row>
    <row r="133" spans="1:12" s="78" customFormat="1" ht="11.25">
      <c r="A133" s="219">
        <v>2063</v>
      </c>
      <c r="B133" s="219"/>
      <c r="C133" s="88">
        <v>26</v>
      </c>
      <c r="D133" s="88">
        <v>27</v>
      </c>
      <c r="E133" s="88">
        <v>28</v>
      </c>
      <c r="F133" s="88">
        <v>29</v>
      </c>
      <c r="G133" s="88">
        <v>30</v>
      </c>
      <c r="H133" s="88">
        <v>31</v>
      </c>
      <c r="I133" s="88">
        <v>27</v>
      </c>
      <c r="J133" s="88">
        <v>26</v>
      </c>
      <c r="K133" s="88">
        <v>28</v>
      </c>
      <c r="L133" s="88">
        <v>29</v>
      </c>
    </row>
    <row r="134" spans="1:12" s="78" customFormat="1" ht="11.25">
      <c r="A134" s="219">
        <v>2068</v>
      </c>
      <c r="B134" s="219"/>
      <c r="C134" s="88">
        <v>25</v>
      </c>
      <c r="D134" s="88">
        <v>27</v>
      </c>
      <c r="E134" s="88">
        <v>28</v>
      </c>
      <c r="F134" s="88">
        <v>29</v>
      </c>
      <c r="G134" s="88">
        <v>30</v>
      </c>
      <c r="H134" s="88">
        <v>31</v>
      </c>
      <c r="I134" s="88">
        <v>26</v>
      </c>
      <c r="J134" s="88">
        <v>25</v>
      </c>
      <c r="K134" s="88">
        <v>28</v>
      </c>
      <c r="L134" s="88">
        <v>29</v>
      </c>
    </row>
    <row r="135" spans="1:12" s="78" customFormat="1" ht="11.25">
      <c r="A135" s="219">
        <v>2073</v>
      </c>
      <c r="B135" s="219"/>
      <c r="C135" s="88">
        <v>24</v>
      </c>
      <c r="D135" s="88">
        <v>26</v>
      </c>
      <c r="E135" s="88">
        <v>27</v>
      </c>
      <c r="F135" s="88">
        <v>29</v>
      </c>
      <c r="G135" s="88">
        <v>30</v>
      </c>
      <c r="H135" s="88">
        <v>31</v>
      </c>
      <c r="I135" s="88">
        <v>26</v>
      </c>
      <c r="J135" s="88">
        <v>25</v>
      </c>
      <c r="K135" s="88">
        <v>27</v>
      </c>
      <c r="L135" s="88">
        <v>29</v>
      </c>
    </row>
    <row r="136" spans="1:12" s="78" customFormat="1" ht="11.25">
      <c r="A136" s="220" t="s">
        <v>360</v>
      </c>
      <c r="B136" s="220"/>
      <c r="C136" s="220"/>
      <c r="D136" s="220"/>
      <c r="E136" s="220"/>
      <c r="F136" s="220"/>
      <c r="G136" s="220"/>
      <c r="H136" s="220"/>
      <c r="I136" s="220"/>
      <c r="J136" s="220"/>
      <c r="K136" s="220"/>
      <c r="L136" s="220"/>
    </row>
    <row r="137" spans="1:12" s="78" customFormat="1" ht="11.25">
      <c r="A137" s="219" t="s">
        <v>345</v>
      </c>
      <c r="B137" s="219"/>
      <c r="C137" s="88">
        <v>31</v>
      </c>
      <c r="D137" s="88">
        <v>31</v>
      </c>
      <c r="E137" s="88">
        <v>31</v>
      </c>
      <c r="F137" s="88">
        <v>31</v>
      </c>
      <c r="G137" s="88">
        <v>31</v>
      </c>
      <c r="H137" s="88">
        <v>31</v>
      </c>
      <c r="I137" s="88">
        <v>31</v>
      </c>
      <c r="J137" s="88">
        <v>31</v>
      </c>
      <c r="K137" s="88">
        <v>31</v>
      </c>
      <c r="L137" s="88">
        <v>31</v>
      </c>
    </row>
    <row r="138" spans="1:12" s="78" customFormat="1" ht="11.25">
      <c r="A138" s="219">
        <v>2023</v>
      </c>
      <c r="B138" s="219"/>
      <c r="C138" s="88">
        <v>31</v>
      </c>
      <c r="D138" s="88">
        <v>31</v>
      </c>
      <c r="E138" s="88">
        <v>31</v>
      </c>
      <c r="F138" s="88">
        <v>31</v>
      </c>
      <c r="G138" s="88">
        <v>31</v>
      </c>
      <c r="H138" s="88">
        <v>31</v>
      </c>
      <c r="I138" s="88">
        <v>31</v>
      </c>
      <c r="J138" s="88">
        <v>31</v>
      </c>
      <c r="K138" s="88">
        <v>31</v>
      </c>
      <c r="L138" s="88">
        <v>31</v>
      </c>
    </row>
    <row r="139" spans="1:12" s="78" customFormat="1" ht="11.25">
      <c r="A139" s="219">
        <v>2028</v>
      </c>
      <c r="B139" s="219"/>
      <c r="C139" s="88">
        <v>30</v>
      </c>
      <c r="D139" s="88">
        <v>30</v>
      </c>
      <c r="E139" s="88">
        <v>30</v>
      </c>
      <c r="F139" s="88">
        <v>31</v>
      </c>
      <c r="G139" s="88">
        <v>31</v>
      </c>
      <c r="H139" s="88">
        <v>30</v>
      </c>
      <c r="I139" s="88">
        <v>30</v>
      </c>
      <c r="J139" s="88">
        <v>31</v>
      </c>
      <c r="K139" s="88">
        <v>30</v>
      </c>
      <c r="L139" s="88">
        <v>30</v>
      </c>
    </row>
    <row r="140" spans="1:12" s="78" customFormat="1" ht="11.25">
      <c r="A140" s="219">
        <v>2033</v>
      </c>
      <c r="B140" s="219"/>
      <c r="C140" s="88">
        <v>30</v>
      </c>
      <c r="D140" s="88">
        <v>31</v>
      </c>
      <c r="E140" s="88">
        <v>31</v>
      </c>
      <c r="F140" s="88">
        <v>31</v>
      </c>
      <c r="G140" s="88">
        <v>31</v>
      </c>
      <c r="H140" s="88">
        <v>30</v>
      </c>
      <c r="I140" s="88">
        <v>31</v>
      </c>
      <c r="J140" s="88">
        <v>32</v>
      </c>
      <c r="K140" s="88">
        <v>31</v>
      </c>
      <c r="L140" s="88">
        <v>30</v>
      </c>
    </row>
    <row r="141" spans="1:12" s="78" customFormat="1" ht="11.25">
      <c r="A141" s="219">
        <v>2038</v>
      </c>
      <c r="B141" s="219"/>
      <c r="C141" s="88">
        <v>30</v>
      </c>
      <c r="D141" s="88">
        <v>30</v>
      </c>
      <c r="E141" s="88">
        <v>31</v>
      </c>
      <c r="F141" s="88">
        <v>31</v>
      </c>
      <c r="G141" s="88">
        <v>32</v>
      </c>
      <c r="H141" s="88">
        <v>30</v>
      </c>
      <c r="I141" s="88">
        <v>31</v>
      </c>
      <c r="J141" s="88">
        <v>31</v>
      </c>
      <c r="K141" s="88">
        <v>31</v>
      </c>
      <c r="L141" s="88">
        <v>30</v>
      </c>
    </row>
    <row r="142" spans="1:12" s="78" customFormat="1" ht="11.25">
      <c r="A142" s="219">
        <v>2043</v>
      </c>
      <c r="B142" s="219"/>
      <c r="C142" s="88">
        <v>30</v>
      </c>
      <c r="D142" s="88">
        <v>31</v>
      </c>
      <c r="E142" s="88">
        <v>31</v>
      </c>
      <c r="F142" s="88">
        <v>32</v>
      </c>
      <c r="G142" s="88">
        <v>32</v>
      </c>
      <c r="H142" s="88">
        <v>29</v>
      </c>
      <c r="I142" s="88">
        <v>31</v>
      </c>
      <c r="J142" s="88">
        <v>32</v>
      </c>
      <c r="K142" s="88">
        <v>31</v>
      </c>
      <c r="L142" s="88">
        <v>31</v>
      </c>
    </row>
    <row r="143" spans="1:12" s="78" customFormat="1" ht="11.25">
      <c r="A143" s="219">
        <v>2048</v>
      </c>
      <c r="B143" s="219"/>
      <c r="C143" s="88">
        <v>30</v>
      </c>
      <c r="D143" s="88">
        <v>31</v>
      </c>
      <c r="E143" s="88">
        <v>32</v>
      </c>
      <c r="F143" s="88">
        <v>32</v>
      </c>
      <c r="G143" s="88">
        <v>33</v>
      </c>
      <c r="H143" s="88">
        <v>29</v>
      </c>
      <c r="I143" s="88">
        <v>31</v>
      </c>
      <c r="J143" s="88">
        <v>32</v>
      </c>
      <c r="K143" s="88">
        <v>31</v>
      </c>
      <c r="L143" s="88">
        <v>32</v>
      </c>
    </row>
    <row r="144" spans="1:12" s="78" customFormat="1" ht="11.25">
      <c r="A144" s="219">
        <v>2053</v>
      </c>
      <c r="B144" s="219"/>
      <c r="C144" s="88">
        <v>30</v>
      </c>
      <c r="D144" s="88">
        <v>31</v>
      </c>
      <c r="E144" s="88">
        <v>32</v>
      </c>
      <c r="F144" s="88">
        <v>33</v>
      </c>
      <c r="G144" s="88">
        <v>34</v>
      </c>
      <c r="H144" s="88">
        <v>29</v>
      </c>
      <c r="I144" s="88">
        <v>31</v>
      </c>
      <c r="J144" s="88">
        <v>32</v>
      </c>
      <c r="K144" s="88">
        <v>32</v>
      </c>
      <c r="L144" s="88">
        <v>32</v>
      </c>
    </row>
    <row r="145" spans="1:12" s="78" customFormat="1" ht="11.25">
      <c r="A145" s="219">
        <v>2058</v>
      </c>
      <c r="B145" s="219"/>
      <c r="C145" s="88">
        <v>29</v>
      </c>
      <c r="D145" s="88">
        <v>31</v>
      </c>
      <c r="E145" s="88">
        <v>32</v>
      </c>
      <c r="F145" s="88">
        <v>33</v>
      </c>
      <c r="G145" s="88">
        <v>34</v>
      </c>
      <c r="H145" s="88">
        <v>28</v>
      </c>
      <c r="I145" s="88">
        <v>31</v>
      </c>
      <c r="J145" s="88">
        <v>31</v>
      </c>
      <c r="K145" s="88">
        <v>31</v>
      </c>
      <c r="L145" s="88">
        <v>32</v>
      </c>
    </row>
    <row r="146" spans="1:12" s="78" customFormat="1" ht="11.25">
      <c r="A146" s="219">
        <v>2063</v>
      </c>
      <c r="B146" s="219"/>
      <c r="C146" s="88">
        <v>29</v>
      </c>
      <c r="D146" s="88">
        <v>30</v>
      </c>
      <c r="E146" s="88">
        <v>31</v>
      </c>
      <c r="F146" s="88">
        <v>32</v>
      </c>
      <c r="G146" s="88">
        <v>34</v>
      </c>
      <c r="H146" s="88">
        <v>27</v>
      </c>
      <c r="I146" s="88">
        <v>30</v>
      </c>
      <c r="J146" s="88">
        <v>30</v>
      </c>
      <c r="K146" s="88">
        <v>31</v>
      </c>
      <c r="L146" s="88">
        <v>32</v>
      </c>
    </row>
    <row r="147" spans="1:12" s="78" customFormat="1" ht="11.25">
      <c r="A147" s="219">
        <v>2068</v>
      </c>
      <c r="B147" s="219"/>
      <c r="C147" s="88">
        <v>28</v>
      </c>
      <c r="D147" s="88">
        <v>30</v>
      </c>
      <c r="E147" s="88">
        <v>31</v>
      </c>
      <c r="F147" s="88">
        <v>32</v>
      </c>
      <c r="G147" s="88">
        <v>35</v>
      </c>
      <c r="H147" s="88">
        <v>27</v>
      </c>
      <c r="I147" s="88">
        <v>30</v>
      </c>
      <c r="J147" s="88">
        <v>30</v>
      </c>
      <c r="K147" s="88">
        <v>31</v>
      </c>
      <c r="L147" s="88">
        <v>32</v>
      </c>
    </row>
    <row r="148" spans="1:12" s="78" customFormat="1" ht="11.25">
      <c r="A148" s="219">
        <v>2073</v>
      </c>
      <c r="B148" s="219"/>
      <c r="C148" s="88">
        <v>28</v>
      </c>
      <c r="D148" s="88">
        <v>29</v>
      </c>
      <c r="E148" s="88">
        <v>31</v>
      </c>
      <c r="F148" s="88">
        <v>32</v>
      </c>
      <c r="G148" s="88">
        <v>34</v>
      </c>
      <c r="H148" s="88">
        <v>27</v>
      </c>
      <c r="I148" s="88">
        <v>29</v>
      </c>
      <c r="J148" s="88">
        <v>30</v>
      </c>
      <c r="K148" s="88">
        <v>31</v>
      </c>
      <c r="L148" s="88">
        <v>31</v>
      </c>
    </row>
    <row r="149" spans="1:12" s="78" customFormat="1" ht="11.25">
      <c r="A149" s="220" t="s">
        <v>361</v>
      </c>
      <c r="B149" s="220"/>
      <c r="C149" s="220"/>
      <c r="D149" s="220"/>
      <c r="E149" s="220"/>
      <c r="F149" s="220"/>
      <c r="G149" s="220"/>
      <c r="H149" s="220"/>
      <c r="I149" s="220"/>
      <c r="J149" s="220"/>
      <c r="K149" s="220"/>
      <c r="L149" s="220"/>
    </row>
    <row r="150" spans="1:12" s="78" customFormat="1" ht="11.25">
      <c r="A150" s="219" t="s">
        <v>345</v>
      </c>
      <c r="B150" s="219"/>
      <c r="C150" s="88">
        <v>16</v>
      </c>
      <c r="D150" s="88">
        <v>16</v>
      </c>
      <c r="E150" s="88">
        <v>16</v>
      </c>
      <c r="F150" s="88">
        <v>16</v>
      </c>
      <c r="G150" s="88">
        <v>16</v>
      </c>
      <c r="H150" s="88">
        <v>16</v>
      </c>
      <c r="I150" s="88">
        <v>16</v>
      </c>
      <c r="J150" s="88">
        <v>16</v>
      </c>
      <c r="K150" s="88">
        <v>16</v>
      </c>
      <c r="L150" s="88">
        <v>16</v>
      </c>
    </row>
    <row r="151" spans="1:12" s="78" customFormat="1" ht="11.25">
      <c r="A151" s="219">
        <v>2023</v>
      </c>
      <c r="B151" s="219"/>
      <c r="C151" s="88">
        <v>17</v>
      </c>
      <c r="D151" s="88">
        <v>17</v>
      </c>
      <c r="E151" s="88">
        <v>17</v>
      </c>
      <c r="F151" s="88">
        <v>17</v>
      </c>
      <c r="G151" s="88">
        <v>17</v>
      </c>
      <c r="H151" s="88">
        <v>17</v>
      </c>
      <c r="I151" s="88">
        <v>17</v>
      </c>
      <c r="J151" s="88">
        <v>17</v>
      </c>
      <c r="K151" s="88">
        <v>17</v>
      </c>
      <c r="L151" s="88">
        <v>17</v>
      </c>
    </row>
    <row r="152" spans="1:12" s="78" customFormat="1" ht="11.25">
      <c r="A152" s="219">
        <v>2028</v>
      </c>
      <c r="B152" s="219"/>
      <c r="C152" s="88">
        <v>19</v>
      </c>
      <c r="D152" s="88">
        <v>19</v>
      </c>
      <c r="E152" s="88">
        <v>19</v>
      </c>
      <c r="F152" s="88">
        <v>19</v>
      </c>
      <c r="G152" s="88">
        <v>20</v>
      </c>
      <c r="H152" s="88">
        <v>19</v>
      </c>
      <c r="I152" s="88">
        <v>19</v>
      </c>
      <c r="J152" s="88">
        <v>19</v>
      </c>
      <c r="K152" s="88">
        <v>19</v>
      </c>
      <c r="L152" s="88">
        <v>19</v>
      </c>
    </row>
    <row r="153" spans="1:12" s="78" customFormat="1" ht="11.25">
      <c r="A153" s="219">
        <v>2033</v>
      </c>
      <c r="B153" s="219"/>
      <c r="C153" s="88">
        <v>20</v>
      </c>
      <c r="D153" s="88">
        <v>20</v>
      </c>
      <c r="E153" s="88">
        <v>21</v>
      </c>
      <c r="F153" s="88">
        <v>21</v>
      </c>
      <c r="G153" s="88">
        <v>22</v>
      </c>
      <c r="H153" s="88">
        <v>20</v>
      </c>
      <c r="I153" s="88">
        <v>21</v>
      </c>
      <c r="J153" s="88">
        <v>21</v>
      </c>
      <c r="K153" s="88">
        <v>21</v>
      </c>
      <c r="L153" s="88">
        <v>20</v>
      </c>
    </row>
    <row r="154" spans="1:12" s="78" customFormat="1" ht="11.25">
      <c r="A154" s="219">
        <v>2038</v>
      </c>
      <c r="B154" s="219"/>
      <c r="C154" s="88">
        <v>21</v>
      </c>
      <c r="D154" s="88">
        <v>22</v>
      </c>
      <c r="E154" s="88">
        <v>22</v>
      </c>
      <c r="F154" s="88">
        <v>23</v>
      </c>
      <c r="G154" s="88">
        <v>23</v>
      </c>
      <c r="H154" s="88">
        <v>21</v>
      </c>
      <c r="I154" s="88">
        <v>23</v>
      </c>
      <c r="J154" s="88">
        <v>23</v>
      </c>
      <c r="K154" s="88">
        <v>22</v>
      </c>
      <c r="L154" s="88">
        <v>21</v>
      </c>
    </row>
    <row r="155" spans="1:12" s="78" customFormat="1" ht="11.25">
      <c r="A155" s="219">
        <v>2043</v>
      </c>
      <c r="B155" s="219"/>
      <c r="C155" s="88">
        <v>21</v>
      </c>
      <c r="D155" s="88">
        <v>22</v>
      </c>
      <c r="E155" s="88">
        <v>23</v>
      </c>
      <c r="F155" s="88">
        <v>23</v>
      </c>
      <c r="G155" s="88">
        <v>24</v>
      </c>
      <c r="H155" s="88">
        <v>21</v>
      </c>
      <c r="I155" s="88">
        <v>24</v>
      </c>
      <c r="J155" s="88">
        <v>24</v>
      </c>
      <c r="K155" s="88">
        <v>23</v>
      </c>
      <c r="L155" s="88">
        <v>21</v>
      </c>
    </row>
    <row r="156" spans="1:12" s="78" customFormat="1" ht="11.25">
      <c r="A156" s="219">
        <v>2048</v>
      </c>
      <c r="B156" s="219"/>
      <c r="C156" s="88">
        <v>21</v>
      </c>
      <c r="D156" s="88">
        <v>22</v>
      </c>
      <c r="E156" s="88">
        <v>23</v>
      </c>
      <c r="F156" s="88">
        <v>24</v>
      </c>
      <c r="G156" s="88">
        <v>25</v>
      </c>
      <c r="H156" s="88">
        <v>21</v>
      </c>
      <c r="I156" s="88">
        <v>24</v>
      </c>
      <c r="J156" s="88">
        <v>26</v>
      </c>
      <c r="K156" s="88">
        <v>23</v>
      </c>
      <c r="L156" s="88">
        <v>21</v>
      </c>
    </row>
    <row r="157" spans="1:12" s="78" customFormat="1" ht="11.25">
      <c r="A157" s="219">
        <v>2053</v>
      </c>
      <c r="B157" s="219"/>
      <c r="C157" s="88">
        <v>22</v>
      </c>
      <c r="D157" s="88">
        <v>23</v>
      </c>
      <c r="E157" s="88">
        <v>24</v>
      </c>
      <c r="F157" s="88">
        <v>25</v>
      </c>
      <c r="G157" s="88">
        <v>26</v>
      </c>
      <c r="H157" s="88">
        <v>22</v>
      </c>
      <c r="I157" s="88">
        <v>26</v>
      </c>
      <c r="J157" s="88">
        <v>27</v>
      </c>
      <c r="K157" s="88">
        <v>24</v>
      </c>
      <c r="L157" s="88">
        <v>22</v>
      </c>
    </row>
    <row r="158" spans="1:12" s="78" customFormat="1" ht="11.25">
      <c r="A158" s="219">
        <v>2058</v>
      </c>
      <c r="B158" s="219"/>
      <c r="C158" s="88">
        <v>23</v>
      </c>
      <c r="D158" s="88">
        <v>24</v>
      </c>
      <c r="E158" s="88">
        <v>25</v>
      </c>
      <c r="F158" s="88">
        <v>26</v>
      </c>
      <c r="G158" s="88">
        <v>28</v>
      </c>
      <c r="H158" s="88">
        <v>23</v>
      </c>
      <c r="I158" s="88">
        <v>28</v>
      </c>
      <c r="J158" s="88">
        <v>29</v>
      </c>
      <c r="K158" s="88">
        <v>25</v>
      </c>
      <c r="L158" s="88">
        <v>23</v>
      </c>
    </row>
    <row r="159" spans="1:12" s="78" customFormat="1" ht="11.25">
      <c r="A159" s="219">
        <v>2063</v>
      </c>
      <c r="B159" s="219"/>
      <c r="C159" s="88">
        <v>24</v>
      </c>
      <c r="D159" s="88">
        <v>25</v>
      </c>
      <c r="E159" s="88">
        <v>26</v>
      </c>
      <c r="F159" s="88">
        <v>27</v>
      </c>
      <c r="G159" s="88">
        <v>29</v>
      </c>
      <c r="H159" s="88">
        <v>23</v>
      </c>
      <c r="I159" s="88">
        <v>29</v>
      </c>
      <c r="J159" s="88">
        <v>30</v>
      </c>
      <c r="K159" s="88">
        <v>26</v>
      </c>
      <c r="L159" s="88">
        <v>24</v>
      </c>
    </row>
    <row r="160" spans="1:12" s="78" customFormat="1" ht="11.25">
      <c r="A160" s="219">
        <v>2068</v>
      </c>
      <c r="B160" s="219"/>
      <c r="C160" s="88">
        <v>24</v>
      </c>
      <c r="D160" s="88">
        <v>26</v>
      </c>
      <c r="E160" s="88">
        <v>27</v>
      </c>
      <c r="F160" s="88">
        <v>28</v>
      </c>
      <c r="G160" s="88">
        <v>31</v>
      </c>
      <c r="H160" s="88">
        <v>23</v>
      </c>
      <c r="I160" s="88">
        <v>30</v>
      </c>
      <c r="J160" s="88">
        <v>31</v>
      </c>
      <c r="K160" s="88">
        <v>27</v>
      </c>
      <c r="L160" s="88">
        <v>25</v>
      </c>
    </row>
    <row r="161" spans="1:12" s="78" customFormat="1" ht="11.25">
      <c r="A161" s="219">
        <v>2073</v>
      </c>
      <c r="B161" s="219"/>
      <c r="C161" s="88">
        <v>24</v>
      </c>
      <c r="D161" s="88">
        <v>26</v>
      </c>
      <c r="E161" s="88">
        <v>28</v>
      </c>
      <c r="F161" s="88">
        <v>30</v>
      </c>
      <c r="G161" s="88">
        <v>32</v>
      </c>
      <c r="H161" s="88">
        <v>23</v>
      </c>
      <c r="I161" s="88">
        <v>32</v>
      </c>
      <c r="J161" s="88">
        <v>32</v>
      </c>
      <c r="K161" s="88">
        <v>28</v>
      </c>
      <c r="L161" s="88">
        <v>26</v>
      </c>
    </row>
    <row r="162" spans="1:12" s="78" customFormat="1" ht="11.25">
      <c r="A162" s="220" t="s">
        <v>362</v>
      </c>
      <c r="B162" s="220"/>
      <c r="C162" s="220"/>
      <c r="D162" s="220"/>
      <c r="E162" s="220"/>
      <c r="F162" s="220"/>
      <c r="G162" s="220"/>
      <c r="H162" s="220"/>
      <c r="I162" s="220"/>
      <c r="J162" s="220"/>
      <c r="K162" s="220"/>
      <c r="L162" s="220"/>
    </row>
    <row r="163" spans="1:12" s="78" customFormat="1" ht="11.25">
      <c r="A163" s="219" t="s">
        <v>345</v>
      </c>
      <c r="B163" s="219"/>
      <c r="C163" s="88">
        <v>2</v>
      </c>
      <c r="D163" s="88">
        <v>2</v>
      </c>
      <c r="E163" s="88">
        <v>2</v>
      </c>
      <c r="F163" s="88">
        <v>2</v>
      </c>
      <c r="G163" s="88">
        <v>2</v>
      </c>
      <c r="H163" s="88">
        <v>2</v>
      </c>
      <c r="I163" s="88">
        <v>2</v>
      </c>
      <c r="J163" s="88">
        <v>2</v>
      </c>
      <c r="K163" s="88">
        <v>2</v>
      </c>
      <c r="L163" s="88">
        <v>2</v>
      </c>
    </row>
    <row r="164" spans="1:12" s="78" customFormat="1" ht="11.25">
      <c r="A164" s="219">
        <v>2023</v>
      </c>
      <c r="B164" s="219"/>
      <c r="C164" s="88">
        <v>2</v>
      </c>
      <c r="D164" s="88">
        <v>2</v>
      </c>
      <c r="E164" s="88">
        <v>2</v>
      </c>
      <c r="F164" s="88">
        <v>2</v>
      </c>
      <c r="G164" s="88">
        <v>2</v>
      </c>
      <c r="H164" s="88">
        <v>2</v>
      </c>
      <c r="I164" s="88">
        <v>2</v>
      </c>
      <c r="J164" s="88">
        <v>2</v>
      </c>
      <c r="K164" s="88">
        <v>2</v>
      </c>
      <c r="L164" s="88">
        <v>2</v>
      </c>
    </row>
    <row r="165" spans="1:12" s="78" customFormat="1" ht="11.25">
      <c r="A165" s="219">
        <v>2028</v>
      </c>
      <c r="B165" s="219"/>
      <c r="C165" s="88">
        <v>2</v>
      </c>
      <c r="D165" s="88">
        <v>2</v>
      </c>
      <c r="E165" s="88">
        <v>2</v>
      </c>
      <c r="F165" s="88">
        <v>2</v>
      </c>
      <c r="G165" s="88">
        <v>2</v>
      </c>
      <c r="H165" s="88">
        <v>2</v>
      </c>
      <c r="I165" s="88">
        <v>2</v>
      </c>
      <c r="J165" s="88">
        <v>2</v>
      </c>
      <c r="K165" s="88">
        <v>2</v>
      </c>
      <c r="L165" s="88">
        <v>2</v>
      </c>
    </row>
    <row r="166" spans="1:12" s="78" customFormat="1" ht="11.25">
      <c r="A166" s="219">
        <v>2033</v>
      </c>
      <c r="B166" s="219"/>
      <c r="C166" s="88">
        <v>3</v>
      </c>
      <c r="D166" s="88">
        <v>3</v>
      </c>
      <c r="E166" s="88">
        <v>3</v>
      </c>
      <c r="F166" s="88">
        <v>3</v>
      </c>
      <c r="G166" s="88">
        <v>3</v>
      </c>
      <c r="H166" s="88">
        <v>3</v>
      </c>
      <c r="I166" s="88">
        <v>3</v>
      </c>
      <c r="J166" s="88">
        <v>3</v>
      </c>
      <c r="K166" s="88">
        <v>3</v>
      </c>
      <c r="L166" s="88">
        <v>3</v>
      </c>
    </row>
    <row r="167" spans="1:12" s="78" customFormat="1" ht="11.25">
      <c r="A167" s="219">
        <v>2038</v>
      </c>
      <c r="B167" s="219"/>
      <c r="C167" s="88">
        <v>3</v>
      </c>
      <c r="D167" s="88">
        <v>3</v>
      </c>
      <c r="E167" s="88">
        <v>3</v>
      </c>
      <c r="F167" s="88">
        <v>3</v>
      </c>
      <c r="G167" s="88">
        <v>4</v>
      </c>
      <c r="H167" s="88">
        <v>3</v>
      </c>
      <c r="I167" s="88">
        <v>4</v>
      </c>
      <c r="J167" s="88">
        <v>4</v>
      </c>
      <c r="K167" s="88">
        <v>3</v>
      </c>
      <c r="L167" s="88">
        <v>3</v>
      </c>
    </row>
    <row r="168" spans="1:12" s="78" customFormat="1" ht="11.25">
      <c r="A168" s="219">
        <v>2043</v>
      </c>
      <c r="B168" s="219"/>
      <c r="C168" s="88">
        <v>4</v>
      </c>
      <c r="D168" s="88">
        <v>4</v>
      </c>
      <c r="E168" s="88">
        <v>4</v>
      </c>
      <c r="F168" s="88">
        <v>4</v>
      </c>
      <c r="G168" s="88">
        <v>4</v>
      </c>
      <c r="H168" s="88">
        <v>4</v>
      </c>
      <c r="I168" s="88">
        <v>5</v>
      </c>
      <c r="J168" s="88">
        <v>4</v>
      </c>
      <c r="K168" s="88">
        <v>4</v>
      </c>
      <c r="L168" s="88">
        <v>4</v>
      </c>
    </row>
    <row r="169" spans="1:12" s="78" customFormat="1" ht="11.25">
      <c r="A169" s="219">
        <v>2048</v>
      </c>
      <c r="B169" s="219"/>
      <c r="C169" s="88">
        <v>4</v>
      </c>
      <c r="D169" s="88">
        <v>4</v>
      </c>
      <c r="E169" s="88">
        <v>5</v>
      </c>
      <c r="F169" s="88">
        <v>5</v>
      </c>
      <c r="G169" s="88">
        <v>5</v>
      </c>
      <c r="H169" s="88">
        <v>4</v>
      </c>
      <c r="I169" s="88">
        <v>6</v>
      </c>
      <c r="J169" s="88">
        <v>5</v>
      </c>
      <c r="K169" s="88">
        <v>5</v>
      </c>
      <c r="L169" s="88">
        <v>4</v>
      </c>
    </row>
    <row r="170" spans="1:12" s="78" customFormat="1" ht="11.25">
      <c r="A170" s="219">
        <v>2053</v>
      </c>
      <c r="B170" s="219"/>
      <c r="C170" s="88">
        <v>4</v>
      </c>
      <c r="D170" s="88">
        <v>5</v>
      </c>
      <c r="E170" s="88">
        <v>5</v>
      </c>
      <c r="F170" s="88">
        <v>5</v>
      </c>
      <c r="G170" s="88">
        <v>6</v>
      </c>
      <c r="H170" s="88">
        <v>5</v>
      </c>
      <c r="I170" s="88">
        <v>7</v>
      </c>
      <c r="J170" s="88">
        <v>6</v>
      </c>
      <c r="K170" s="88">
        <v>5</v>
      </c>
      <c r="L170" s="88">
        <v>4</v>
      </c>
    </row>
    <row r="171" spans="1:12" s="78" customFormat="1" ht="11.25">
      <c r="A171" s="219">
        <v>2058</v>
      </c>
      <c r="B171" s="219"/>
      <c r="C171" s="88">
        <v>5</v>
      </c>
      <c r="D171" s="88">
        <v>5</v>
      </c>
      <c r="E171" s="88">
        <v>5</v>
      </c>
      <c r="F171" s="88">
        <v>6</v>
      </c>
      <c r="G171" s="88">
        <v>6</v>
      </c>
      <c r="H171" s="88">
        <v>5</v>
      </c>
      <c r="I171" s="88">
        <v>8</v>
      </c>
      <c r="J171" s="88">
        <v>6</v>
      </c>
      <c r="K171" s="88">
        <v>5</v>
      </c>
      <c r="L171" s="88">
        <v>5</v>
      </c>
    </row>
    <row r="172" spans="1:12" s="78" customFormat="1" ht="11.25">
      <c r="A172" s="219">
        <v>2063</v>
      </c>
      <c r="B172" s="219"/>
      <c r="C172" s="88">
        <v>4</v>
      </c>
      <c r="D172" s="88">
        <v>5</v>
      </c>
      <c r="E172" s="88">
        <v>5</v>
      </c>
      <c r="F172" s="88">
        <v>6</v>
      </c>
      <c r="G172" s="88">
        <v>6</v>
      </c>
      <c r="H172" s="88">
        <v>5</v>
      </c>
      <c r="I172" s="88">
        <v>8</v>
      </c>
      <c r="J172" s="88">
        <v>6</v>
      </c>
      <c r="K172" s="88">
        <v>5</v>
      </c>
      <c r="L172" s="88">
        <v>5</v>
      </c>
    </row>
    <row r="173" spans="1:12" s="78" customFormat="1" ht="11.25">
      <c r="A173" s="219">
        <v>2068</v>
      </c>
      <c r="B173" s="219"/>
      <c r="C173" s="88">
        <v>4</v>
      </c>
      <c r="D173" s="88">
        <v>5</v>
      </c>
      <c r="E173" s="88">
        <v>5</v>
      </c>
      <c r="F173" s="88">
        <v>6</v>
      </c>
      <c r="G173" s="88">
        <v>7</v>
      </c>
      <c r="H173" s="88">
        <v>5</v>
      </c>
      <c r="I173" s="88">
        <v>9</v>
      </c>
      <c r="J173" s="88">
        <v>7</v>
      </c>
      <c r="K173" s="88">
        <v>5</v>
      </c>
      <c r="L173" s="88">
        <v>5</v>
      </c>
    </row>
    <row r="174" spans="1:12" s="78" customFormat="1" ht="11.25">
      <c r="A174" s="219">
        <v>2073</v>
      </c>
      <c r="B174" s="219"/>
      <c r="C174" s="88">
        <v>5</v>
      </c>
      <c r="D174" s="88">
        <v>6</v>
      </c>
      <c r="E174" s="88">
        <v>6</v>
      </c>
      <c r="F174" s="88">
        <v>7</v>
      </c>
      <c r="G174" s="88">
        <v>8</v>
      </c>
      <c r="H174" s="88">
        <v>5</v>
      </c>
      <c r="I174" s="88">
        <v>10</v>
      </c>
      <c r="J174" s="88">
        <v>8</v>
      </c>
      <c r="K174" s="88">
        <v>6</v>
      </c>
      <c r="L174" s="88">
        <v>5</v>
      </c>
    </row>
    <row r="175" spans="1:12" s="78" customFormat="1" ht="11.25">
      <c r="A175" s="220" t="s">
        <v>363</v>
      </c>
      <c r="B175" s="220"/>
      <c r="C175" s="220"/>
      <c r="D175" s="220"/>
      <c r="E175" s="220"/>
      <c r="F175" s="220"/>
      <c r="G175" s="220"/>
      <c r="H175" s="220"/>
      <c r="I175" s="220"/>
      <c r="J175" s="220"/>
      <c r="K175" s="220"/>
      <c r="L175" s="220"/>
    </row>
    <row r="176" spans="1:12" s="78" customFormat="1" ht="11.25">
      <c r="A176" s="219" t="s">
        <v>345</v>
      </c>
      <c r="B176" s="219"/>
      <c r="C176" s="98">
        <v>38</v>
      </c>
      <c r="D176" s="98">
        <v>38</v>
      </c>
      <c r="E176" s="98">
        <v>38.1</v>
      </c>
      <c r="F176" s="98">
        <v>38.1</v>
      </c>
      <c r="G176" s="98">
        <v>38.1</v>
      </c>
      <c r="H176" s="97">
        <v>38.1</v>
      </c>
      <c r="I176" s="97">
        <v>38.1</v>
      </c>
      <c r="J176" s="97">
        <v>38.1</v>
      </c>
      <c r="K176" s="97">
        <v>38.1</v>
      </c>
      <c r="L176" s="97">
        <v>38.1</v>
      </c>
    </row>
    <row r="177" spans="1:12" s="78" customFormat="1" ht="11.25">
      <c r="A177" s="219">
        <v>2023</v>
      </c>
      <c r="B177" s="219"/>
      <c r="C177" s="98">
        <v>38.200000000000003</v>
      </c>
      <c r="D177" s="98">
        <v>38.299999999999997</v>
      </c>
      <c r="E177" s="98">
        <v>38.4</v>
      </c>
      <c r="F177" s="98">
        <v>38.4</v>
      </c>
      <c r="G177" s="98">
        <v>38.5</v>
      </c>
      <c r="H177" s="97">
        <v>38.299999999999997</v>
      </c>
      <c r="I177" s="97">
        <v>38.4</v>
      </c>
      <c r="J177" s="97">
        <v>38.4</v>
      </c>
      <c r="K177" s="97">
        <v>38.4</v>
      </c>
      <c r="L177" s="97">
        <v>38.299999999999997</v>
      </c>
    </row>
    <row r="178" spans="1:12" s="78" customFormat="1" ht="11.25">
      <c r="A178" s="219">
        <v>2028</v>
      </c>
      <c r="B178" s="219"/>
      <c r="C178" s="98">
        <v>39</v>
      </c>
      <c r="D178" s="98">
        <v>39.4</v>
      </c>
      <c r="E178" s="98">
        <v>39.6</v>
      </c>
      <c r="F178" s="98">
        <v>39.9</v>
      </c>
      <c r="G178" s="98">
        <v>40.299999999999997</v>
      </c>
      <c r="H178" s="97">
        <v>39.4</v>
      </c>
      <c r="I178" s="97">
        <v>39.700000000000003</v>
      </c>
      <c r="J178" s="97">
        <v>40.1</v>
      </c>
      <c r="K178" s="97">
        <v>39.6</v>
      </c>
      <c r="L178" s="97">
        <v>39.200000000000003</v>
      </c>
    </row>
    <row r="179" spans="1:12" s="78" customFormat="1" ht="11.25">
      <c r="A179" s="219">
        <v>2033</v>
      </c>
      <c r="B179" s="219"/>
      <c r="C179" s="98">
        <v>40.200000000000003</v>
      </c>
      <c r="D179" s="98">
        <v>40.700000000000003</v>
      </c>
      <c r="E179" s="98">
        <v>41.1</v>
      </c>
      <c r="F179" s="98">
        <v>41.5</v>
      </c>
      <c r="G179" s="98">
        <v>42</v>
      </c>
      <c r="H179" s="97">
        <v>40.299999999999997</v>
      </c>
      <c r="I179" s="97">
        <v>41.2</v>
      </c>
      <c r="J179" s="97">
        <v>42.1</v>
      </c>
      <c r="K179" s="97">
        <v>41.3</v>
      </c>
      <c r="L179" s="97">
        <v>40.299999999999997</v>
      </c>
    </row>
    <row r="180" spans="1:12" s="78" customFormat="1" ht="11.25">
      <c r="A180" s="219">
        <v>2038</v>
      </c>
      <c r="B180" s="219"/>
      <c r="C180" s="98">
        <v>40.9</v>
      </c>
      <c r="D180" s="98">
        <v>41.7</v>
      </c>
      <c r="E180" s="98">
        <v>42.2</v>
      </c>
      <c r="F180" s="98">
        <v>42.8</v>
      </c>
      <c r="G180" s="98">
        <v>43.5</v>
      </c>
      <c r="H180" s="97">
        <v>40.700000000000003</v>
      </c>
      <c r="I180" s="97">
        <v>42.5</v>
      </c>
      <c r="J180" s="97">
        <v>43.8</v>
      </c>
      <c r="K180" s="97">
        <v>42.2</v>
      </c>
      <c r="L180" s="97">
        <v>41</v>
      </c>
    </row>
    <row r="181" spans="1:12" s="78" customFormat="1" ht="11.25">
      <c r="A181" s="219">
        <v>2043</v>
      </c>
      <c r="B181" s="219"/>
      <c r="C181" s="98">
        <v>41.3</v>
      </c>
      <c r="D181" s="98">
        <v>42.3</v>
      </c>
      <c r="E181" s="98">
        <v>42.9</v>
      </c>
      <c r="F181" s="98">
        <v>43.7</v>
      </c>
      <c r="G181" s="98">
        <v>44.6</v>
      </c>
      <c r="H181" s="97">
        <v>40.6</v>
      </c>
      <c r="I181" s="97">
        <v>43.5</v>
      </c>
      <c r="J181" s="97">
        <v>45.1</v>
      </c>
      <c r="K181" s="97">
        <v>43.2</v>
      </c>
      <c r="L181" s="97">
        <v>41.5</v>
      </c>
    </row>
    <row r="182" spans="1:12" s="78" customFormat="1" ht="11.25">
      <c r="A182" s="219">
        <v>2048</v>
      </c>
      <c r="B182" s="219"/>
      <c r="C182" s="98">
        <v>41.5</v>
      </c>
      <c r="D182" s="98">
        <v>42.6</v>
      </c>
      <c r="E182" s="98">
        <v>43.5</v>
      </c>
      <c r="F182" s="98">
        <v>44.3</v>
      </c>
      <c r="G182" s="98">
        <v>45.7</v>
      </c>
      <c r="H182" s="97">
        <v>40.5</v>
      </c>
      <c r="I182" s="97">
        <v>44.3</v>
      </c>
      <c r="J182" s="97">
        <v>46</v>
      </c>
      <c r="K182" s="97">
        <v>43.3</v>
      </c>
      <c r="L182" s="97">
        <v>42.1</v>
      </c>
    </row>
    <row r="183" spans="1:12" s="78" customFormat="1" ht="11.25">
      <c r="A183" s="219">
        <v>2053</v>
      </c>
      <c r="B183" s="219"/>
      <c r="C183" s="98">
        <v>41.9</v>
      </c>
      <c r="D183" s="98">
        <v>43.3</v>
      </c>
      <c r="E183" s="98">
        <v>44.2</v>
      </c>
      <c r="F183" s="98">
        <v>45.2</v>
      </c>
      <c r="G183" s="98">
        <v>46.7</v>
      </c>
      <c r="H183" s="97">
        <v>40.700000000000003</v>
      </c>
      <c r="I183" s="97">
        <v>45.3</v>
      </c>
      <c r="J183" s="97">
        <v>46.8</v>
      </c>
      <c r="K183" s="97">
        <v>44.4</v>
      </c>
      <c r="L183" s="97">
        <v>42.9</v>
      </c>
    </row>
    <row r="184" spans="1:12" s="78" customFormat="1" ht="11.25">
      <c r="A184" s="219">
        <v>2058</v>
      </c>
      <c r="B184" s="219"/>
      <c r="C184" s="98">
        <v>42.3</v>
      </c>
      <c r="D184" s="98">
        <v>43.9</v>
      </c>
      <c r="E184" s="98">
        <v>45.2</v>
      </c>
      <c r="F184" s="98">
        <v>46.4</v>
      </c>
      <c r="G184" s="98">
        <v>48.1</v>
      </c>
      <c r="H184" s="97">
        <v>40.6</v>
      </c>
      <c r="I184" s="97">
        <v>46.5</v>
      </c>
      <c r="J184" s="97">
        <v>47.9</v>
      </c>
      <c r="K184" s="97">
        <v>45</v>
      </c>
      <c r="L184" s="97">
        <v>43.7</v>
      </c>
    </row>
    <row r="185" spans="1:12" s="78" customFormat="1" ht="11.25">
      <c r="A185" s="219">
        <v>2063</v>
      </c>
      <c r="B185" s="219"/>
      <c r="C185" s="98">
        <v>42.3</v>
      </c>
      <c r="D185" s="98">
        <v>44.4</v>
      </c>
      <c r="E185" s="98">
        <v>45.9</v>
      </c>
      <c r="F185" s="98">
        <v>47.4</v>
      </c>
      <c r="G185" s="98">
        <v>49.6</v>
      </c>
      <c r="H185" s="97">
        <v>40.1</v>
      </c>
      <c r="I185" s="97">
        <v>47.6</v>
      </c>
      <c r="J185" s="97">
        <v>48.9</v>
      </c>
      <c r="K185" s="97">
        <v>46.1</v>
      </c>
      <c r="L185" s="97">
        <v>44.4</v>
      </c>
    </row>
    <row r="186" spans="1:12" s="78" customFormat="1" ht="11.25">
      <c r="A186" s="219">
        <v>2068</v>
      </c>
      <c r="B186" s="219"/>
      <c r="C186" s="98">
        <v>42.1</v>
      </c>
      <c r="D186" s="98">
        <v>44.7</v>
      </c>
      <c r="E186" s="98">
        <v>46.6</v>
      </c>
      <c r="F186" s="98">
        <v>48.3</v>
      </c>
      <c r="G186" s="98">
        <v>51.1</v>
      </c>
      <c r="H186" s="97">
        <v>39.9</v>
      </c>
      <c r="I186" s="97">
        <v>48.6</v>
      </c>
      <c r="J186" s="97">
        <v>49.8</v>
      </c>
      <c r="K186" s="97">
        <v>46.4</v>
      </c>
      <c r="L186" s="97">
        <v>45</v>
      </c>
    </row>
    <row r="187" spans="1:12" s="78" customFormat="1" ht="11.25">
      <c r="A187" s="219">
        <v>2073</v>
      </c>
      <c r="B187" s="219"/>
      <c r="C187" s="98">
        <v>41.9</v>
      </c>
      <c r="D187" s="98">
        <v>45</v>
      </c>
      <c r="E187" s="98">
        <v>47.1</v>
      </c>
      <c r="F187" s="98">
        <v>49.3</v>
      </c>
      <c r="G187" s="98">
        <v>52.4</v>
      </c>
      <c r="H187" s="97">
        <v>39.9</v>
      </c>
      <c r="I187" s="97">
        <v>49.6</v>
      </c>
      <c r="J187" s="97">
        <v>50.6</v>
      </c>
      <c r="K187" s="97">
        <v>47.3</v>
      </c>
      <c r="L187" s="97">
        <v>45.6</v>
      </c>
    </row>
    <row r="188" spans="1:12" s="78" customFormat="1" ht="11.25">
      <c r="A188" s="220" t="s">
        <v>364</v>
      </c>
      <c r="B188" s="220"/>
      <c r="C188" s="220"/>
      <c r="D188" s="220"/>
      <c r="E188" s="220"/>
      <c r="F188" s="220"/>
      <c r="G188" s="220"/>
      <c r="H188" s="220"/>
      <c r="I188" s="220"/>
      <c r="J188" s="220"/>
      <c r="K188" s="220"/>
      <c r="L188" s="220"/>
    </row>
    <row r="189" spans="1:12" s="78" customFormat="1" ht="11.25">
      <c r="A189" s="219" t="s">
        <v>345</v>
      </c>
      <c r="B189" s="219"/>
      <c r="C189" s="88">
        <v>29</v>
      </c>
      <c r="D189" s="88">
        <v>29</v>
      </c>
      <c r="E189" s="88">
        <v>29</v>
      </c>
      <c r="F189" s="88">
        <v>29</v>
      </c>
      <c r="G189" s="88">
        <v>29</v>
      </c>
      <c r="H189" s="88">
        <v>29</v>
      </c>
      <c r="I189" s="88">
        <v>29</v>
      </c>
      <c r="J189" s="88">
        <v>29</v>
      </c>
      <c r="K189" s="88">
        <v>29</v>
      </c>
      <c r="L189" s="88">
        <v>29</v>
      </c>
    </row>
    <row r="190" spans="1:12" s="78" customFormat="1" ht="11.25">
      <c r="A190" s="219">
        <v>2023</v>
      </c>
      <c r="B190" s="219"/>
      <c r="C190" s="88">
        <v>29</v>
      </c>
      <c r="D190" s="88">
        <v>29</v>
      </c>
      <c r="E190" s="88">
        <v>29</v>
      </c>
      <c r="F190" s="88">
        <v>29</v>
      </c>
      <c r="G190" s="88">
        <v>29</v>
      </c>
      <c r="H190" s="88">
        <v>29</v>
      </c>
      <c r="I190" s="88">
        <v>29</v>
      </c>
      <c r="J190" s="88">
        <v>29</v>
      </c>
      <c r="K190" s="88">
        <v>29</v>
      </c>
      <c r="L190" s="88">
        <v>29</v>
      </c>
    </row>
    <row r="191" spans="1:12" s="78" customFormat="1" ht="11.25">
      <c r="A191" s="219">
        <v>2028</v>
      </c>
      <c r="B191" s="219"/>
      <c r="C191" s="88">
        <v>26</v>
      </c>
      <c r="D191" s="88">
        <v>27</v>
      </c>
      <c r="E191" s="88">
        <v>27</v>
      </c>
      <c r="F191" s="88">
        <v>28</v>
      </c>
      <c r="G191" s="88">
        <v>28</v>
      </c>
      <c r="H191" s="88">
        <v>28</v>
      </c>
      <c r="I191" s="88">
        <v>27</v>
      </c>
      <c r="J191" s="88">
        <v>27</v>
      </c>
      <c r="K191" s="88">
        <v>27</v>
      </c>
      <c r="L191" s="88">
        <v>27</v>
      </c>
    </row>
    <row r="192" spans="1:12" s="78" customFormat="1" ht="11.25">
      <c r="A192" s="219">
        <v>2033</v>
      </c>
      <c r="B192" s="219"/>
      <c r="C192" s="88">
        <v>24</v>
      </c>
      <c r="D192" s="88">
        <v>25</v>
      </c>
      <c r="E192" s="88">
        <v>26</v>
      </c>
      <c r="F192" s="88">
        <v>27</v>
      </c>
      <c r="G192" s="88">
        <v>28</v>
      </c>
      <c r="H192" s="88">
        <v>30</v>
      </c>
      <c r="I192" s="88">
        <v>26</v>
      </c>
      <c r="J192" s="88">
        <v>26</v>
      </c>
      <c r="K192" s="88">
        <v>26</v>
      </c>
      <c r="L192" s="88">
        <v>26</v>
      </c>
    </row>
    <row r="193" spans="1:12" s="78" customFormat="1" ht="11.25">
      <c r="A193" s="219">
        <v>2038</v>
      </c>
      <c r="B193" s="219"/>
      <c r="C193" s="88">
        <v>22</v>
      </c>
      <c r="D193" s="88">
        <v>24</v>
      </c>
      <c r="E193" s="88">
        <v>26</v>
      </c>
      <c r="F193" s="88">
        <v>27</v>
      </c>
      <c r="G193" s="88">
        <v>29</v>
      </c>
      <c r="H193" s="88">
        <v>32</v>
      </c>
      <c r="I193" s="88">
        <v>26</v>
      </c>
      <c r="J193" s="88">
        <v>25</v>
      </c>
      <c r="K193" s="88">
        <v>25</v>
      </c>
      <c r="L193" s="88">
        <v>26</v>
      </c>
    </row>
    <row r="194" spans="1:12" s="78" customFormat="1" ht="11.25">
      <c r="A194" s="219">
        <v>2043</v>
      </c>
      <c r="B194" s="219"/>
      <c r="C194" s="88">
        <v>20</v>
      </c>
      <c r="D194" s="88">
        <v>23</v>
      </c>
      <c r="E194" s="88">
        <v>25</v>
      </c>
      <c r="F194" s="88">
        <v>27</v>
      </c>
      <c r="G194" s="88">
        <v>29</v>
      </c>
      <c r="H194" s="88">
        <v>33</v>
      </c>
      <c r="I194" s="88">
        <v>25</v>
      </c>
      <c r="J194" s="88">
        <v>24</v>
      </c>
      <c r="K194" s="88">
        <v>25</v>
      </c>
      <c r="L194" s="88">
        <v>25</v>
      </c>
    </row>
    <row r="195" spans="1:12" s="78" customFormat="1" ht="11.25">
      <c r="A195" s="219">
        <v>2048</v>
      </c>
      <c r="B195" s="219"/>
      <c r="C195" s="88">
        <v>19</v>
      </c>
      <c r="D195" s="88">
        <v>23</v>
      </c>
      <c r="E195" s="88">
        <v>25</v>
      </c>
      <c r="F195" s="88">
        <v>27</v>
      </c>
      <c r="G195" s="88">
        <v>30</v>
      </c>
      <c r="H195" s="88">
        <v>33</v>
      </c>
      <c r="I195" s="88">
        <v>25</v>
      </c>
      <c r="J195" s="88">
        <v>24</v>
      </c>
      <c r="K195" s="88">
        <v>25</v>
      </c>
      <c r="L195" s="88">
        <v>25</v>
      </c>
    </row>
    <row r="196" spans="1:12" s="78" customFormat="1" ht="11.25">
      <c r="A196" s="219">
        <v>2053</v>
      </c>
      <c r="B196" s="219"/>
      <c r="C196" s="88">
        <v>19</v>
      </c>
      <c r="D196" s="88">
        <v>22</v>
      </c>
      <c r="E196" s="88">
        <v>25</v>
      </c>
      <c r="F196" s="88">
        <v>27</v>
      </c>
      <c r="G196" s="88">
        <v>30</v>
      </c>
      <c r="H196" s="88">
        <v>33</v>
      </c>
      <c r="I196" s="88">
        <v>25</v>
      </c>
      <c r="J196" s="88">
        <v>24</v>
      </c>
      <c r="K196" s="88">
        <v>25</v>
      </c>
      <c r="L196" s="88">
        <v>25</v>
      </c>
    </row>
    <row r="197" spans="1:12" s="78" customFormat="1" ht="11.25">
      <c r="A197" s="219">
        <v>2058</v>
      </c>
      <c r="B197" s="219"/>
      <c r="C197" s="88">
        <v>18</v>
      </c>
      <c r="D197" s="88">
        <v>22</v>
      </c>
      <c r="E197" s="88">
        <v>25</v>
      </c>
      <c r="F197" s="88">
        <v>27</v>
      </c>
      <c r="G197" s="88">
        <v>31</v>
      </c>
      <c r="H197" s="88">
        <v>33</v>
      </c>
      <c r="I197" s="88">
        <v>25</v>
      </c>
      <c r="J197" s="88">
        <v>25</v>
      </c>
      <c r="K197" s="88">
        <v>25</v>
      </c>
      <c r="L197" s="88">
        <v>25</v>
      </c>
    </row>
    <row r="198" spans="1:12" s="78" customFormat="1" ht="11.25">
      <c r="A198" s="219">
        <v>2063</v>
      </c>
      <c r="B198" s="219"/>
      <c r="C198" s="88">
        <v>17</v>
      </c>
      <c r="D198" s="88">
        <v>21</v>
      </c>
      <c r="E198" s="88">
        <v>24</v>
      </c>
      <c r="F198" s="88">
        <v>27</v>
      </c>
      <c r="G198" s="88">
        <v>31</v>
      </c>
      <c r="H198" s="88">
        <v>33</v>
      </c>
      <c r="I198" s="88">
        <v>24</v>
      </c>
      <c r="J198" s="88">
        <v>24</v>
      </c>
      <c r="K198" s="88">
        <v>24</v>
      </c>
      <c r="L198" s="88">
        <v>24</v>
      </c>
    </row>
    <row r="199" spans="1:12" s="78" customFormat="1" ht="11.25">
      <c r="A199" s="219">
        <v>2068</v>
      </c>
      <c r="B199" s="219"/>
      <c r="C199" s="88">
        <v>16</v>
      </c>
      <c r="D199" s="88">
        <v>21</v>
      </c>
      <c r="E199" s="88">
        <v>24</v>
      </c>
      <c r="F199" s="88">
        <v>27</v>
      </c>
      <c r="G199" s="88">
        <v>31</v>
      </c>
      <c r="H199" s="88">
        <v>33</v>
      </c>
      <c r="I199" s="88">
        <v>24</v>
      </c>
      <c r="J199" s="88">
        <v>24</v>
      </c>
      <c r="K199" s="88">
        <v>24</v>
      </c>
      <c r="L199" s="88">
        <v>24</v>
      </c>
    </row>
    <row r="200" spans="1:12" s="78" customFormat="1" ht="11.25">
      <c r="A200" s="219">
        <v>2073</v>
      </c>
      <c r="B200" s="219"/>
      <c r="C200" s="88">
        <v>16</v>
      </c>
      <c r="D200" s="88">
        <v>21</v>
      </c>
      <c r="E200" s="88">
        <v>24</v>
      </c>
      <c r="F200" s="88">
        <v>27</v>
      </c>
      <c r="G200" s="88">
        <v>32</v>
      </c>
      <c r="H200" s="88">
        <v>34</v>
      </c>
      <c r="I200" s="88">
        <v>24</v>
      </c>
      <c r="J200" s="88">
        <v>24</v>
      </c>
      <c r="K200" s="88">
        <v>24</v>
      </c>
      <c r="L200" s="88">
        <v>24</v>
      </c>
    </row>
    <row r="201" spans="1:12" s="78" customFormat="1" ht="11.25">
      <c r="A201" s="220" t="s">
        <v>365</v>
      </c>
      <c r="B201" s="220"/>
      <c r="C201" s="220"/>
      <c r="D201" s="220"/>
      <c r="E201" s="220"/>
      <c r="F201" s="220"/>
      <c r="G201" s="220"/>
      <c r="H201" s="220"/>
      <c r="I201" s="220"/>
      <c r="J201" s="220"/>
      <c r="K201" s="220"/>
      <c r="L201" s="220"/>
    </row>
    <row r="202" spans="1:12" s="78" customFormat="1" ht="11.25">
      <c r="A202" s="219" t="s">
        <v>345</v>
      </c>
      <c r="B202" s="219"/>
      <c r="C202" s="88">
        <v>25</v>
      </c>
      <c r="D202" s="88">
        <v>25</v>
      </c>
      <c r="E202" s="88">
        <v>25</v>
      </c>
      <c r="F202" s="88">
        <v>25</v>
      </c>
      <c r="G202" s="88">
        <v>25</v>
      </c>
      <c r="H202" s="88">
        <v>25</v>
      </c>
      <c r="I202" s="88">
        <v>25</v>
      </c>
      <c r="J202" s="88">
        <v>25</v>
      </c>
      <c r="K202" s="88">
        <v>25</v>
      </c>
      <c r="L202" s="88">
        <v>25</v>
      </c>
    </row>
    <row r="203" spans="1:12" s="78" customFormat="1" ht="11.25">
      <c r="A203" s="219">
        <v>2023</v>
      </c>
      <c r="B203" s="219"/>
      <c r="C203" s="88">
        <v>26</v>
      </c>
      <c r="D203" s="88">
        <v>26</v>
      </c>
      <c r="E203" s="88">
        <v>26</v>
      </c>
      <c r="F203" s="88">
        <v>26</v>
      </c>
      <c r="G203" s="88">
        <v>26</v>
      </c>
      <c r="H203" s="88">
        <v>26</v>
      </c>
      <c r="I203" s="88">
        <v>26</v>
      </c>
      <c r="J203" s="88">
        <v>26</v>
      </c>
      <c r="K203" s="88">
        <v>26</v>
      </c>
      <c r="L203" s="88">
        <v>26</v>
      </c>
    </row>
    <row r="204" spans="1:12" s="78" customFormat="1" ht="11.25">
      <c r="A204" s="219">
        <v>2028</v>
      </c>
      <c r="B204" s="219"/>
      <c r="C204" s="88">
        <v>29</v>
      </c>
      <c r="D204" s="88">
        <v>30</v>
      </c>
      <c r="E204" s="88">
        <v>30</v>
      </c>
      <c r="F204" s="88">
        <v>30</v>
      </c>
      <c r="G204" s="88">
        <v>31</v>
      </c>
      <c r="H204" s="88">
        <v>30</v>
      </c>
      <c r="I204" s="88">
        <v>30</v>
      </c>
      <c r="J204" s="88">
        <v>30</v>
      </c>
      <c r="K204" s="88">
        <v>30</v>
      </c>
      <c r="L204" s="88">
        <v>29</v>
      </c>
    </row>
    <row r="205" spans="1:12" s="78" customFormat="1" ht="11.25">
      <c r="A205" s="219">
        <v>2033</v>
      </c>
      <c r="B205" s="219"/>
      <c r="C205" s="88">
        <v>31</v>
      </c>
      <c r="D205" s="88">
        <v>32</v>
      </c>
      <c r="E205" s="88">
        <v>33</v>
      </c>
      <c r="F205" s="88">
        <v>34</v>
      </c>
      <c r="G205" s="88">
        <v>35</v>
      </c>
      <c r="H205" s="88">
        <v>33</v>
      </c>
      <c r="I205" s="88">
        <v>34</v>
      </c>
      <c r="J205" s="88">
        <v>34</v>
      </c>
      <c r="K205" s="88">
        <v>33</v>
      </c>
      <c r="L205" s="88">
        <v>31</v>
      </c>
    </row>
    <row r="206" spans="1:12" s="78" customFormat="1" ht="11.25">
      <c r="A206" s="219">
        <v>2038</v>
      </c>
      <c r="B206" s="219"/>
      <c r="C206" s="88">
        <v>33</v>
      </c>
      <c r="D206" s="88">
        <v>35</v>
      </c>
      <c r="E206" s="88">
        <v>36</v>
      </c>
      <c r="F206" s="88">
        <v>37</v>
      </c>
      <c r="G206" s="88">
        <v>38</v>
      </c>
      <c r="H206" s="88">
        <v>36</v>
      </c>
      <c r="I206" s="88">
        <v>37</v>
      </c>
      <c r="J206" s="88">
        <v>38</v>
      </c>
      <c r="K206" s="88">
        <v>36</v>
      </c>
      <c r="L206" s="88">
        <v>33</v>
      </c>
    </row>
    <row r="207" spans="1:12" s="78" customFormat="1" ht="11.25">
      <c r="A207" s="219">
        <v>2043</v>
      </c>
      <c r="B207" s="219"/>
      <c r="C207" s="88">
        <v>34</v>
      </c>
      <c r="D207" s="88">
        <v>35</v>
      </c>
      <c r="E207" s="88">
        <v>36</v>
      </c>
      <c r="F207" s="88">
        <v>38</v>
      </c>
      <c r="G207" s="88">
        <v>39</v>
      </c>
      <c r="H207" s="88">
        <v>36</v>
      </c>
      <c r="I207" s="88">
        <v>39</v>
      </c>
      <c r="J207" s="88">
        <v>40</v>
      </c>
      <c r="K207" s="88">
        <v>37</v>
      </c>
      <c r="L207" s="88">
        <v>33</v>
      </c>
    </row>
    <row r="208" spans="1:12" s="78" customFormat="1" ht="11.25">
      <c r="A208" s="219">
        <v>2048</v>
      </c>
      <c r="B208" s="219"/>
      <c r="C208" s="88">
        <v>34</v>
      </c>
      <c r="D208" s="88">
        <v>36</v>
      </c>
      <c r="E208" s="88">
        <v>37</v>
      </c>
      <c r="F208" s="88">
        <v>39</v>
      </c>
      <c r="G208" s="88">
        <v>41</v>
      </c>
      <c r="H208" s="88">
        <v>36</v>
      </c>
      <c r="I208" s="88">
        <v>40</v>
      </c>
      <c r="J208" s="88">
        <v>43</v>
      </c>
      <c r="K208" s="88">
        <v>37</v>
      </c>
      <c r="L208" s="88">
        <v>34</v>
      </c>
    </row>
    <row r="209" spans="1:12" s="78" customFormat="1" ht="11.25">
      <c r="A209" s="219">
        <v>2053</v>
      </c>
      <c r="B209" s="219"/>
      <c r="C209" s="88">
        <v>36</v>
      </c>
      <c r="D209" s="88">
        <v>38</v>
      </c>
      <c r="E209" s="88">
        <v>39</v>
      </c>
      <c r="F209" s="88">
        <v>41</v>
      </c>
      <c r="G209" s="88">
        <v>43</v>
      </c>
      <c r="H209" s="88">
        <v>37</v>
      </c>
      <c r="I209" s="88">
        <v>43</v>
      </c>
      <c r="J209" s="88">
        <v>46</v>
      </c>
      <c r="K209" s="88">
        <v>40</v>
      </c>
      <c r="L209" s="88">
        <v>35</v>
      </c>
    </row>
    <row r="210" spans="1:12" s="78" customFormat="1" ht="11.25">
      <c r="A210" s="219">
        <v>2058</v>
      </c>
      <c r="B210" s="219"/>
      <c r="C210" s="88">
        <v>38</v>
      </c>
      <c r="D210" s="88">
        <v>40</v>
      </c>
      <c r="E210" s="88">
        <v>42</v>
      </c>
      <c r="F210" s="88">
        <v>44</v>
      </c>
      <c r="G210" s="88">
        <v>47</v>
      </c>
      <c r="H210" s="88">
        <v>39</v>
      </c>
      <c r="I210" s="88">
        <v>48</v>
      </c>
      <c r="J210" s="88">
        <v>51</v>
      </c>
      <c r="K210" s="88">
        <v>42</v>
      </c>
      <c r="L210" s="88">
        <v>37</v>
      </c>
    </row>
    <row r="211" spans="1:12" s="78" customFormat="1" ht="11.25">
      <c r="A211" s="219">
        <v>2063</v>
      </c>
      <c r="B211" s="219"/>
      <c r="C211" s="88">
        <v>39</v>
      </c>
      <c r="D211" s="88">
        <v>42</v>
      </c>
      <c r="E211" s="88">
        <v>44</v>
      </c>
      <c r="F211" s="88">
        <v>46</v>
      </c>
      <c r="G211" s="88">
        <v>50</v>
      </c>
      <c r="H211" s="88">
        <v>39</v>
      </c>
      <c r="I211" s="88">
        <v>51</v>
      </c>
      <c r="J211" s="88">
        <v>54</v>
      </c>
      <c r="K211" s="88">
        <v>45</v>
      </c>
      <c r="L211" s="88">
        <v>39</v>
      </c>
    </row>
    <row r="212" spans="1:12" s="78" customFormat="1" ht="11.25">
      <c r="A212" s="219">
        <v>2068</v>
      </c>
      <c r="B212" s="219"/>
      <c r="C212" s="88">
        <v>40</v>
      </c>
      <c r="D212" s="88">
        <v>43</v>
      </c>
      <c r="E212" s="88">
        <v>46</v>
      </c>
      <c r="F212" s="88">
        <v>48</v>
      </c>
      <c r="G212" s="88">
        <v>53</v>
      </c>
      <c r="H212" s="88">
        <v>40</v>
      </c>
      <c r="I212" s="88">
        <v>54</v>
      </c>
      <c r="J212" s="88">
        <v>56</v>
      </c>
      <c r="K212" s="88">
        <v>45</v>
      </c>
      <c r="L212" s="88">
        <v>41</v>
      </c>
    </row>
    <row r="213" spans="1:12" s="78" customFormat="1" ht="11.25">
      <c r="A213" s="219">
        <v>2073</v>
      </c>
      <c r="B213" s="219"/>
      <c r="C213" s="88">
        <v>41</v>
      </c>
      <c r="D213" s="88">
        <v>45</v>
      </c>
      <c r="E213" s="88">
        <v>48</v>
      </c>
      <c r="F213" s="88">
        <v>51</v>
      </c>
      <c r="G213" s="88">
        <v>56</v>
      </c>
      <c r="H213" s="88">
        <v>40</v>
      </c>
      <c r="I213" s="88">
        <v>58</v>
      </c>
      <c r="J213" s="88">
        <v>58</v>
      </c>
      <c r="K213" s="88">
        <v>48</v>
      </c>
      <c r="L213" s="88">
        <v>43</v>
      </c>
    </row>
    <row r="214" spans="1:12" s="78" customFormat="1" ht="11.25">
      <c r="A214" s="220" t="s">
        <v>366</v>
      </c>
      <c r="B214" s="220"/>
      <c r="C214" s="220"/>
      <c r="D214" s="220"/>
      <c r="E214" s="220"/>
      <c r="F214" s="220"/>
      <c r="G214" s="220"/>
      <c r="H214" s="220"/>
      <c r="I214" s="220"/>
      <c r="J214" s="220"/>
      <c r="K214" s="220"/>
      <c r="L214" s="220"/>
    </row>
    <row r="215" spans="1:12" s="78" customFormat="1" ht="11.25">
      <c r="A215" s="219" t="s">
        <v>345</v>
      </c>
      <c r="B215" s="219"/>
      <c r="C215" s="88">
        <v>54</v>
      </c>
      <c r="D215" s="88">
        <v>54</v>
      </c>
      <c r="E215" s="88">
        <v>54</v>
      </c>
      <c r="F215" s="88">
        <v>54</v>
      </c>
      <c r="G215" s="88">
        <v>54</v>
      </c>
      <c r="H215" s="88">
        <v>54</v>
      </c>
      <c r="I215" s="88">
        <v>54</v>
      </c>
      <c r="J215" s="88">
        <v>54</v>
      </c>
      <c r="K215" s="88">
        <v>54</v>
      </c>
      <c r="L215" s="88">
        <v>54</v>
      </c>
    </row>
    <row r="216" spans="1:12" s="78" customFormat="1" ht="11.25">
      <c r="A216" s="219">
        <v>2023</v>
      </c>
      <c r="B216" s="219"/>
      <c r="C216" s="88">
        <v>55</v>
      </c>
      <c r="D216" s="88">
        <v>55</v>
      </c>
      <c r="E216" s="88">
        <v>55</v>
      </c>
      <c r="F216" s="88">
        <v>55</v>
      </c>
      <c r="G216" s="88">
        <v>55</v>
      </c>
      <c r="H216" s="88">
        <v>55</v>
      </c>
      <c r="I216" s="88">
        <v>55</v>
      </c>
      <c r="J216" s="88">
        <v>55</v>
      </c>
      <c r="K216" s="88">
        <v>55</v>
      </c>
      <c r="L216" s="88">
        <v>55</v>
      </c>
    </row>
    <row r="217" spans="1:12" s="78" customFormat="1" ht="11.25">
      <c r="A217" s="219">
        <v>2028</v>
      </c>
      <c r="B217" s="219"/>
      <c r="C217" s="88">
        <v>56</v>
      </c>
      <c r="D217" s="88">
        <v>57</v>
      </c>
      <c r="E217" s="88">
        <v>57</v>
      </c>
      <c r="F217" s="88">
        <v>58</v>
      </c>
      <c r="G217" s="88">
        <v>58</v>
      </c>
      <c r="H217" s="88">
        <v>58</v>
      </c>
      <c r="I217" s="88">
        <v>57</v>
      </c>
      <c r="J217" s="88">
        <v>58</v>
      </c>
      <c r="K217" s="88">
        <v>57</v>
      </c>
      <c r="L217" s="88">
        <v>56</v>
      </c>
    </row>
    <row r="218" spans="1:12" s="78" customFormat="1" ht="11.25">
      <c r="A218" s="219">
        <v>2033</v>
      </c>
      <c r="B218" s="219"/>
      <c r="C218" s="88">
        <v>56</v>
      </c>
      <c r="D218" s="88">
        <v>58</v>
      </c>
      <c r="E218" s="88">
        <v>59</v>
      </c>
      <c r="F218" s="88">
        <v>60</v>
      </c>
      <c r="G218" s="88">
        <v>62</v>
      </c>
      <c r="H218" s="88">
        <v>62</v>
      </c>
      <c r="I218" s="88">
        <v>60</v>
      </c>
      <c r="J218" s="88">
        <v>60</v>
      </c>
      <c r="K218" s="88">
        <v>60</v>
      </c>
      <c r="L218" s="88">
        <v>58</v>
      </c>
    </row>
    <row r="219" spans="1:12" s="78" customFormat="1" ht="11.25">
      <c r="A219" s="219">
        <v>2038</v>
      </c>
      <c r="B219" s="219"/>
      <c r="C219" s="88">
        <v>57</v>
      </c>
      <c r="D219" s="88">
        <v>60</v>
      </c>
      <c r="E219" s="88">
        <v>61</v>
      </c>
      <c r="F219" s="88">
        <v>63</v>
      </c>
      <c r="G219" s="88">
        <v>65</v>
      </c>
      <c r="H219" s="88">
        <v>67</v>
      </c>
      <c r="I219" s="88">
        <v>62</v>
      </c>
      <c r="J219" s="88">
        <v>63</v>
      </c>
      <c r="K219" s="88">
        <v>61</v>
      </c>
      <c r="L219" s="88">
        <v>59</v>
      </c>
    </row>
    <row r="220" spans="1:12" s="78" customFormat="1" ht="11.25">
      <c r="A220" s="219">
        <v>2043</v>
      </c>
      <c r="B220" s="219"/>
      <c r="C220" s="88">
        <v>57</v>
      </c>
      <c r="D220" s="88">
        <v>60</v>
      </c>
      <c r="E220" s="88">
        <v>62</v>
      </c>
      <c r="F220" s="88">
        <v>64</v>
      </c>
      <c r="G220" s="88">
        <v>66</v>
      </c>
      <c r="H220" s="88">
        <v>69</v>
      </c>
      <c r="I220" s="88">
        <v>64</v>
      </c>
      <c r="J220" s="88">
        <v>65</v>
      </c>
      <c r="K220" s="88">
        <v>62</v>
      </c>
      <c r="L220" s="88">
        <v>59</v>
      </c>
    </row>
    <row r="221" spans="1:12" s="78" customFormat="1" ht="11.25">
      <c r="A221" s="219">
        <v>2048</v>
      </c>
      <c r="B221" s="219"/>
      <c r="C221" s="88">
        <v>57</v>
      </c>
      <c r="D221" s="88">
        <v>60</v>
      </c>
      <c r="E221" s="88">
        <v>62</v>
      </c>
      <c r="F221" s="88">
        <v>64</v>
      </c>
      <c r="G221" s="88">
        <v>68</v>
      </c>
      <c r="H221" s="88">
        <v>69</v>
      </c>
      <c r="I221" s="88">
        <v>65</v>
      </c>
      <c r="J221" s="88">
        <v>67</v>
      </c>
      <c r="K221" s="88">
        <v>62</v>
      </c>
      <c r="L221" s="88">
        <v>59</v>
      </c>
    </row>
    <row r="222" spans="1:12" s="78" customFormat="1" ht="11.25">
      <c r="A222" s="219">
        <v>2053</v>
      </c>
      <c r="B222" s="219"/>
      <c r="C222" s="88">
        <v>58</v>
      </c>
      <c r="D222" s="88">
        <v>61</v>
      </c>
      <c r="E222" s="88">
        <v>64</v>
      </c>
      <c r="F222" s="88">
        <v>66</v>
      </c>
      <c r="G222" s="88">
        <v>70</v>
      </c>
      <c r="H222" s="88">
        <v>70</v>
      </c>
      <c r="I222" s="88">
        <v>68</v>
      </c>
      <c r="J222" s="88">
        <v>71</v>
      </c>
      <c r="K222" s="88">
        <v>64</v>
      </c>
      <c r="L222" s="88">
        <v>60</v>
      </c>
    </row>
    <row r="223" spans="1:12" s="78" customFormat="1" ht="11.25">
      <c r="A223" s="219">
        <v>2058</v>
      </c>
      <c r="B223" s="219"/>
      <c r="C223" s="88">
        <v>61</v>
      </c>
      <c r="D223" s="88">
        <v>64</v>
      </c>
      <c r="E223" s="88">
        <v>67</v>
      </c>
      <c r="F223" s="88">
        <v>69</v>
      </c>
      <c r="G223" s="88">
        <v>73</v>
      </c>
      <c r="H223" s="88">
        <v>71</v>
      </c>
      <c r="I223" s="88">
        <v>72</v>
      </c>
      <c r="J223" s="88">
        <v>75</v>
      </c>
      <c r="K223" s="88">
        <v>67</v>
      </c>
      <c r="L223" s="88">
        <v>62</v>
      </c>
    </row>
    <row r="224" spans="1:12" s="78" customFormat="1" ht="11.25">
      <c r="A224" s="219">
        <v>2063</v>
      </c>
      <c r="B224" s="219"/>
      <c r="C224" s="88">
        <v>62</v>
      </c>
      <c r="D224" s="88">
        <v>66</v>
      </c>
      <c r="E224" s="88">
        <v>68</v>
      </c>
      <c r="F224" s="88">
        <v>71</v>
      </c>
      <c r="G224" s="88">
        <v>75</v>
      </c>
      <c r="H224" s="88">
        <v>72</v>
      </c>
      <c r="I224" s="88">
        <v>75</v>
      </c>
      <c r="J224" s="88">
        <v>78</v>
      </c>
      <c r="K224" s="88">
        <v>69</v>
      </c>
      <c r="L224" s="88">
        <v>63</v>
      </c>
    </row>
    <row r="225" spans="1:12" s="78" customFormat="1" ht="11.25">
      <c r="A225" s="219">
        <v>2068</v>
      </c>
      <c r="B225" s="219"/>
      <c r="C225" s="88">
        <v>63</v>
      </c>
      <c r="D225" s="88">
        <v>67</v>
      </c>
      <c r="E225" s="88">
        <v>70</v>
      </c>
      <c r="F225" s="88">
        <v>73</v>
      </c>
      <c r="G225" s="88">
        <v>76</v>
      </c>
      <c r="H225" s="88">
        <v>73</v>
      </c>
      <c r="I225" s="88">
        <v>78</v>
      </c>
      <c r="J225" s="88">
        <v>80</v>
      </c>
      <c r="K225" s="88">
        <v>69</v>
      </c>
      <c r="L225" s="88">
        <v>65</v>
      </c>
    </row>
    <row r="226" spans="1:12" s="78" customFormat="1" ht="11.25">
      <c r="A226" s="219">
        <v>2073</v>
      </c>
      <c r="B226" s="219"/>
      <c r="C226" s="88">
        <v>65</v>
      </c>
      <c r="D226" s="88">
        <v>69</v>
      </c>
      <c r="E226" s="88">
        <v>72</v>
      </c>
      <c r="F226" s="88">
        <v>75</v>
      </c>
      <c r="G226" s="88">
        <v>79</v>
      </c>
      <c r="H226" s="88">
        <v>74</v>
      </c>
      <c r="I226" s="88">
        <v>81</v>
      </c>
      <c r="J226" s="88">
        <v>82</v>
      </c>
      <c r="K226" s="88">
        <v>72</v>
      </c>
      <c r="L226" s="88">
        <v>67</v>
      </c>
    </row>
    <row r="227" spans="1:12" s="78" customFormat="1" ht="11.25">
      <c r="A227" s="228" t="s">
        <v>367</v>
      </c>
      <c r="B227" s="228"/>
      <c r="C227" s="220"/>
      <c r="D227" s="220"/>
      <c r="E227" s="220"/>
      <c r="F227" s="220"/>
      <c r="G227" s="220"/>
      <c r="H227" s="220"/>
      <c r="I227" s="220"/>
      <c r="J227" s="220"/>
      <c r="K227" s="220"/>
      <c r="L227" s="220"/>
    </row>
    <row r="228" spans="1:12" s="78" customFormat="1" ht="11.25">
      <c r="A228" s="219">
        <v>2023</v>
      </c>
      <c r="B228" s="219"/>
      <c r="C228" s="88">
        <v>57</v>
      </c>
      <c r="D228" s="88">
        <v>59</v>
      </c>
      <c r="E228" s="88">
        <v>60</v>
      </c>
      <c r="F228" s="88">
        <v>61</v>
      </c>
      <c r="G228" s="88">
        <v>63</v>
      </c>
      <c r="H228" s="88">
        <v>62</v>
      </c>
      <c r="I228" s="88">
        <v>60</v>
      </c>
      <c r="J228" s="88">
        <v>60</v>
      </c>
      <c r="K228" s="88">
        <v>60</v>
      </c>
      <c r="L228" s="88">
        <v>60</v>
      </c>
    </row>
    <row r="229" spans="1:12" s="78" customFormat="1" ht="11.25">
      <c r="A229" s="219">
        <v>2028</v>
      </c>
      <c r="B229" s="219"/>
      <c r="C229" s="88">
        <v>51</v>
      </c>
      <c r="D229" s="88">
        <v>56</v>
      </c>
      <c r="E229" s="88">
        <v>59</v>
      </c>
      <c r="F229" s="88">
        <v>63</v>
      </c>
      <c r="G229" s="88">
        <v>68</v>
      </c>
      <c r="H229" s="88">
        <v>71</v>
      </c>
      <c r="I229" s="88">
        <v>59</v>
      </c>
      <c r="J229" s="88">
        <v>57</v>
      </c>
      <c r="K229" s="88">
        <v>60</v>
      </c>
      <c r="L229" s="88">
        <v>62</v>
      </c>
    </row>
    <row r="230" spans="1:12" s="78" customFormat="1" ht="11.25">
      <c r="A230" s="219">
        <v>2033</v>
      </c>
      <c r="B230" s="219"/>
      <c r="C230" s="88">
        <v>48</v>
      </c>
      <c r="D230" s="88">
        <v>54</v>
      </c>
      <c r="E230" s="88">
        <v>59</v>
      </c>
      <c r="F230" s="88">
        <v>64</v>
      </c>
      <c r="G230" s="88">
        <v>71</v>
      </c>
      <c r="H230" s="88">
        <v>78</v>
      </c>
      <c r="I230" s="88">
        <v>59</v>
      </c>
      <c r="J230" s="88">
        <v>54</v>
      </c>
      <c r="K230" s="88">
        <v>58</v>
      </c>
      <c r="L230" s="88">
        <v>64</v>
      </c>
    </row>
    <row r="231" spans="1:12" s="78" customFormat="1" ht="11.25">
      <c r="A231" s="219">
        <v>2038</v>
      </c>
      <c r="B231" s="219"/>
      <c r="C231" s="88">
        <v>46</v>
      </c>
      <c r="D231" s="88">
        <v>54</v>
      </c>
      <c r="E231" s="88">
        <v>60</v>
      </c>
      <c r="F231" s="88">
        <v>66</v>
      </c>
      <c r="G231" s="88">
        <v>75</v>
      </c>
      <c r="H231" s="88">
        <v>83</v>
      </c>
      <c r="I231" s="88">
        <v>60</v>
      </c>
      <c r="J231" s="88">
        <v>52</v>
      </c>
      <c r="K231" s="88">
        <v>60</v>
      </c>
      <c r="L231" s="88">
        <v>67</v>
      </c>
    </row>
    <row r="232" spans="1:12" s="78" customFormat="1" ht="11.25">
      <c r="A232" s="219">
        <v>2043</v>
      </c>
      <c r="B232" s="219"/>
      <c r="C232" s="88">
        <v>45</v>
      </c>
      <c r="D232" s="88">
        <v>54</v>
      </c>
      <c r="E232" s="88">
        <v>61</v>
      </c>
      <c r="F232" s="88">
        <v>68</v>
      </c>
      <c r="G232" s="88">
        <v>79</v>
      </c>
      <c r="H232" s="88">
        <v>86</v>
      </c>
      <c r="I232" s="88">
        <v>61</v>
      </c>
      <c r="J232" s="88">
        <v>52</v>
      </c>
      <c r="K232" s="88">
        <v>60</v>
      </c>
      <c r="L232" s="88">
        <v>70</v>
      </c>
    </row>
    <row r="233" spans="1:12" s="78" customFormat="1" ht="11.25">
      <c r="A233" s="219">
        <v>2048</v>
      </c>
      <c r="B233" s="219"/>
      <c r="C233" s="88">
        <v>43</v>
      </c>
      <c r="D233" s="88">
        <v>54</v>
      </c>
      <c r="E233" s="88">
        <v>61</v>
      </c>
      <c r="F233" s="88">
        <v>69</v>
      </c>
      <c r="G233" s="88">
        <v>81</v>
      </c>
      <c r="H233" s="88">
        <v>87</v>
      </c>
      <c r="I233" s="88">
        <v>62</v>
      </c>
      <c r="J233" s="88">
        <v>51</v>
      </c>
      <c r="K233" s="88">
        <v>62</v>
      </c>
      <c r="L233" s="88">
        <v>71</v>
      </c>
    </row>
    <row r="234" spans="1:12" s="78" customFormat="1" ht="11.25">
      <c r="A234" s="219">
        <v>2053</v>
      </c>
      <c r="B234" s="219"/>
      <c r="C234" s="88">
        <v>41</v>
      </c>
      <c r="D234" s="88">
        <v>53</v>
      </c>
      <c r="E234" s="88">
        <v>61</v>
      </c>
      <c r="F234" s="88">
        <v>69</v>
      </c>
      <c r="G234" s="88">
        <v>83</v>
      </c>
      <c r="H234" s="88">
        <v>89</v>
      </c>
      <c r="I234" s="88">
        <v>61</v>
      </c>
      <c r="J234" s="88">
        <v>48</v>
      </c>
      <c r="K234" s="88">
        <v>59</v>
      </c>
      <c r="L234" s="88">
        <v>71</v>
      </c>
    </row>
    <row r="235" spans="1:12" s="78" customFormat="1" ht="11.25">
      <c r="A235" s="219">
        <v>2058</v>
      </c>
      <c r="B235" s="219"/>
      <c r="C235" s="88">
        <v>38</v>
      </c>
      <c r="D235" s="88">
        <v>51</v>
      </c>
      <c r="E235" s="88">
        <v>60</v>
      </c>
      <c r="F235" s="88">
        <v>70</v>
      </c>
      <c r="G235" s="88">
        <v>85</v>
      </c>
      <c r="H235" s="88">
        <v>94</v>
      </c>
      <c r="I235" s="88">
        <v>60</v>
      </c>
      <c r="J235" s="88">
        <v>46</v>
      </c>
      <c r="K235" s="88">
        <v>60</v>
      </c>
      <c r="L235" s="88">
        <v>73</v>
      </c>
    </row>
    <row r="236" spans="1:12" s="78" customFormat="1" ht="11.25">
      <c r="A236" s="219">
        <v>2063</v>
      </c>
      <c r="B236" s="219"/>
      <c r="C236" s="88">
        <v>35</v>
      </c>
      <c r="D236" s="88">
        <v>49</v>
      </c>
      <c r="E236" s="88">
        <v>60</v>
      </c>
      <c r="F236" s="88">
        <v>71</v>
      </c>
      <c r="G236" s="88">
        <v>90</v>
      </c>
      <c r="H236" s="88">
        <v>100</v>
      </c>
      <c r="I236" s="88">
        <v>60</v>
      </c>
      <c r="J236" s="88">
        <v>44</v>
      </c>
      <c r="K236" s="88">
        <v>59</v>
      </c>
      <c r="L236" s="88">
        <v>74</v>
      </c>
    </row>
    <row r="237" spans="1:12" s="78" customFormat="1" ht="11.25">
      <c r="A237" s="219">
        <v>2068</v>
      </c>
      <c r="B237" s="219"/>
      <c r="C237" s="88">
        <v>32</v>
      </c>
      <c r="D237" s="88">
        <v>48</v>
      </c>
      <c r="E237" s="88">
        <v>60</v>
      </c>
      <c r="F237" s="88">
        <v>73</v>
      </c>
      <c r="G237" s="88">
        <v>94</v>
      </c>
      <c r="H237" s="88">
        <v>106</v>
      </c>
      <c r="I237" s="88">
        <v>60</v>
      </c>
      <c r="J237" s="88">
        <v>42</v>
      </c>
      <c r="K237" s="88">
        <v>60</v>
      </c>
      <c r="L237" s="88">
        <v>76</v>
      </c>
    </row>
    <row r="238" spans="1:12" s="78" customFormat="1" ht="11.25">
      <c r="A238" s="219">
        <v>2073</v>
      </c>
      <c r="B238" s="219"/>
      <c r="C238" s="88">
        <v>30</v>
      </c>
      <c r="D238" s="88">
        <v>48</v>
      </c>
      <c r="E238" s="88">
        <v>61</v>
      </c>
      <c r="F238" s="88">
        <v>74</v>
      </c>
      <c r="G238" s="88">
        <v>99</v>
      </c>
      <c r="H238" s="88">
        <v>111</v>
      </c>
      <c r="I238" s="88">
        <v>61</v>
      </c>
      <c r="J238" s="88">
        <v>41</v>
      </c>
      <c r="K238" s="88">
        <v>60</v>
      </c>
      <c r="L238" s="88">
        <v>78</v>
      </c>
    </row>
    <row r="239" spans="1:12" s="78" customFormat="1" ht="11.25">
      <c r="A239" s="220" t="s">
        <v>368</v>
      </c>
      <c r="B239" s="220"/>
      <c r="C239" s="220"/>
      <c r="D239" s="220"/>
      <c r="E239" s="220"/>
      <c r="F239" s="220"/>
      <c r="G239" s="220"/>
      <c r="H239" s="220"/>
      <c r="I239" s="220"/>
      <c r="J239" s="220"/>
      <c r="K239" s="220"/>
      <c r="L239" s="220"/>
    </row>
    <row r="240" spans="1:12" s="78" customFormat="1" ht="11.25">
      <c r="A240" s="219">
        <v>2023</v>
      </c>
      <c r="B240" s="219"/>
      <c r="C240" s="88">
        <v>35</v>
      </c>
      <c r="D240" s="88">
        <v>36</v>
      </c>
      <c r="E240" s="88">
        <v>36</v>
      </c>
      <c r="F240" s="88">
        <v>37</v>
      </c>
      <c r="G240" s="88">
        <v>38</v>
      </c>
      <c r="H240" s="88">
        <v>36</v>
      </c>
      <c r="I240" s="88">
        <v>36</v>
      </c>
      <c r="J240" s="88">
        <v>36</v>
      </c>
      <c r="K240" s="88">
        <v>36</v>
      </c>
      <c r="L240" s="88">
        <v>36</v>
      </c>
    </row>
    <row r="241" spans="1:12" s="78" customFormat="1" ht="11.25">
      <c r="A241" s="219">
        <v>2028</v>
      </c>
      <c r="B241" s="219"/>
      <c r="C241" s="88">
        <v>38</v>
      </c>
      <c r="D241" s="88">
        <v>39</v>
      </c>
      <c r="E241" s="88">
        <v>40</v>
      </c>
      <c r="F241" s="88">
        <v>40</v>
      </c>
      <c r="G241" s="88">
        <v>42</v>
      </c>
      <c r="H241" s="88">
        <v>40</v>
      </c>
      <c r="I241" s="88">
        <v>37</v>
      </c>
      <c r="J241" s="88">
        <v>40</v>
      </c>
      <c r="K241" s="88">
        <v>40</v>
      </c>
      <c r="L241" s="88">
        <v>40</v>
      </c>
    </row>
    <row r="242" spans="1:12" s="78" customFormat="1" ht="11.25">
      <c r="A242" s="219">
        <v>2033</v>
      </c>
      <c r="B242" s="219"/>
      <c r="C242" s="88">
        <v>42</v>
      </c>
      <c r="D242" s="88">
        <v>43</v>
      </c>
      <c r="E242" s="88">
        <v>44</v>
      </c>
      <c r="F242" s="88">
        <v>45</v>
      </c>
      <c r="G242" s="88">
        <v>47</v>
      </c>
      <c r="H242" s="88">
        <v>44</v>
      </c>
      <c r="I242" s="88">
        <v>40</v>
      </c>
      <c r="J242" s="88">
        <v>44</v>
      </c>
      <c r="K242" s="88">
        <v>44</v>
      </c>
      <c r="L242" s="88">
        <v>45</v>
      </c>
    </row>
    <row r="243" spans="1:12" s="78" customFormat="1" ht="11.25">
      <c r="A243" s="219">
        <v>2038</v>
      </c>
      <c r="B243" s="219"/>
      <c r="C243" s="88">
        <v>46</v>
      </c>
      <c r="D243" s="88">
        <v>48</v>
      </c>
      <c r="E243" s="88">
        <v>49</v>
      </c>
      <c r="F243" s="88">
        <v>50</v>
      </c>
      <c r="G243" s="88">
        <v>53</v>
      </c>
      <c r="H243" s="88">
        <v>49</v>
      </c>
      <c r="I243" s="88">
        <v>43</v>
      </c>
      <c r="J243" s="88">
        <v>48</v>
      </c>
      <c r="K243" s="88">
        <v>49</v>
      </c>
      <c r="L243" s="88">
        <v>50</v>
      </c>
    </row>
    <row r="244" spans="1:12" s="78" customFormat="1" ht="11.25">
      <c r="A244" s="219">
        <v>2043</v>
      </c>
      <c r="B244" s="219"/>
      <c r="C244" s="88">
        <v>50</v>
      </c>
      <c r="D244" s="88">
        <v>52</v>
      </c>
      <c r="E244" s="88">
        <v>54</v>
      </c>
      <c r="F244" s="88">
        <v>55</v>
      </c>
      <c r="G244" s="88">
        <v>58</v>
      </c>
      <c r="H244" s="88">
        <v>54</v>
      </c>
      <c r="I244" s="88">
        <v>45</v>
      </c>
      <c r="J244" s="88">
        <v>53</v>
      </c>
      <c r="K244" s="88">
        <v>53</v>
      </c>
      <c r="L244" s="88">
        <v>55</v>
      </c>
    </row>
    <row r="245" spans="1:12" s="78" customFormat="1" ht="11.25">
      <c r="A245" s="219">
        <v>2048</v>
      </c>
      <c r="B245" s="219"/>
      <c r="C245" s="88">
        <v>53</v>
      </c>
      <c r="D245" s="88">
        <v>56</v>
      </c>
      <c r="E245" s="88">
        <v>58</v>
      </c>
      <c r="F245" s="88">
        <v>59</v>
      </c>
      <c r="G245" s="88">
        <v>62</v>
      </c>
      <c r="H245" s="88">
        <v>58</v>
      </c>
      <c r="I245" s="88">
        <v>48</v>
      </c>
      <c r="J245" s="88">
        <v>56</v>
      </c>
      <c r="K245" s="88">
        <v>57</v>
      </c>
      <c r="L245" s="88">
        <v>59</v>
      </c>
    </row>
    <row r="246" spans="1:12" s="78" customFormat="1" ht="11.25">
      <c r="A246" s="219">
        <v>2053</v>
      </c>
      <c r="B246" s="219"/>
      <c r="C246" s="88">
        <v>56</v>
      </c>
      <c r="D246" s="88">
        <v>59</v>
      </c>
      <c r="E246" s="88">
        <v>61</v>
      </c>
      <c r="F246" s="88">
        <v>63</v>
      </c>
      <c r="G246" s="88">
        <v>65</v>
      </c>
      <c r="H246" s="88">
        <v>61</v>
      </c>
      <c r="I246" s="88">
        <v>50</v>
      </c>
      <c r="J246" s="88">
        <v>59</v>
      </c>
      <c r="K246" s="88">
        <v>60</v>
      </c>
      <c r="L246" s="88">
        <v>63</v>
      </c>
    </row>
    <row r="247" spans="1:12" s="78" customFormat="1" ht="11.25">
      <c r="A247" s="219">
        <v>2058</v>
      </c>
      <c r="B247" s="219"/>
      <c r="C247" s="88">
        <v>58</v>
      </c>
      <c r="D247" s="88">
        <v>60</v>
      </c>
      <c r="E247" s="88">
        <v>63</v>
      </c>
      <c r="F247" s="88">
        <v>65</v>
      </c>
      <c r="G247" s="88">
        <v>68</v>
      </c>
      <c r="H247" s="88">
        <v>63</v>
      </c>
      <c r="I247" s="88">
        <v>51</v>
      </c>
      <c r="J247" s="88">
        <v>60</v>
      </c>
      <c r="K247" s="88">
        <v>62</v>
      </c>
      <c r="L247" s="88">
        <v>65</v>
      </c>
    </row>
    <row r="248" spans="1:12" s="78" customFormat="1" ht="11.25">
      <c r="A248" s="219">
        <v>2063</v>
      </c>
      <c r="B248" s="219"/>
      <c r="C248" s="88">
        <v>58</v>
      </c>
      <c r="D248" s="88">
        <v>61</v>
      </c>
      <c r="E248" s="88">
        <v>63</v>
      </c>
      <c r="F248" s="88">
        <v>66</v>
      </c>
      <c r="G248" s="88">
        <v>69</v>
      </c>
      <c r="H248" s="88">
        <v>64</v>
      </c>
      <c r="I248" s="88">
        <v>52</v>
      </c>
      <c r="J248" s="88">
        <v>60</v>
      </c>
      <c r="K248" s="88">
        <v>63</v>
      </c>
      <c r="L248" s="88">
        <v>67</v>
      </c>
    </row>
    <row r="249" spans="1:12" s="78" customFormat="1" ht="11.25">
      <c r="A249" s="219">
        <v>2068</v>
      </c>
      <c r="B249" s="219"/>
      <c r="C249" s="88">
        <v>58</v>
      </c>
      <c r="D249" s="88">
        <v>61</v>
      </c>
      <c r="E249" s="88">
        <v>64</v>
      </c>
      <c r="F249" s="88">
        <v>66</v>
      </c>
      <c r="G249" s="88">
        <v>70</v>
      </c>
      <c r="H249" s="88">
        <v>64</v>
      </c>
      <c r="I249" s="88">
        <v>52</v>
      </c>
      <c r="J249" s="88">
        <v>60</v>
      </c>
      <c r="K249" s="88">
        <v>64</v>
      </c>
      <c r="L249" s="88">
        <v>69</v>
      </c>
    </row>
    <row r="250" spans="1:12" s="78" customFormat="1" ht="11.25">
      <c r="A250" s="219">
        <v>2073</v>
      </c>
      <c r="B250" s="219"/>
      <c r="C250" s="88">
        <v>59</v>
      </c>
      <c r="D250" s="88">
        <v>63</v>
      </c>
      <c r="E250" s="88">
        <v>66</v>
      </c>
      <c r="F250" s="88">
        <v>69</v>
      </c>
      <c r="G250" s="88">
        <v>74</v>
      </c>
      <c r="H250" s="88">
        <v>67</v>
      </c>
      <c r="I250" s="88">
        <v>52</v>
      </c>
      <c r="J250" s="88">
        <v>61</v>
      </c>
      <c r="K250" s="88">
        <v>66</v>
      </c>
      <c r="L250" s="88">
        <v>72</v>
      </c>
    </row>
    <row r="251" spans="1:12" s="78" customFormat="1" ht="11.25">
      <c r="A251" s="220" t="s">
        <v>369</v>
      </c>
      <c r="B251" s="220"/>
      <c r="C251" s="220"/>
      <c r="D251" s="220"/>
      <c r="E251" s="220"/>
      <c r="F251" s="220"/>
      <c r="G251" s="220"/>
      <c r="H251" s="220"/>
      <c r="I251" s="220"/>
      <c r="J251" s="220"/>
      <c r="K251" s="220"/>
      <c r="L251" s="220"/>
    </row>
    <row r="252" spans="1:12" s="78" customFormat="1" ht="11.25">
      <c r="A252" s="219">
        <v>2023</v>
      </c>
      <c r="B252" s="219"/>
      <c r="C252" s="88">
        <v>20</v>
      </c>
      <c r="D252" s="88">
        <v>22</v>
      </c>
      <c r="E252" s="88">
        <v>24</v>
      </c>
      <c r="F252" s="88">
        <v>25</v>
      </c>
      <c r="G252" s="88">
        <v>27</v>
      </c>
      <c r="H252" s="88">
        <v>26</v>
      </c>
      <c r="I252" s="88">
        <v>24</v>
      </c>
      <c r="J252" s="88">
        <v>23</v>
      </c>
      <c r="K252" s="88">
        <v>24</v>
      </c>
      <c r="L252" s="88">
        <v>24</v>
      </c>
    </row>
    <row r="253" spans="1:12" s="78" customFormat="1" ht="11.25">
      <c r="A253" s="219">
        <v>2028</v>
      </c>
      <c r="B253" s="219"/>
      <c r="C253" s="88">
        <v>11</v>
      </c>
      <c r="D253" s="88">
        <v>16</v>
      </c>
      <c r="E253" s="88">
        <v>20</v>
      </c>
      <c r="F253" s="88">
        <v>23</v>
      </c>
      <c r="G253" s="88">
        <v>28</v>
      </c>
      <c r="H253" s="88">
        <v>31</v>
      </c>
      <c r="I253" s="88">
        <v>22</v>
      </c>
      <c r="J253" s="88">
        <v>17</v>
      </c>
      <c r="K253" s="88">
        <v>20</v>
      </c>
      <c r="L253" s="88">
        <v>22</v>
      </c>
    </row>
    <row r="254" spans="1:12" s="78" customFormat="1" ht="11.25">
      <c r="A254" s="219">
        <v>2033</v>
      </c>
      <c r="B254" s="219"/>
      <c r="C254" s="88">
        <v>4</v>
      </c>
      <c r="D254" s="88">
        <v>10</v>
      </c>
      <c r="E254" s="88">
        <v>15</v>
      </c>
      <c r="F254" s="88">
        <v>20</v>
      </c>
      <c r="G254" s="88">
        <v>27</v>
      </c>
      <c r="H254" s="88">
        <v>33</v>
      </c>
      <c r="I254" s="88">
        <v>20</v>
      </c>
      <c r="J254" s="88">
        <v>10</v>
      </c>
      <c r="K254" s="88">
        <v>14</v>
      </c>
      <c r="L254" s="88">
        <v>19</v>
      </c>
    </row>
    <row r="255" spans="1:12" s="78" customFormat="1" ht="11.25">
      <c r="A255" s="219">
        <v>2038</v>
      </c>
      <c r="B255" s="219"/>
      <c r="C255" s="88">
        <v>-3</v>
      </c>
      <c r="D255" s="88">
        <v>5</v>
      </c>
      <c r="E255" s="88">
        <v>11</v>
      </c>
      <c r="F255" s="88">
        <v>17</v>
      </c>
      <c r="G255" s="88">
        <v>25</v>
      </c>
      <c r="H255" s="88">
        <v>34</v>
      </c>
      <c r="I255" s="88">
        <v>18</v>
      </c>
      <c r="J255" s="88">
        <v>4</v>
      </c>
      <c r="K255" s="88">
        <v>11</v>
      </c>
      <c r="L255" s="88">
        <v>17</v>
      </c>
    </row>
    <row r="256" spans="1:12" s="78" customFormat="1" ht="11.25">
      <c r="A256" s="219">
        <v>2043</v>
      </c>
      <c r="B256" s="219"/>
      <c r="C256" s="88">
        <v>-9</v>
      </c>
      <c r="D256" s="88">
        <v>1</v>
      </c>
      <c r="E256" s="88">
        <v>8</v>
      </c>
      <c r="F256" s="88">
        <v>15</v>
      </c>
      <c r="G256" s="88">
        <v>25</v>
      </c>
      <c r="H256" s="88">
        <v>32</v>
      </c>
      <c r="I256" s="88">
        <v>16</v>
      </c>
      <c r="J256" s="88">
        <v>-1</v>
      </c>
      <c r="K256" s="88">
        <v>7</v>
      </c>
      <c r="L256" s="88">
        <v>15</v>
      </c>
    </row>
    <row r="257" spans="1:12" s="78" customFormat="1" ht="11.25">
      <c r="A257" s="219">
        <v>2048</v>
      </c>
      <c r="B257" s="219"/>
      <c r="C257" s="88">
        <v>-14</v>
      </c>
      <c r="D257" s="88">
        <v>-4</v>
      </c>
      <c r="E257" s="88">
        <v>4</v>
      </c>
      <c r="F257" s="88">
        <v>12</v>
      </c>
      <c r="G257" s="88">
        <v>24</v>
      </c>
      <c r="H257" s="88">
        <v>29</v>
      </c>
      <c r="I257" s="88">
        <v>13</v>
      </c>
      <c r="J257" s="88">
        <v>-6</v>
      </c>
      <c r="K257" s="88">
        <v>4</v>
      </c>
      <c r="L257" s="88">
        <v>12</v>
      </c>
    </row>
    <row r="258" spans="1:12" s="78" customFormat="1" ht="11.25">
      <c r="A258" s="219">
        <v>2053</v>
      </c>
      <c r="B258" s="219"/>
      <c r="C258" s="88">
        <v>-20</v>
      </c>
      <c r="D258" s="88">
        <v>-8</v>
      </c>
      <c r="E258" s="88">
        <v>0</v>
      </c>
      <c r="F258" s="88">
        <v>9</v>
      </c>
      <c r="G258" s="88">
        <v>23</v>
      </c>
      <c r="H258" s="88">
        <v>28</v>
      </c>
      <c r="I258" s="88">
        <v>11</v>
      </c>
      <c r="J258" s="88">
        <v>-10</v>
      </c>
      <c r="K258" s="88">
        <v>-1</v>
      </c>
      <c r="L258" s="88">
        <v>9</v>
      </c>
    </row>
    <row r="259" spans="1:12" s="78" customFormat="1" ht="11.25">
      <c r="A259" s="219">
        <v>2058</v>
      </c>
      <c r="B259" s="219"/>
      <c r="C259" s="88">
        <v>-24</v>
      </c>
      <c r="D259" s="88">
        <v>-12</v>
      </c>
      <c r="E259" s="88">
        <v>-3</v>
      </c>
      <c r="F259" s="88">
        <v>7</v>
      </c>
      <c r="G259" s="88">
        <v>23</v>
      </c>
      <c r="H259" s="88">
        <v>31</v>
      </c>
      <c r="I259" s="88">
        <v>9</v>
      </c>
      <c r="J259" s="88">
        <v>-14</v>
      </c>
      <c r="K259" s="88">
        <v>-2</v>
      </c>
      <c r="L259" s="88">
        <v>7</v>
      </c>
    </row>
    <row r="260" spans="1:12" s="78" customFormat="1" ht="11.25">
      <c r="A260" s="219">
        <v>2063</v>
      </c>
      <c r="B260" s="219"/>
      <c r="C260" s="88">
        <v>-28</v>
      </c>
      <c r="D260" s="88">
        <v>-14</v>
      </c>
      <c r="E260" s="88">
        <v>-3</v>
      </c>
      <c r="F260" s="88">
        <v>7</v>
      </c>
      <c r="G260" s="88">
        <v>27</v>
      </c>
      <c r="H260" s="88">
        <v>37</v>
      </c>
      <c r="I260" s="88">
        <v>8</v>
      </c>
      <c r="J260" s="88">
        <v>-16</v>
      </c>
      <c r="K260" s="88">
        <v>-4</v>
      </c>
      <c r="L260" s="88">
        <v>7</v>
      </c>
    </row>
    <row r="261" spans="1:12" s="78" customFormat="1" ht="11.25">
      <c r="A261" s="219">
        <v>2068</v>
      </c>
      <c r="B261" s="219"/>
      <c r="C261" s="88">
        <v>-32</v>
      </c>
      <c r="D261" s="88">
        <v>-16</v>
      </c>
      <c r="E261" s="88">
        <v>-4</v>
      </c>
      <c r="F261" s="88">
        <v>9</v>
      </c>
      <c r="G261" s="88">
        <v>30</v>
      </c>
      <c r="H261" s="88">
        <v>42</v>
      </c>
      <c r="I261" s="88">
        <v>8</v>
      </c>
      <c r="J261" s="88">
        <v>-18</v>
      </c>
      <c r="K261" s="88">
        <v>-3</v>
      </c>
      <c r="L261" s="88">
        <v>8</v>
      </c>
    </row>
    <row r="262" spans="1:12" s="78" customFormat="1" ht="11.25">
      <c r="A262" s="219">
        <v>2073</v>
      </c>
      <c r="B262" s="219"/>
      <c r="C262" s="88">
        <v>-36</v>
      </c>
      <c r="D262" s="88">
        <v>-18</v>
      </c>
      <c r="E262" s="88">
        <v>-5</v>
      </c>
      <c r="F262" s="88">
        <v>8</v>
      </c>
      <c r="G262" s="88">
        <v>32</v>
      </c>
      <c r="H262" s="88">
        <v>44</v>
      </c>
      <c r="I262" s="88">
        <v>8</v>
      </c>
      <c r="J262" s="88">
        <v>-20</v>
      </c>
      <c r="K262" s="88">
        <v>-6</v>
      </c>
      <c r="L262" s="88">
        <v>6</v>
      </c>
    </row>
    <row r="263" spans="1:12" s="78" customFormat="1" ht="11.25">
      <c r="A263" s="220" t="s">
        <v>370</v>
      </c>
      <c r="B263" s="220"/>
      <c r="C263" s="220"/>
      <c r="D263" s="220"/>
      <c r="E263" s="220"/>
      <c r="F263" s="220"/>
      <c r="G263" s="220"/>
      <c r="H263" s="220"/>
      <c r="I263" s="220"/>
      <c r="J263" s="220"/>
      <c r="K263" s="220"/>
      <c r="L263" s="220"/>
    </row>
    <row r="264" spans="1:12" s="78" customFormat="1" ht="11.25">
      <c r="A264" s="219">
        <v>2023</v>
      </c>
      <c r="B264" s="219"/>
      <c r="C264" s="97">
        <v>-36.200000000000003</v>
      </c>
      <c r="D264" s="97">
        <v>-16</v>
      </c>
      <c r="E264" s="97">
        <v>-2</v>
      </c>
      <c r="F264" s="97">
        <v>12</v>
      </c>
      <c r="G264" s="97">
        <v>32.200000000000003</v>
      </c>
      <c r="H264" s="97">
        <v>-2</v>
      </c>
      <c r="I264" s="97">
        <v>-2</v>
      </c>
      <c r="J264" s="97">
        <v>0</v>
      </c>
      <c r="K264" s="97">
        <v>-2</v>
      </c>
      <c r="L264" s="97">
        <v>5</v>
      </c>
    </row>
    <row r="265" spans="1:12" s="78" customFormat="1" ht="11.25">
      <c r="A265" s="219">
        <v>2028</v>
      </c>
      <c r="B265" s="219"/>
      <c r="C265" s="97">
        <v>-20.3</v>
      </c>
      <c r="D265" s="97">
        <v>6.4</v>
      </c>
      <c r="E265" s="97">
        <v>25</v>
      </c>
      <c r="F265" s="97">
        <v>43.6</v>
      </c>
      <c r="G265" s="97">
        <v>70.3</v>
      </c>
      <c r="H265" s="97">
        <v>25</v>
      </c>
      <c r="I265" s="97">
        <v>25</v>
      </c>
      <c r="J265" s="97">
        <v>0</v>
      </c>
      <c r="K265" s="97">
        <v>20</v>
      </c>
      <c r="L265" s="97">
        <v>50</v>
      </c>
    </row>
    <row r="266" spans="1:12" s="78" customFormat="1" ht="11.25">
      <c r="A266" s="219">
        <v>2033</v>
      </c>
      <c r="B266" s="219"/>
      <c r="C266" s="97">
        <v>-20.3</v>
      </c>
      <c r="D266" s="97">
        <v>6.4</v>
      </c>
      <c r="E266" s="97">
        <v>25</v>
      </c>
      <c r="F266" s="97">
        <v>43.6</v>
      </c>
      <c r="G266" s="97">
        <v>70.3</v>
      </c>
      <c r="H266" s="97">
        <v>25</v>
      </c>
      <c r="I266" s="97">
        <v>25</v>
      </c>
      <c r="J266" s="97">
        <v>0</v>
      </c>
      <c r="K266" s="97">
        <v>30</v>
      </c>
      <c r="L266" s="97">
        <v>50</v>
      </c>
    </row>
    <row r="267" spans="1:12" s="78" customFormat="1" ht="11.25">
      <c r="A267" s="219">
        <v>2038</v>
      </c>
      <c r="B267" s="219"/>
      <c r="C267" s="97">
        <v>-20.3</v>
      </c>
      <c r="D267" s="97">
        <v>6.4</v>
      </c>
      <c r="E267" s="97">
        <v>25</v>
      </c>
      <c r="F267" s="97">
        <v>43.6</v>
      </c>
      <c r="G267" s="97">
        <v>70.3</v>
      </c>
      <c r="H267" s="97">
        <v>25</v>
      </c>
      <c r="I267" s="97">
        <v>25</v>
      </c>
      <c r="J267" s="97">
        <v>0</v>
      </c>
      <c r="K267" s="97">
        <v>20</v>
      </c>
      <c r="L267" s="97">
        <v>50</v>
      </c>
    </row>
    <row r="268" spans="1:12" s="78" customFormat="1" ht="11.25">
      <c r="A268" s="219">
        <v>2043</v>
      </c>
      <c r="B268" s="219"/>
      <c r="C268" s="97">
        <v>-20.3</v>
      </c>
      <c r="D268" s="97">
        <v>6.4</v>
      </c>
      <c r="E268" s="97">
        <v>25</v>
      </c>
      <c r="F268" s="97">
        <v>43.6</v>
      </c>
      <c r="G268" s="97">
        <v>70.3</v>
      </c>
      <c r="H268" s="97">
        <v>25</v>
      </c>
      <c r="I268" s="97">
        <v>25</v>
      </c>
      <c r="J268" s="97">
        <v>0</v>
      </c>
      <c r="K268" s="97">
        <v>30</v>
      </c>
      <c r="L268" s="97">
        <v>50</v>
      </c>
    </row>
    <row r="269" spans="1:12" s="78" customFormat="1" ht="11.25">
      <c r="A269" s="219">
        <v>2048</v>
      </c>
      <c r="B269" s="219"/>
      <c r="C269" s="97">
        <v>-20.3</v>
      </c>
      <c r="D269" s="97">
        <v>6.4</v>
      </c>
      <c r="E269" s="97">
        <v>25</v>
      </c>
      <c r="F269" s="97">
        <v>43.6</v>
      </c>
      <c r="G269" s="97">
        <v>70.3</v>
      </c>
      <c r="H269" s="97">
        <v>25</v>
      </c>
      <c r="I269" s="97">
        <v>25</v>
      </c>
      <c r="J269" s="97">
        <v>0</v>
      </c>
      <c r="K269" s="97">
        <v>20</v>
      </c>
      <c r="L269" s="97">
        <v>50</v>
      </c>
    </row>
    <row r="270" spans="1:12" s="78" customFormat="1" ht="11.25">
      <c r="A270" s="219">
        <v>2053</v>
      </c>
      <c r="B270" s="219"/>
      <c r="C270" s="97">
        <v>-20.3</v>
      </c>
      <c r="D270" s="97">
        <v>6.4</v>
      </c>
      <c r="E270" s="97">
        <v>25</v>
      </c>
      <c r="F270" s="97">
        <v>43.6</v>
      </c>
      <c r="G270" s="97">
        <v>70.3</v>
      </c>
      <c r="H270" s="97">
        <v>25</v>
      </c>
      <c r="I270" s="97">
        <v>25</v>
      </c>
      <c r="J270" s="97">
        <v>0</v>
      </c>
      <c r="K270" s="97">
        <v>30</v>
      </c>
      <c r="L270" s="97">
        <v>50</v>
      </c>
    </row>
    <row r="271" spans="1:12" s="78" customFormat="1" ht="11.25">
      <c r="A271" s="219">
        <v>2058</v>
      </c>
      <c r="B271" s="219"/>
      <c r="C271" s="97">
        <v>-20.3</v>
      </c>
      <c r="D271" s="97">
        <v>6.4</v>
      </c>
      <c r="E271" s="97">
        <v>25</v>
      </c>
      <c r="F271" s="97">
        <v>43.6</v>
      </c>
      <c r="G271" s="97">
        <v>70.3</v>
      </c>
      <c r="H271" s="97">
        <v>25</v>
      </c>
      <c r="I271" s="97">
        <v>25</v>
      </c>
      <c r="J271" s="97">
        <v>0</v>
      </c>
      <c r="K271" s="97">
        <v>20</v>
      </c>
      <c r="L271" s="97">
        <v>50</v>
      </c>
    </row>
    <row r="272" spans="1:12" s="78" customFormat="1" ht="11.25">
      <c r="A272" s="219">
        <v>2063</v>
      </c>
      <c r="B272" s="219"/>
      <c r="C272" s="97">
        <v>-20.3</v>
      </c>
      <c r="D272" s="97">
        <v>6.4</v>
      </c>
      <c r="E272" s="97">
        <v>25</v>
      </c>
      <c r="F272" s="97">
        <v>43.6</v>
      </c>
      <c r="G272" s="97">
        <v>70.3</v>
      </c>
      <c r="H272" s="97">
        <v>25</v>
      </c>
      <c r="I272" s="97">
        <v>25</v>
      </c>
      <c r="J272" s="97">
        <v>0</v>
      </c>
      <c r="K272" s="97">
        <v>30</v>
      </c>
      <c r="L272" s="97">
        <v>50</v>
      </c>
    </row>
    <row r="273" spans="1:12" s="78" customFormat="1" ht="11.25">
      <c r="A273" s="219">
        <v>2068</v>
      </c>
      <c r="B273" s="219"/>
      <c r="C273" s="97">
        <v>-20.3</v>
      </c>
      <c r="D273" s="97">
        <v>6.4</v>
      </c>
      <c r="E273" s="97">
        <v>25</v>
      </c>
      <c r="F273" s="97">
        <v>43.6</v>
      </c>
      <c r="G273" s="97">
        <v>70.3</v>
      </c>
      <c r="H273" s="97">
        <v>25</v>
      </c>
      <c r="I273" s="97">
        <v>25</v>
      </c>
      <c r="J273" s="97">
        <v>0</v>
      </c>
      <c r="K273" s="97">
        <v>20</v>
      </c>
      <c r="L273" s="97">
        <v>50</v>
      </c>
    </row>
    <row r="274" spans="1:12" s="78" customFormat="1" ht="11.25">
      <c r="A274" s="219">
        <v>2073</v>
      </c>
      <c r="B274" s="219"/>
      <c r="C274" s="97">
        <v>-20.3</v>
      </c>
      <c r="D274" s="97">
        <v>6.4</v>
      </c>
      <c r="E274" s="97">
        <v>25</v>
      </c>
      <c r="F274" s="97">
        <v>43.6</v>
      </c>
      <c r="G274" s="97">
        <v>70.3</v>
      </c>
      <c r="H274" s="97">
        <v>25</v>
      </c>
      <c r="I274" s="97">
        <v>25</v>
      </c>
      <c r="J274" s="97">
        <v>0</v>
      </c>
      <c r="K274" s="97">
        <v>30</v>
      </c>
      <c r="L274" s="97">
        <v>50</v>
      </c>
    </row>
    <row r="275" spans="1:12" s="78" customFormat="1" ht="11.25">
      <c r="A275" s="220" t="s">
        <v>371</v>
      </c>
      <c r="B275" s="220"/>
      <c r="C275" s="220"/>
      <c r="D275" s="220"/>
      <c r="E275" s="220"/>
      <c r="F275" s="220"/>
      <c r="G275" s="220"/>
      <c r="H275" s="220"/>
      <c r="I275" s="220"/>
      <c r="J275" s="220"/>
      <c r="K275" s="220"/>
      <c r="L275" s="220"/>
    </row>
    <row r="276" spans="1:12" s="78" customFormat="1" ht="11.25">
      <c r="A276" s="219">
        <v>2023</v>
      </c>
      <c r="B276" s="219"/>
      <c r="C276" s="99">
        <v>1.61</v>
      </c>
      <c r="D276" s="99">
        <v>1.66</v>
      </c>
      <c r="E276" s="99">
        <v>1.7</v>
      </c>
      <c r="F276" s="99">
        <v>1.73</v>
      </c>
      <c r="G276" s="99">
        <v>1.78</v>
      </c>
      <c r="H276" s="99">
        <v>1.76</v>
      </c>
      <c r="I276" s="99">
        <v>1.7</v>
      </c>
      <c r="J276" s="99">
        <v>1.7</v>
      </c>
      <c r="K276" s="99">
        <v>1.7</v>
      </c>
      <c r="L276" s="99">
        <v>1.7</v>
      </c>
    </row>
    <row r="277" spans="1:12" s="78" customFormat="1" ht="11.25">
      <c r="A277" s="219">
        <v>2028</v>
      </c>
      <c r="B277" s="219"/>
      <c r="C277" s="99">
        <v>1.45</v>
      </c>
      <c r="D277" s="99">
        <v>1.59</v>
      </c>
      <c r="E277" s="99">
        <v>1.67</v>
      </c>
      <c r="F277" s="99">
        <v>1.77</v>
      </c>
      <c r="G277" s="99">
        <v>1.89</v>
      </c>
      <c r="H277" s="99">
        <v>2</v>
      </c>
      <c r="I277" s="99">
        <v>1.67</v>
      </c>
      <c r="J277" s="99">
        <v>1.67</v>
      </c>
      <c r="K277" s="99">
        <v>1.67</v>
      </c>
      <c r="L277" s="99">
        <v>1.67</v>
      </c>
    </row>
    <row r="278" spans="1:12" s="78" customFormat="1" ht="11.25">
      <c r="A278" s="219">
        <v>2033</v>
      </c>
      <c r="B278" s="219"/>
      <c r="C278" s="99">
        <v>1.36</v>
      </c>
      <c r="D278" s="99">
        <v>1.54</v>
      </c>
      <c r="E278" s="99">
        <v>1.66</v>
      </c>
      <c r="F278" s="99">
        <v>1.78</v>
      </c>
      <c r="G278" s="99">
        <v>1.94</v>
      </c>
      <c r="H278" s="99">
        <v>2.17</v>
      </c>
      <c r="I278" s="99">
        <v>1.66</v>
      </c>
      <c r="J278" s="99">
        <v>1.66</v>
      </c>
      <c r="K278" s="99">
        <v>1.66</v>
      </c>
      <c r="L278" s="99">
        <v>1.66</v>
      </c>
    </row>
    <row r="279" spans="1:12" s="78" customFormat="1" ht="11.25">
      <c r="A279" s="219">
        <v>2038</v>
      </c>
      <c r="B279" s="219"/>
      <c r="C279" s="99">
        <v>1.29</v>
      </c>
      <c r="D279" s="99">
        <v>1.5</v>
      </c>
      <c r="E279" s="99">
        <v>1.65</v>
      </c>
      <c r="F279" s="99">
        <v>1.79</v>
      </c>
      <c r="G279" s="99">
        <v>2.0099999999999998</v>
      </c>
      <c r="H279" s="99">
        <v>2.27</v>
      </c>
      <c r="I279" s="99">
        <v>1.65</v>
      </c>
      <c r="J279" s="99">
        <v>1.65</v>
      </c>
      <c r="K279" s="99">
        <v>1.65</v>
      </c>
      <c r="L279" s="99">
        <v>1.65</v>
      </c>
    </row>
    <row r="280" spans="1:12" s="78" customFormat="1" ht="11.25">
      <c r="A280" s="219">
        <v>2043</v>
      </c>
      <c r="B280" s="219"/>
      <c r="C280" s="99">
        <v>1.22</v>
      </c>
      <c r="D280" s="99">
        <v>1.48</v>
      </c>
      <c r="E280" s="99">
        <v>1.65</v>
      </c>
      <c r="F280" s="99">
        <v>1.82</v>
      </c>
      <c r="G280" s="99">
        <v>2.0699999999999998</v>
      </c>
      <c r="H280" s="99">
        <v>2.2999999999999998</v>
      </c>
      <c r="I280" s="99">
        <v>1.65</v>
      </c>
      <c r="J280" s="99">
        <v>1.65</v>
      </c>
      <c r="K280" s="99">
        <v>1.65</v>
      </c>
      <c r="L280" s="99">
        <v>1.65</v>
      </c>
    </row>
    <row r="281" spans="1:12" s="78" customFormat="1" ht="11.25">
      <c r="A281" s="219">
        <v>2048</v>
      </c>
      <c r="B281" s="219"/>
      <c r="C281" s="99">
        <v>1.18</v>
      </c>
      <c r="D281" s="99">
        <v>1.46</v>
      </c>
      <c r="E281" s="99">
        <v>1.65</v>
      </c>
      <c r="F281" s="99">
        <v>1.85</v>
      </c>
      <c r="G281" s="99">
        <v>2.13</v>
      </c>
      <c r="H281" s="99">
        <v>2.2999999999999998</v>
      </c>
      <c r="I281" s="99">
        <v>1.65</v>
      </c>
      <c r="J281" s="99">
        <v>1.65</v>
      </c>
      <c r="K281" s="99">
        <v>1.65</v>
      </c>
      <c r="L281" s="99">
        <v>1.65</v>
      </c>
    </row>
    <row r="282" spans="1:12" s="78" customFormat="1" ht="11.25">
      <c r="A282" s="219">
        <v>2053</v>
      </c>
      <c r="B282" s="219"/>
      <c r="C282" s="99">
        <v>1.1399999999999999</v>
      </c>
      <c r="D282" s="99">
        <v>1.45</v>
      </c>
      <c r="E282" s="99">
        <v>1.65</v>
      </c>
      <c r="F282" s="99">
        <v>1.88</v>
      </c>
      <c r="G282" s="99">
        <v>2.16</v>
      </c>
      <c r="H282" s="99">
        <v>2.2999999999999998</v>
      </c>
      <c r="I282" s="99">
        <v>1.65</v>
      </c>
      <c r="J282" s="99">
        <v>1.65</v>
      </c>
      <c r="K282" s="99">
        <v>1.65</v>
      </c>
      <c r="L282" s="99">
        <v>1.65</v>
      </c>
    </row>
    <row r="283" spans="1:12" s="78" customFormat="1" ht="11.25">
      <c r="A283" s="219">
        <v>2058</v>
      </c>
      <c r="B283" s="219"/>
      <c r="C283" s="99">
        <v>1.1100000000000001</v>
      </c>
      <c r="D283" s="99">
        <v>1.43</v>
      </c>
      <c r="E283" s="99">
        <v>1.65</v>
      </c>
      <c r="F283" s="99">
        <v>1.88</v>
      </c>
      <c r="G283" s="99">
        <v>2.21</v>
      </c>
      <c r="H283" s="99">
        <v>2.2999999999999998</v>
      </c>
      <c r="I283" s="99">
        <v>1.65</v>
      </c>
      <c r="J283" s="99">
        <v>1.65</v>
      </c>
      <c r="K283" s="99">
        <v>1.65</v>
      </c>
      <c r="L283" s="99">
        <v>1.65</v>
      </c>
    </row>
    <row r="284" spans="1:12" s="78" customFormat="1" ht="11.25">
      <c r="A284" s="219">
        <v>2063</v>
      </c>
      <c r="B284" s="219"/>
      <c r="C284" s="99">
        <v>1.06</v>
      </c>
      <c r="D284" s="99">
        <v>1.42</v>
      </c>
      <c r="E284" s="99">
        <v>1.65</v>
      </c>
      <c r="F284" s="99">
        <v>1.89</v>
      </c>
      <c r="G284" s="99">
        <v>2.2599999999999998</v>
      </c>
      <c r="H284" s="99">
        <v>2.2999999999999998</v>
      </c>
      <c r="I284" s="99">
        <v>1.65</v>
      </c>
      <c r="J284" s="99">
        <v>1.65</v>
      </c>
      <c r="K284" s="99">
        <v>1.65</v>
      </c>
      <c r="L284" s="99">
        <v>1.65</v>
      </c>
    </row>
    <row r="285" spans="1:12" s="78" customFormat="1" ht="11.25">
      <c r="A285" s="219">
        <v>2068</v>
      </c>
      <c r="B285" s="219"/>
      <c r="C285" s="99">
        <v>1.01</v>
      </c>
      <c r="D285" s="99">
        <v>1.41</v>
      </c>
      <c r="E285" s="99">
        <v>1.65</v>
      </c>
      <c r="F285" s="99">
        <v>1.9</v>
      </c>
      <c r="G285" s="99">
        <v>2.27</v>
      </c>
      <c r="H285" s="99">
        <v>2.2999999999999998</v>
      </c>
      <c r="I285" s="99">
        <v>1.65</v>
      </c>
      <c r="J285" s="99">
        <v>1.65</v>
      </c>
      <c r="K285" s="99">
        <v>1.65</v>
      </c>
      <c r="L285" s="99">
        <v>1.65</v>
      </c>
    </row>
    <row r="286" spans="1:12" s="78" customFormat="1" ht="11.25">
      <c r="A286" s="219">
        <v>2073</v>
      </c>
      <c r="B286" s="219"/>
      <c r="C286" s="99">
        <v>0.98</v>
      </c>
      <c r="D286" s="99">
        <v>1.39</v>
      </c>
      <c r="E286" s="99">
        <v>1.65</v>
      </c>
      <c r="F286" s="99">
        <v>1.91</v>
      </c>
      <c r="G286" s="99">
        <v>2.2799999999999998</v>
      </c>
      <c r="H286" s="99">
        <v>2.2999999999999998</v>
      </c>
      <c r="I286" s="99">
        <v>1.65</v>
      </c>
      <c r="J286" s="99">
        <v>1.65</v>
      </c>
      <c r="K286" s="99">
        <v>1.65</v>
      </c>
      <c r="L286" s="99">
        <v>1.65</v>
      </c>
    </row>
    <row r="287" spans="1:12" s="78" customFormat="1" ht="11.25">
      <c r="A287" s="220" t="s">
        <v>372</v>
      </c>
      <c r="B287" s="220"/>
      <c r="C287" s="220"/>
      <c r="D287" s="220"/>
      <c r="E287" s="220"/>
      <c r="F287" s="220"/>
      <c r="G287" s="220"/>
      <c r="H287" s="220"/>
      <c r="I287" s="220"/>
      <c r="J287" s="220"/>
      <c r="K287" s="220"/>
      <c r="L287" s="220"/>
    </row>
    <row r="288" spans="1:12" s="78" customFormat="1" ht="11.25">
      <c r="A288" s="219">
        <v>2023</v>
      </c>
      <c r="B288" s="219"/>
      <c r="C288" s="97">
        <v>80.400000000000006</v>
      </c>
      <c r="D288" s="97">
        <v>80.599999999999994</v>
      </c>
      <c r="E288" s="97">
        <v>80.8</v>
      </c>
      <c r="F288" s="97">
        <v>80.900000000000006</v>
      </c>
      <c r="G288" s="97">
        <v>81.2</v>
      </c>
      <c r="H288" s="97">
        <v>80.8</v>
      </c>
      <c r="I288" s="97">
        <v>80.900000000000006</v>
      </c>
      <c r="J288" s="97">
        <v>80.8</v>
      </c>
      <c r="K288" s="97">
        <v>80.8</v>
      </c>
      <c r="L288" s="97">
        <v>80.8</v>
      </c>
    </row>
    <row r="289" spans="1:12" s="78" customFormat="1" ht="11.25">
      <c r="A289" s="219">
        <v>2028</v>
      </c>
      <c r="B289" s="219"/>
      <c r="C289" s="97">
        <v>80.900000000000006</v>
      </c>
      <c r="D289" s="97">
        <v>81.2</v>
      </c>
      <c r="E289" s="97">
        <v>81.5</v>
      </c>
      <c r="F289" s="97">
        <v>81.7</v>
      </c>
      <c r="G289" s="97">
        <v>82.1</v>
      </c>
      <c r="H289" s="97">
        <v>81.5</v>
      </c>
      <c r="I289" s="97">
        <v>82.4</v>
      </c>
      <c r="J289" s="97">
        <v>81.5</v>
      </c>
      <c r="K289" s="97">
        <v>81.5</v>
      </c>
      <c r="L289" s="97">
        <v>81.5</v>
      </c>
    </row>
    <row r="290" spans="1:12" s="78" customFormat="1" ht="11.25">
      <c r="A290" s="219">
        <v>2033</v>
      </c>
      <c r="B290" s="219"/>
      <c r="C290" s="97">
        <v>81.3</v>
      </c>
      <c r="D290" s="97">
        <v>81.900000000000006</v>
      </c>
      <c r="E290" s="97">
        <v>82.2</v>
      </c>
      <c r="F290" s="97">
        <v>82.6</v>
      </c>
      <c r="G290" s="97">
        <v>83.1</v>
      </c>
      <c r="H290" s="97">
        <v>82.2</v>
      </c>
      <c r="I290" s="97">
        <v>83.9</v>
      </c>
      <c r="J290" s="97">
        <v>82.2</v>
      </c>
      <c r="K290" s="97">
        <v>82.2</v>
      </c>
      <c r="L290" s="97">
        <v>82.2</v>
      </c>
    </row>
    <row r="291" spans="1:12" s="78" customFormat="1" ht="11.25">
      <c r="A291" s="219">
        <v>2038</v>
      </c>
      <c r="B291" s="219"/>
      <c r="C291" s="97">
        <v>81.8</v>
      </c>
      <c r="D291" s="97">
        <v>82.5</v>
      </c>
      <c r="E291" s="97">
        <v>82.9</v>
      </c>
      <c r="F291" s="97">
        <v>83.4</v>
      </c>
      <c r="G291" s="97">
        <v>84</v>
      </c>
      <c r="H291" s="97">
        <v>82.9</v>
      </c>
      <c r="I291" s="97">
        <v>85.5</v>
      </c>
      <c r="J291" s="97">
        <v>82.9</v>
      </c>
      <c r="K291" s="97">
        <v>82.9</v>
      </c>
      <c r="L291" s="97">
        <v>82.9</v>
      </c>
    </row>
    <row r="292" spans="1:12" s="78" customFormat="1" ht="11.25">
      <c r="A292" s="219">
        <v>2043</v>
      </c>
      <c r="B292" s="219"/>
      <c r="C292" s="97">
        <v>82.2</v>
      </c>
      <c r="D292" s="97">
        <v>83.1</v>
      </c>
      <c r="E292" s="97">
        <v>83.6</v>
      </c>
      <c r="F292" s="97">
        <v>84.1</v>
      </c>
      <c r="G292" s="97">
        <v>84.9</v>
      </c>
      <c r="H292" s="97">
        <v>83.6</v>
      </c>
      <c r="I292" s="97">
        <v>87</v>
      </c>
      <c r="J292" s="97">
        <v>83.6</v>
      </c>
      <c r="K292" s="97">
        <v>83.6</v>
      </c>
      <c r="L292" s="97">
        <v>83.6</v>
      </c>
    </row>
    <row r="293" spans="1:12" s="78" customFormat="1" ht="11.25">
      <c r="A293" s="219">
        <v>2048</v>
      </c>
      <c r="B293" s="219"/>
      <c r="C293" s="97">
        <v>82.6</v>
      </c>
      <c r="D293" s="97">
        <v>83.6</v>
      </c>
      <c r="E293" s="97">
        <v>84.2</v>
      </c>
      <c r="F293" s="97">
        <v>84.9</v>
      </c>
      <c r="G293" s="97">
        <v>85.8</v>
      </c>
      <c r="H293" s="97">
        <v>84.2</v>
      </c>
      <c r="I293" s="97">
        <v>88.5</v>
      </c>
      <c r="J293" s="97">
        <v>84.2</v>
      </c>
      <c r="K293" s="97">
        <v>84.2</v>
      </c>
      <c r="L293" s="97">
        <v>84.2</v>
      </c>
    </row>
    <row r="294" spans="1:12" s="78" customFormat="1" ht="11.25">
      <c r="A294" s="219">
        <v>2053</v>
      </c>
      <c r="B294" s="219"/>
      <c r="C294" s="97">
        <v>82.9</v>
      </c>
      <c r="D294" s="97">
        <v>84.1</v>
      </c>
      <c r="E294" s="97">
        <v>84.8</v>
      </c>
      <c r="F294" s="97">
        <v>85.6</v>
      </c>
      <c r="G294" s="97">
        <v>86.7</v>
      </c>
      <c r="H294" s="97">
        <v>84.8</v>
      </c>
      <c r="I294" s="97">
        <v>90</v>
      </c>
      <c r="J294" s="97">
        <v>84.8</v>
      </c>
      <c r="K294" s="97">
        <v>84.8</v>
      </c>
      <c r="L294" s="97">
        <v>84.8</v>
      </c>
    </row>
    <row r="295" spans="1:12" s="78" customFormat="1" ht="11.25">
      <c r="A295" s="219">
        <v>2058</v>
      </c>
      <c r="B295" s="219"/>
      <c r="C295" s="97">
        <v>83.2</v>
      </c>
      <c r="D295" s="97">
        <v>84.6</v>
      </c>
      <c r="E295" s="97">
        <v>85.4</v>
      </c>
      <c r="F295" s="97">
        <v>86.3</v>
      </c>
      <c r="G295" s="97">
        <v>87.4</v>
      </c>
      <c r="H295" s="97">
        <v>85.4</v>
      </c>
      <c r="I295" s="97">
        <v>91.5</v>
      </c>
      <c r="J295" s="97">
        <v>85.4</v>
      </c>
      <c r="K295" s="97">
        <v>85.4</v>
      </c>
      <c r="L295" s="97">
        <v>85.4</v>
      </c>
    </row>
    <row r="296" spans="1:12" s="78" customFormat="1" ht="11.25">
      <c r="A296" s="219">
        <v>2063</v>
      </c>
      <c r="B296" s="219"/>
      <c r="C296" s="97">
        <v>83.4</v>
      </c>
      <c r="D296" s="97">
        <v>85</v>
      </c>
      <c r="E296" s="97">
        <v>86</v>
      </c>
      <c r="F296" s="97">
        <v>87</v>
      </c>
      <c r="G296" s="97">
        <v>88.2</v>
      </c>
      <c r="H296" s="97">
        <v>86</v>
      </c>
      <c r="I296" s="97">
        <v>93</v>
      </c>
      <c r="J296" s="97">
        <v>86</v>
      </c>
      <c r="K296" s="97">
        <v>86</v>
      </c>
      <c r="L296" s="97">
        <v>86</v>
      </c>
    </row>
    <row r="297" spans="1:12" s="78" customFormat="1" ht="11.25">
      <c r="A297" s="219">
        <v>2068</v>
      </c>
      <c r="B297" s="219"/>
      <c r="C297" s="97">
        <v>83.7</v>
      </c>
      <c r="D297" s="97">
        <v>85.5</v>
      </c>
      <c r="E297" s="97">
        <v>86.5</v>
      </c>
      <c r="F297" s="97">
        <v>87.6</v>
      </c>
      <c r="G297" s="97">
        <v>89</v>
      </c>
      <c r="H297" s="97">
        <v>86.5</v>
      </c>
      <c r="I297" s="97">
        <v>94.5</v>
      </c>
      <c r="J297" s="97">
        <v>86.5</v>
      </c>
      <c r="K297" s="97">
        <v>86.5</v>
      </c>
      <c r="L297" s="97">
        <v>86.5</v>
      </c>
    </row>
    <row r="298" spans="1:12" s="78" customFormat="1" ht="11.25">
      <c r="A298" s="219">
        <v>2073</v>
      </c>
      <c r="B298" s="219"/>
      <c r="C298" s="97">
        <v>83.9</v>
      </c>
      <c r="D298" s="97">
        <v>85.9</v>
      </c>
      <c r="E298" s="97">
        <v>87</v>
      </c>
      <c r="F298" s="97">
        <v>88.3</v>
      </c>
      <c r="G298" s="97">
        <v>89.8</v>
      </c>
      <c r="H298" s="97">
        <v>87</v>
      </c>
      <c r="I298" s="97">
        <v>96</v>
      </c>
      <c r="J298" s="97">
        <v>87</v>
      </c>
      <c r="K298" s="97">
        <v>87</v>
      </c>
      <c r="L298" s="97">
        <v>87</v>
      </c>
    </row>
    <row r="299" spans="1:12" s="78" customFormat="1" ht="11.25">
      <c r="A299" s="220" t="s">
        <v>373</v>
      </c>
      <c r="B299" s="220"/>
      <c r="C299" s="220"/>
      <c r="D299" s="220"/>
      <c r="E299" s="220"/>
      <c r="F299" s="220"/>
      <c r="G299" s="220"/>
      <c r="H299" s="220"/>
      <c r="I299" s="220"/>
      <c r="J299" s="220"/>
      <c r="K299" s="220"/>
      <c r="L299" s="220"/>
    </row>
    <row r="300" spans="1:12" s="78" customFormat="1" ht="11.25">
      <c r="A300" s="219">
        <v>2023</v>
      </c>
      <c r="B300" s="219"/>
      <c r="C300" s="97">
        <v>83.7</v>
      </c>
      <c r="D300" s="97">
        <v>83.9</v>
      </c>
      <c r="E300" s="97">
        <v>84.1</v>
      </c>
      <c r="F300" s="97">
        <v>84.2</v>
      </c>
      <c r="G300" s="97">
        <v>84.4</v>
      </c>
      <c r="H300" s="97">
        <v>84.1</v>
      </c>
      <c r="I300" s="97">
        <v>84.2</v>
      </c>
      <c r="J300" s="97">
        <v>84.1</v>
      </c>
      <c r="K300" s="97">
        <v>84.1</v>
      </c>
      <c r="L300" s="97">
        <v>84.1</v>
      </c>
    </row>
    <row r="301" spans="1:12" s="78" customFormat="1" ht="11.25">
      <c r="A301" s="219">
        <v>2028</v>
      </c>
      <c r="B301" s="219"/>
      <c r="C301" s="97">
        <v>84.3</v>
      </c>
      <c r="D301" s="97">
        <v>84.6</v>
      </c>
      <c r="E301" s="97">
        <v>84.8</v>
      </c>
      <c r="F301" s="97">
        <v>85.1</v>
      </c>
      <c r="G301" s="97">
        <v>85.4</v>
      </c>
      <c r="H301" s="97">
        <v>84.8</v>
      </c>
      <c r="I301" s="97">
        <v>85.4</v>
      </c>
      <c r="J301" s="97">
        <v>84.8</v>
      </c>
      <c r="K301" s="97">
        <v>84.8</v>
      </c>
      <c r="L301" s="97">
        <v>84.8</v>
      </c>
    </row>
    <row r="302" spans="1:12" s="78" customFormat="1" ht="11.25">
      <c r="A302" s="219">
        <v>2033</v>
      </c>
      <c r="B302" s="219"/>
      <c r="C302" s="97">
        <v>84.7</v>
      </c>
      <c r="D302" s="97">
        <v>85.2</v>
      </c>
      <c r="E302" s="97">
        <v>85.5</v>
      </c>
      <c r="F302" s="97">
        <v>85.8</v>
      </c>
      <c r="G302" s="97">
        <v>86.2</v>
      </c>
      <c r="H302" s="97">
        <v>85.5</v>
      </c>
      <c r="I302" s="97">
        <v>86.6</v>
      </c>
      <c r="J302" s="97">
        <v>85.5</v>
      </c>
      <c r="K302" s="97">
        <v>85.5</v>
      </c>
      <c r="L302" s="97">
        <v>85.5</v>
      </c>
    </row>
    <row r="303" spans="1:12" s="78" customFormat="1" ht="11.25">
      <c r="A303" s="219">
        <v>2038</v>
      </c>
      <c r="B303" s="219"/>
      <c r="C303" s="97">
        <v>85.1</v>
      </c>
      <c r="D303" s="97">
        <v>85.7</v>
      </c>
      <c r="E303" s="97">
        <v>86.1</v>
      </c>
      <c r="F303" s="97">
        <v>86.5</v>
      </c>
      <c r="G303" s="97">
        <v>87.1</v>
      </c>
      <c r="H303" s="97">
        <v>86.1</v>
      </c>
      <c r="I303" s="97">
        <v>87.8</v>
      </c>
      <c r="J303" s="97">
        <v>86.1</v>
      </c>
      <c r="K303" s="97">
        <v>86.1</v>
      </c>
      <c r="L303" s="97">
        <v>86.1</v>
      </c>
    </row>
    <row r="304" spans="1:12" s="78" customFormat="1" ht="11.25">
      <c r="A304" s="219">
        <v>2043</v>
      </c>
      <c r="B304" s="219"/>
      <c r="C304" s="97">
        <v>85.5</v>
      </c>
      <c r="D304" s="97">
        <v>86.2</v>
      </c>
      <c r="E304" s="97">
        <v>86.7</v>
      </c>
      <c r="F304" s="97">
        <v>87.1</v>
      </c>
      <c r="G304" s="97">
        <v>87.8</v>
      </c>
      <c r="H304" s="97">
        <v>86.7</v>
      </c>
      <c r="I304" s="97">
        <v>88.9</v>
      </c>
      <c r="J304" s="97">
        <v>86.7</v>
      </c>
      <c r="K304" s="97">
        <v>86.7</v>
      </c>
      <c r="L304" s="97">
        <v>86.7</v>
      </c>
    </row>
    <row r="305" spans="1:12" s="78" customFormat="1" ht="11.25">
      <c r="A305" s="219">
        <v>2048</v>
      </c>
      <c r="B305" s="219"/>
      <c r="C305" s="97">
        <v>85.9</v>
      </c>
      <c r="D305" s="97">
        <v>86.7</v>
      </c>
      <c r="E305" s="97">
        <v>87.3</v>
      </c>
      <c r="F305" s="97">
        <v>87.8</v>
      </c>
      <c r="G305" s="97">
        <v>88.6</v>
      </c>
      <c r="H305" s="97">
        <v>87.3</v>
      </c>
      <c r="I305" s="97">
        <v>90.1</v>
      </c>
      <c r="J305" s="97">
        <v>87.3</v>
      </c>
      <c r="K305" s="97">
        <v>87.3</v>
      </c>
      <c r="L305" s="97">
        <v>87.3</v>
      </c>
    </row>
    <row r="306" spans="1:12" s="78" customFormat="1" ht="11.25">
      <c r="A306" s="219">
        <v>2053</v>
      </c>
      <c r="B306" s="219"/>
      <c r="C306" s="97">
        <v>86.2</v>
      </c>
      <c r="D306" s="97">
        <v>87.2</v>
      </c>
      <c r="E306" s="97">
        <v>87.8</v>
      </c>
      <c r="F306" s="97">
        <v>88.5</v>
      </c>
      <c r="G306" s="97">
        <v>89.4</v>
      </c>
      <c r="H306" s="97">
        <v>87.8</v>
      </c>
      <c r="I306" s="97">
        <v>91.3</v>
      </c>
      <c r="J306" s="97">
        <v>87.8</v>
      </c>
      <c r="K306" s="97">
        <v>87.8</v>
      </c>
      <c r="L306" s="97">
        <v>87.8</v>
      </c>
    </row>
    <row r="307" spans="1:12" s="78" customFormat="1" ht="11.25">
      <c r="A307" s="219">
        <v>2058</v>
      </c>
      <c r="B307" s="219"/>
      <c r="C307" s="97">
        <v>86.4</v>
      </c>
      <c r="D307" s="97">
        <v>87.6</v>
      </c>
      <c r="E307" s="97">
        <v>88.3</v>
      </c>
      <c r="F307" s="97">
        <v>89.1</v>
      </c>
      <c r="G307" s="97">
        <v>90</v>
      </c>
      <c r="H307" s="97">
        <v>88.3</v>
      </c>
      <c r="I307" s="97">
        <v>92.5</v>
      </c>
      <c r="J307" s="97">
        <v>88.3</v>
      </c>
      <c r="K307" s="97">
        <v>88.3</v>
      </c>
      <c r="L307" s="97">
        <v>88.3</v>
      </c>
    </row>
    <row r="308" spans="1:12" s="78" customFormat="1" ht="11.25">
      <c r="A308" s="219">
        <v>2063</v>
      </c>
      <c r="B308" s="219"/>
      <c r="C308" s="97">
        <v>86.6</v>
      </c>
      <c r="D308" s="97">
        <v>87.9</v>
      </c>
      <c r="E308" s="97">
        <v>88.8</v>
      </c>
      <c r="F308" s="97">
        <v>89.6</v>
      </c>
      <c r="G308" s="97">
        <v>90.7</v>
      </c>
      <c r="H308" s="97">
        <v>88.8</v>
      </c>
      <c r="I308" s="97">
        <v>93.6</v>
      </c>
      <c r="J308" s="97">
        <v>88.8</v>
      </c>
      <c r="K308" s="97">
        <v>88.8</v>
      </c>
      <c r="L308" s="97">
        <v>88.8</v>
      </c>
    </row>
    <row r="309" spans="1:12" s="78" customFormat="1" ht="11.25">
      <c r="A309" s="219">
        <v>2068</v>
      </c>
      <c r="B309" s="219"/>
      <c r="C309" s="97">
        <v>86.9</v>
      </c>
      <c r="D309" s="97">
        <v>88.4</v>
      </c>
      <c r="E309" s="97">
        <v>89.3</v>
      </c>
      <c r="F309" s="97">
        <v>90.2</v>
      </c>
      <c r="G309" s="97">
        <v>91.4</v>
      </c>
      <c r="H309" s="97">
        <v>89.3</v>
      </c>
      <c r="I309" s="97">
        <v>94.8</v>
      </c>
      <c r="J309" s="97">
        <v>89.3</v>
      </c>
      <c r="K309" s="97">
        <v>89.3</v>
      </c>
      <c r="L309" s="97">
        <v>89.3</v>
      </c>
    </row>
    <row r="310" spans="1:12" s="78" customFormat="1" ht="11.25">
      <c r="A310" s="229">
        <v>2073</v>
      </c>
      <c r="B310" s="229"/>
      <c r="C310" s="100">
        <v>87</v>
      </c>
      <c r="D310" s="100">
        <v>88.7</v>
      </c>
      <c r="E310" s="100">
        <v>89.7</v>
      </c>
      <c r="F310" s="100">
        <v>90.8</v>
      </c>
      <c r="G310" s="100">
        <v>92</v>
      </c>
      <c r="H310" s="100">
        <v>89.7</v>
      </c>
      <c r="I310" s="100">
        <v>96</v>
      </c>
      <c r="J310" s="100">
        <v>89.7</v>
      </c>
      <c r="K310" s="100">
        <v>89.7</v>
      </c>
      <c r="L310" s="100">
        <v>89.7</v>
      </c>
    </row>
    <row r="311" spans="1:12" s="78" customFormat="1" ht="11.25">
      <c r="A311" s="101"/>
      <c r="B311" s="101"/>
      <c r="C311" s="102"/>
      <c r="D311" s="102"/>
      <c r="E311" s="102"/>
      <c r="F311" s="102"/>
      <c r="G311" s="102"/>
      <c r="H311" s="102"/>
      <c r="I311" s="102"/>
      <c r="J311" s="102"/>
      <c r="K311" s="102"/>
      <c r="L311" s="102"/>
    </row>
    <row r="312" spans="1:12" s="78" customFormat="1" ht="12" customHeight="1">
      <c r="A312" s="103" t="s">
        <v>374</v>
      </c>
      <c r="B312" s="104" t="s">
        <v>375</v>
      </c>
      <c r="C312" s="61"/>
      <c r="D312" s="61"/>
      <c r="E312" s="61"/>
      <c r="F312" s="61"/>
      <c r="G312" s="61"/>
      <c r="H312" s="61"/>
      <c r="I312" s="61"/>
      <c r="J312" s="101"/>
      <c r="K312" s="101"/>
      <c r="L312" s="101"/>
    </row>
    <row r="313" spans="1:12" s="78" customFormat="1" ht="12" customHeight="1">
      <c r="A313" s="103"/>
      <c r="B313" s="104" t="s">
        <v>376</v>
      </c>
      <c r="C313" s="61"/>
      <c r="D313" s="61"/>
      <c r="E313" s="61"/>
      <c r="F313" s="61"/>
      <c r="G313" s="61"/>
      <c r="H313" s="61"/>
      <c r="I313" s="61"/>
      <c r="J313" s="101"/>
      <c r="K313" s="101"/>
      <c r="L313" s="101"/>
    </row>
    <row r="314" spans="1:12" s="78" customFormat="1" ht="12" customHeight="1">
      <c r="A314" s="103" t="s">
        <v>377</v>
      </c>
      <c r="B314" s="104" t="s">
        <v>378</v>
      </c>
      <c r="C314" s="61"/>
      <c r="D314" s="61"/>
      <c r="E314" s="61"/>
      <c r="F314" s="61"/>
      <c r="G314" s="61"/>
      <c r="H314" s="61"/>
      <c r="I314" s="61"/>
      <c r="J314" s="101"/>
      <c r="K314" s="101"/>
      <c r="L314" s="101"/>
    </row>
    <row r="315" spans="1:12" ht="12" customHeight="1">
      <c r="A315" s="103"/>
      <c r="B315" s="104" t="s">
        <v>379</v>
      </c>
      <c r="C315" s="61"/>
      <c r="D315" s="61"/>
      <c r="E315" s="61"/>
      <c r="F315" s="61"/>
      <c r="G315" s="61"/>
      <c r="H315" s="61"/>
      <c r="I315" s="61"/>
      <c r="J315" s="101"/>
      <c r="K315" s="101"/>
      <c r="L315" s="101"/>
    </row>
    <row r="316" spans="1:12" ht="12" customHeight="1">
      <c r="A316" s="103" t="s">
        <v>380</v>
      </c>
      <c r="B316" s="104" t="s">
        <v>381</v>
      </c>
      <c r="C316" s="61"/>
      <c r="D316" s="61"/>
      <c r="E316" s="61"/>
      <c r="F316" s="61"/>
      <c r="G316" s="61"/>
      <c r="H316" s="61"/>
      <c r="I316" s="61"/>
      <c r="J316" s="101"/>
      <c r="K316" s="101"/>
      <c r="L316" s="101"/>
    </row>
    <row r="317" spans="1:12" ht="12" customHeight="1">
      <c r="A317" s="103"/>
      <c r="B317" s="105" t="s">
        <v>382</v>
      </c>
      <c r="C317" s="61"/>
      <c r="D317" s="61"/>
      <c r="E317" s="61"/>
      <c r="F317" s="61"/>
      <c r="G317" s="61"/>
      <c r="H317" s="61"/>
      <c r="I317" s="61"/>
      <c r="J317" s="101"/>
      <c r="K317" s="101"/>
      <c r="L317" s="101"/>
    </row>
    <row r="318" spans="1:12" ht="12" customHeight="1">
      <c r="A318" s="103" t="s">
        <v>383</v>
      </c>
      <c r="B318" s="105" t="s">
        <v>384</v>
      </c>
      <c r="C318" s="61"/>
      <c r="D318" s="61"/>
      <c r="E318" s="61"/>
      <c r="F318" s="61"/>
      <c r="G318" s="61"/>
      <c r="H318" s="61"/>
      <c r="I318" s="61"/>
      <c r="J318" s="101"/>
      <c r="K318" s="101"/>
      <c r="L318" s="101"/>
    </row>
    <row r="319" spans="1:12" ht="12" customHeight="1">
      <c r="A319" s="103" t="s">
        <v>385</v>
      </c>
      <c r="B319" s="105" t="s">
        <v>386</v>
      </c>
      <c r="C319" s="61"/>
      <c r="D319" s="61"/>
      <c r="E319" s="61"/>
      <c r="F319" s="61"/>
      <c r="G319" s="61"/>
      <c r="H319" s="61"/>
      <c r="I319" s="61"/>
      <c r="J319" s="101"/>
      <c r="K319" s="101"/>
      <c r="L319" s="101"/>
    </row>
    <row r="320" spans="1:12" ht="12" customHeight="1">
      <c r="A320" s="103" t="s">
        <v>387</v>
      </c>
      <c r="B320" s="105" t="s">
        <v>388</v>
      </c>
      <c r="C320" s="61"/>
      <c r="D320" s="61"/>
      <c r="E320" s="61"/>
      <c r="F320" s="61"/>
      <c r="G320" s="61"/>
      <c r="H320" s="61"/>
      <c r="I320" s="61"/>
      <c r="J320" s="101"/>
      <c r="K320" s="101"/>
      <c r="L320" s="101"/>
    </row>
    <row r="321" spans="1:3">
      <c r="A321" s="103" t="s">
        <v>389</v>
      </c>
      <c r="B321" s="105" t="s">
        <v>390</v>
      </c>
    </row>
    <row r="322" spans="1:3">
      <c r="A322" s="103" t="s">
        <v>391</v>
      </c>
      <c r="B322" s="104" t="s">
        <v>392</v>
      </c>
    </row>
    <row r="323" spans="1:3">
      <c r="A323" s="103" t="s">
        <v>393</v>
      </c>
      <c r="B323" s="104" t="s">
        <v>394</v>
      </c>
      <c r="C323" s="105"/>
    </row>
    <row r="324" spans="1:3">
      <c r="A324" s="103" t="s">
        <v>395</v>
      </c>
      <c r="B324" s="104" t="s">
        <v>396</v>
      </c>
      <c r="C324" s="105"/>
    </row>
    <row r="325" spans="1:3">
      <c r="A325" s="103" t="s">
        <v>397</v>
      </c>
      <c r="B325" s="104" t="s">
        <v>398</v>
      </c>
      <c r="C325" s="105"/>
    </row>
    <row r="326" spans="1:3">
      <c r="A326" s="103" t="s">
        <v>399</v>
      </c>
      <c r="B326" s="104" t="s">
        <v>400</v>
      </c>
      <c r="C326" s="105"/>
    </row>
    <row r="327" spans="1:3">
      <c r="A327" s="103" t="s">
        <v>401</v>
      </c>
      <c r="B327" s="104" t="s">
        <v>402</v>
      </c>
      <c r="C327" s="105"/>
    </row>
    <row r="328" spans="1:3">
      <c r="A328" s="103" t="s">
        <v>403</v>
      </c>
      <c r="B328" s="104" t="s">
        <v>404</v>
      </c>
    </row>
    <row r="329" spans="1:3">
      <c r="A329" s="103" t="s">
        <v>405</v>
      </c>
      <c r="B329" s="104" t="s">
        <v>406</v>
      </c>
    </row>
    <row r="330" spans="1:3">
      <c r="A330" s="103" t="s">
        <v>407</v>
      </c>
      <c r="B330" s="104" t="s">
        <v>408</v>
      </c>
    </row>
    <row r="331" spans="1:3" ht="8.25" customHeight="1">
      <c r="A331" s="103"/>
    </row>
    <row r="332" spans="1:3">
      <c r="A332" s="106" t="s">
        <v>409</v>
      </c>
    </row>
    <row r="333" spans="1:3" ht="12" customHeight="1">
      <c r="A333" s="107" t="s">
        <v>410</v>
      </c>
    </row>
    <row r="334" spans="1:3" ht="12" customHeight="1">
      <c r="A334" s="107" t="s">
        <v>411</v>
      </c>
    </row>
    <row r="335" spans="1:3" ht="7.5" customHeight="1">
      <c r="A335" s="106"/>
    </row>
    <row r="336" spans="1:3">
      <c r="A336" s="108" t="s">
        <v>412</v>
      </c>
    </row>
  </sheetData>
  <mergeCells count="305">
    <mergeCell ref="A309:B309"/>
    <mergeCell ref="A310:B310"/>
    <mergeCell ref="A303:B303"/>
    <mergeCell ref="A304:B304"/>
    <mergeCell ref="A305:B305"/>
    <mergeCell ref="A306:B306"/>
    <mergeCell ref="A307:B307"/>
    <mergeCell ref="A308:B308"/>
    <mergeCell ref="A297:B297"/>
    <mergeCell ref="A298:B298"/>
    <mergeCell ref="A299:L299"/>
    <mergeCell ref="A300:B300"/>
    <mergeCell ref="A301:B301"/>
    <mergeCell ref="A302:B302"/>
    <mergeCell ref="A291:B291"/>
    <mergeCell ref="A292:B292"/>
    <mergeCell ref="A293:B293"/>
    <mergeCell ref="A294:B294"/>
    <mergeCell ref="A295:B295"/>
    <mergeCell ref="A296:B296"/>
    <mergeCell ref="A285:B285"/>
    <mergeCell ref="A286:B286"/>
    <mergeCell ref="A287:L287"/>
    <mergeCell ref="A288:B288"/>
    <mergeCell ref="A289:B289"/>
    <mergeCell ref="A290:B290"/>
    <mergeCell ref="A279:B279"/>
    <mergeCell ref="A280:B280"/>
    <mergeCell ref="A281:B281"/>
    <mergeCell ref="A282:B282"/>
    <mergeCell ref="A283:B283"/>
    <mergeCell ref="A284:B284"/>
    <mergeCell ref="A273:B273"/>
    <mergeCell ref="A274:B274"/>
    <mergeCell ref="A275:L275"/>
    <mergeCell ref="A276:B276"/>
    <mergeCell ref="A277:B277"/>
    <mergeCell ref="A278:B278"/>
    <mergeCell ref="A267:B267"/>
    <mergeCell ref="A268:B268"/>
    <mergeCell ref="A269:B269"/>
    <mergeCell ref="A270:B270"/>
    <mergeCell ref="A271:B271"/>
    <mergeCell ref="A272:B272"/>
    <mergeCell ref="A261:B261"/>
    <mergeCell ref="A262:B262"/>
    <mergeCell ref="A263:L263"/>
    <mergeCell ref="A264:B264"/>
    <mergeCell ref="A265:B265"/>
    <mergeCell ref="A266:B266"/>
    <mergeCell ref="A255:B255"/>
    <mergeCell ref="A256:B256"/>
    <mergeCell ref="A257:B257"/>
    <mergeCell ref="A258:B258"/>
    <mergeCell ref="A259:B259"/>
    <mergeCell ref="A260:B260"/>
    <mergeCell ref="A249:B249"/>
    <mergeCell ref="A250:B250"/>
    <mergeCell ref="A251:L251"/>
    <mergeCell ref="A252:B252"/>
    <mergeCell ref="A253:B253"/>
    <mergeCell ref="A254:B254"/>
    <mergeCell ref="A243:B243"/>
    <mergeCell ref="A244:B244"/>
    <mergeCell ref="A245:B245"/>
    <mergeCell ref="A246:B246"/>
    <mergeCell ref="A247:B247"/>
    <mergeCell ref="A248:B248"/>
    <mergeCell ref="A237:B237"/>
    <mergeCell ref="A238:B238"/>
    <mergeCell ref="A239:L239"/>
    <mergeCell ref="A240:B240"/>
    <mergeCell ref="A241:B241"/>
    <mergeCell ref="A242:B242"/>
    <mergeCell ref="A231:B231"/>
    <mergeCell ref="A232:B232"/>
    <mergeCell ref="A233:B233"/>
    <mergeCell ref="A234:B234"/>
    <mergeCell ref="A235:B235"/>
    <mergeCell ref="A236:B236"/>
    <mergeCell ref="A225:B225"/>
    <mergeCell ref="A226:B226"/>
    <mergeCell ref="A227:L227"/>
    <mergeCell ref="A228:B228"/>
    <mergeCell ref="A229:B229"/>
    <mergeCell ref="A230:B230"/>
    <mergeCell ref="A219:B219"/>
    <mergeCell ref="A220:B220"/>
    <mergeCell ref="A221:B221"/>
    <mergeCell ref="A222:B222"/>
    <mergeCell ref="A223:B223"/>
    <mergeCell ref="A224:B224"/>
    <mergeCell ref="A213:B213"/>
    <mergeCell ref="A214:L214"/>
    <mergeCell ref="A215:B215"/>
    <mergeCell ref="A216:B216"/>
    <mergeCell ref="A217:B217"/>
    <mergeCell ref="A218:B218"/>
    <mergeCell ref="A207:B207"/>
    <mergeCell ref="A208:B208"/>
    <mergeCell ref="A209:B209"/>
    <mergeCell ref="A210:B210"/>
    <mergeCell ref="A211:B211"/>
    <mergeCell ref="A212:B212"/>
    <mergeCell ref="A201:L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L188"/>
    <mergeCell ref="A177:B177"/>
    <mergeCell ref="A178:B178"/>
    <mergeCell ref="A179:B179"/>
    <mergeCell ref="A180:B180"/>
    <mergeCell ref="A181:B181"/>
    <mergeCell ref="A182:B182"/>
    <mergeCell ref="A171:B171"/>
    <mergeCell ref="A172:B172"/>
    <mergeCell ref="A173:B173"/>
    <mergeCell ref="A174:B174"/>
    <mergeCell ref="A175:L175"/>
    <mergeCell ref="A176:B176"/>
    <mergeCell ref="A165:B165"/>
    <mergeCell ref="A166:B166"/>
    <mergeCell ref="A167:B167"/>
    <mergeCell ref="A168:B168"/>
    <mergeCell ref="A169:B169"/>
    <mergeCell ref="A170:B170"/>
    <mergeCell ref="A159:B159"/>
    <mergeCell ref="A160:B160"/>
    <mergeCell ref="A161:B161"/>
    <mergeCell ref="A162:L162"/>
    <mergeCell ref="A163:B163"/>
    <mergeCell ref="A164:B164"/>
    <mergeCell ref="A153:B153"/>
    <mergeCell ref="A154:B154"/>
    <mergeCell ref="A155:B155"/>
    <mergeCell ref="A156:B156"/>
    <mergeCell ref="A157:B157"/>
    <mergeCell ref="A158:B158"/>
    <mergeCell ref="A147:B147"/>
    <mergeCell ref="A148:B148"/>
    <mergeCell ref="A149:L149"/>
    <mergeCell ref="A150:B150"/>
    <mergeCell ref="A151:B151"/>
    <mergeCell ref="A152:B152"/>
    <mergeCell ref="A141:B141"/>
    <mergeCell ref="A142:B142"/>
    <mergeCell ref="A143:B143"/>
    <mergeCell ref="A144:B144"/>
    <mergeCell ref="A145:B145"/>
    <mergeCell ref="A146:B146"/>
    <mergeCell ref="A135:B135"/>
    <mergeCell ref="A136:L136"/>
    <mergeCell ref="A137:B137"/>
    <mergeCell ref="A138:B138"/>
    <mergeCell ref="A139:B139"/>
    <mergeCell ref="A140:B140"/>
    <mergeCell ref="A129:B129"/>
    <mergeCell ref="A130:B130"/>
    <mergeCell ref="A131:B131"/>
    <mergeCell ref="A132:B132"/>
    <mergeCell ref="A133:B133"/>
    <mergeCell ref="A134:B134"/>
    <mergeCell ref="A123:L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L110"/>
    <mergeCell ref="A99:B99"/>
    <mergeCell ref="A100:B100"/>
    <mergeCell ref="A101:B101"/>
    <mergeCell ref="A102:B102"/>
    <mergeCell ref="A103:B103"/>
    <mergeCell ref="A104:B104"/>
    <mergeCell ref="A93:B93"/>
    <mergeCell ref="A94:B94"/>
    <mergeCell ref="A95:B95"/>
    <mergeCell ref="A96:B96"/>
    <mergeCell ref="A97:L97"/>
    <mergeCell ref="A98:B98"/>
    <mergeCell ref="A87:B87"/>
    <mergeCell ref="A88:B88"/>
    <mergeCell ref="A89:B89"/>
    <mergeCell ref="A90:B90"/>
    <mergeCell ref="A91:B91"/>
    <mergeCell ref="A92:B92"/>
    <mergeCell ref="A81:B81"/>
    <mergeCell ref="A82:B82"/>
    <mergeCell ref="A83:B83"/>
    <mergeCell ref="A84:L84"/>
    <mergeCell ref="A85:B85"/>
    <mergeCell ref="A86:B86"/>
    <mergeCell ref="A75:B75"/>
    <mergeCell ref="A76:B76"/>
    <mergeCell ref="A77:B77"/>
    <mergeCell ref="A78:B78"/>
    <mergeCell ref="A79:B79"/>
    <mergeCell ref="A80:B80"/>
    <mergeCell ref="A69:B69"/>
    <mergeCell ref="A70:B70"/>
    <mergeCell ref="A71:L71"/>
    <mergeCell ref="A72:B72"/>
    <mergeCell ref="A73:B73"/>
    <mergeCell ref="A74:B74"/>
    <mergeCell ref="A63:B63"/>
    <mergeCell ref="A64:B64"/>
    <mergeCell ref="A65:B65"/>
    <mergeCell ref="A66:B66"/>
    <mergeCell ref="A67:B67"/>
    <mergeCell ref="A68:B68"/>
    <mergeCell ref="A57:B57"/>
    <mergeCell ref="A58:L58"/>
    <mergeCell ref="A59:B59"/>
    <mergeCell ref="A60:B60"/>
    <mergeCell ref="A61:B61"/>
    <mergeCell ref="A62:B62"/>
    <mergeCell ref="A51:B51"/>
    <mergeCell ref="A52:B52"/>
    <mergeCell ref="A53:B53"/>
    <mergeCell ref="A54:B54"/>
    <mergeCell ref="A55:B55"/>
    <mergeCell ref="A56:B56"/>
    <mergeCell ref="A45:L45"/>
    <mergeCell ref="A46:B46"/>
    <mergeCell ref="A47:B47"/>
    <mergeCell ref="A48:B48"/>
    <mergeCell ref="A49:B49"/>
    <mergeCell ref="A50:B50"/>
    <mergeCell ref="A39:B39"/>
    <mergeCell ref="A40:B40"/>
    <mergeCell ref="A41:B41"/>
    <mergeCell ref="A42:B42"/>
    <mergeCell ref="A43:B43"/>
    <mergeCell ref="A44:B44"/>
    <mergeCell ref="A33:L33"/>
    <mergeCell ref="A34:B34"/>
    <mergeCell ref="A35:B35"/>
    <mergeCell ref="A36:B36"/>
    <mergeCell ref="A37:B37"/>
    <mergeCell ref="A38:B38"/>
    <mergeCell ref="A27:B27"/>
    <mergeCell ref="A28:B28"/>
    <mergeCell ref="A29:B29"/>
    <mergeCell ref="A30:B30"/>
    <mergeCell ref="A31:B31"/>
    <mergeCell ref="A32:B32"/>
    <mergeCell ref="A22:B22"/>
    <mergeCell ref="A23:B23"/>
    <mergeCell ref="A24:B24"/>
    <mergeCell ref="A25:B25"/>
    <mergeCell ref="A26:B26"/>
    <mergeCell ref="A20:B20"/>
    <mergeCell ref="A21:L21"/>
    <mergeCell ref="A12:B12"/>
    <mergeCell ref="A13:B13"/>
    <mergeCell ref="A14:B14"/>
    <mergeCell ref="A15:B15"/>
    <mergeCell ref="A16:B16"/>
    <mergeCell ref="A6:B7"/>
    <mergeCell ref="C6:G6"/>
    <mergeCell ref="A8:L8"/>
    <mergeCell ref="A9:B9"/>
    <mergeCell ref="A10:B10"/>
    <mergeCell ref="A11:B11"/>
    <mergeCell ref="A17:B17"/>
    <mergeCell ref="A18:B18"/>
    <mergeCell ref="A19:B19"/>
  </mergeCells>
  <hyperlinks>
    <hyperlink ref="S14" r:id="rId1" xr:uid="{8A536159-460F-47C8-8D8B-1574C3703F2D}"/>
    <hyperlink ref="S10" r:id="rId2" xr:uid="{2C4BA861-90BE-4801-B632-304A73849578}"/>
  </hyperlinks>
  <pageMargins left="0.70866141732283472" right="0.70866141732283472" top="0.74803149606299213" bottom="0.74803149606299213" header="0.31496062992125984" footer="0.31496062992125984"/>
  <pageSetup paperSize="9" scale="91" fitToHeight="0" orientation="portrait"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B18B3-3833-416C-9A72-86CCD7E1ACA2}">
  <sheetPr codeName="Sheet16">
    <tabColor theme="4" tint="0.79998168889431442"/>
  </sheetPr>
  <dimension ref="A1:BO270"/>
  <sheetViews>
    <sheetView workbookViewId="0">
      <selection activeCell="A264" sqref="A264:BO264"/>
    </sheetView>
  </sheetViews>
  <sheetFormatPr defaultRowHeight="15" outlineLevelCol="1"/>
  <cols>
    <col min="1" max="1" width="44" bestFit="1" customWidth="1"/>
    <col min="2" max="2" width="25.7109375" bestFit="1" customWidth="1"/>
    <col min="3" max="3" width="33.85546875" bestFit="1" customWidth="1"/>
    <col min="4" max="4" width="17.7109375" bestFit="1" customWidth="1"/>
    <col min="5" max="34" width="5" hidden="1" customWidth="1" outlineLevel="1"/>
    <col min="35" max="66" width="12" hidden="1" customWidth="1" outlineLevel="1"/>
    <col min="67" max="67" width="23.7109375" style="188" bestFit="1" customWidth="1" collapsed="1"/>
    <col min="257" max="257" width="44" bestFit="1" customWidth="1"/>
    <col min="258" max="258" width="25.7109375" bestFit="1" customWidth="1"/>
    <col min="259" max="259" width="33.85546875" bestFit="1" customWidth="1"/>
    <col min="260" max="260" width="17.7109375" bestFit="1" customWidth="1"/>
    <col min="261" max="290" width="5" bestFit="1" customWidth="1"/>
    <col min="291" max="323" width="12" bestFit="1" customWidth="1"/>
    <col min="513" max="513" width="44" bestFit="1" customWidth="1"/>
    <col min="514" max="514" width="25.7109375" bestFit="1" customWidth="1"/>
    <col min="515" max="515" width="33.85546875" bestFit="1" customWidth="1"/>
    <col min="516" max="516" width="17.7109375" bestFit="1" customWidth="1"/>
    <col min="517" max="546" width="5" bestFit="1" customWidth="1"/>
    <col min="547" max="579" width="12" bestFit="1" customWidth="1"/>
    <col min="769" max="769" width="44" bestFit="1" customWidth="1"/>
    <col min="770" max="770" width="25.7109375" bestFit="1" customWidth="1"/>
    <col min="771" max="771" width="33.85546875" bestFit="1" customWidth="1"/>
    <col min="772" max="772" width="17.7109375" bestFit="1" customWidth="1"/>
    <col min="773" max="802" width="5" bestFit="1" customWidth="1"/>
    <col min="803" max="835" width="12" bestFit="1" customWidth="1"/>
    <col min="1025" max="1025" width="44" bestFit="1" customWidth="1"/>
    <col min="1026" max="1026" width="25.7109375" bestFit="1" customWidth="1"/>
    <col min="1027" max="1027" width="33.85546875" bestFit="1" customWidth="1"/>
    <col min="1028" max="1028" width="17.7109375" bestFit="1" customWidth="1"/>
    <col min="1029" max="1058" width="5" bestFit="1" customWidth="1"/>
    <col min="1059" max="1091" width="12" bestFit="1" customWidth="1"/>
    <col min="1281" max="1281" width="44" bestFit="1" customWidth="1"/>
    <col min="1282" max="1282" width="25.7109375" bestFit="1" customWidth="1"/>
    <col min="1283" max="1283" width="33.85546875" bestFit="1" customWidth="1"/>
    <col min="1284" max="1284" width="17.7109375" bestFit="1" customWidth="1"/>
    <col min="1285" max="1314" width="5" bestFit="1" customWidth="1"/>
    <col min="1315" max="1347" width="12" bestFit="1" customWidth="1"/>
    <col min="1537" max="1537" width="44" bestFit="1" customWidth="1"/>
    <col min="1538" max="1538" width="25.7109375" bestFit="1" customWidth="1"/>
    <col min="1539" max="1539" width="33.85546875" bestFit="1" customWidth="1"/>
    <col min="1540" max="1540" width="17.7109375" bestFit="1" customWidth="1"/>
    <col min="1541" max="1570" width="5" bestFit="1" customWidth="1"/>
    <col min="1571" max="1603" width="12" bestFit="1" customWidth="1"/>
    <col min="1793" max="1793" width="44" bestFit="1" customWidth="1"/>
    <col min="1794" max="1794" width="25.7109375" bestFit="1" customWidth="1"/>
    <col min="1795" max="1795" width="33.85546875" bestFit="1" customWidth="1"/>
    <col min="1796" max="1796" width="17.7109375" bestFit="1" customWidth="1"/>
    <col min="1797" max="1826" width="5" bestFit="1" customWidth="1"/>
    <col min="1827" max="1859" width="12" bestFit="1" customWidth="1"/>
    <col min="2049" max="2049" width="44" bestFit="1" customWidth="1"/>
    <col min="2050" max="2050" width="25.7109375" bestFit="1" customWidth="1"/>
    <col min="2051" max="2051" width="33.85546875" bestFit="1" customWidth="1"/>
    <col min="2052" max="2052" width="17.7109375" bestFit="1" customWidth="1"/>
    <col min="2053" max="2082" width="5" bestFit="1" customWidth="1"/>
    <col min="2083" max="2115" width="12" bestFit="1" customWidth="1"/>
    <col min="2305" max="2305" width="44" bestFit="1" customWidth="1"/>
    <col min="2306" max="2306" width="25.7109375" bestFit="1" customWidth="1"/>
    <col min="2307" max="2307" width="33.85546875" bestFit="1" customWidth="1"/>
    <col min="2308" max="2308" width="17.7109375" bestFit="1" customWidth="1"/>
    <col min="2309" max="2338" width="5" bestFit="1" customWidth="1"/>
    <col min="2339" max="2371" width="12" bestFit="1" customWidth="1"/>
    <col min="2561" max="2561" width="44" bestFit="1" customWidth="1"/>
    <col min="2562" max="2562" width="25.7109375" bestFit="1" customWidth="1"/>
    <col min="2563" max="2563" width="33.85546875" bestFit="1" customWidth="1"/>
    <col min="2564" max="2564" width="17.7109375" bestFit="1" customWidth="1"/>
    <col min="2565" max="2594" width="5" bestFit="1" customWidth="1"/>
    <col min="2595" max="2627" width="12" bestFit="1" customWidth="1"/>
    <col min="2817" max="2817" width="44" bestFit="1" customWidth="1"/>
    <col min="2818" max="2818" width="25.7109375" bestFit="1" customWidth="1"/>
    <col min="2819" max="2819" width="33.85546875" bestFit="1" customWidth="1"/>
    <col min="2820" max="2820" width="17.7109375" bestFit="1" customWidth="1"/>
    <col min="2821" max="2850" width="5" bestFit="1" customWidth="1"/>
    <col min="2851" max="2883" width="12" bestFit="1" customWidth="1"/>
    <col min="3073" max="3073" width="44" bestFit="1" customWidth="1"/>
    <col min="3074" max="3074" width="25.7109375" bestFit="1" customWidth="1"/>
    <col min="3075" max="3075" width="33.85546875" bestFit="1" customWidth="1"/>
    <col min="3076" max="3076" width="17.7109375" bestFit="1" customWidth="1"/>
    <col min="3077" max="3106" width="5" bestFit="1" customWidth="1"/>
    <col min="3107" max="3139" width="12" bestFit="1" customWidth="1"/>
    <col min="3329" max="3329" width="44" bestFit="1" customWidth="1"/>
    <col min="3330" max="3330" width="25.7109375" bestFit="1" customWidth="1"/>
    <col min="3331" max="3331" width="33.85546875" bestFit="1" customWidth="1"/>
    <col min="3332" max="3332" width="17.7109375" bestFit="1" customWidth="1"/>
    <col min="3333" max="3362" width="5" bestFit="1" customWidth="1"/>
    <col min="3363" max="3395" width="12" bestFit="1" customWidth="1"/>
    <col min="3585" max="3585" width="44" bestFit="1" customWidth="1"/>
    <col min="3586" max="3586" width="25.7109375" bestFit="1" customWidth="1"/>
    <col min="3587" max="3587" width="33.85546875" bestFit="1" customWidth="1"/>
    <col min="3588" max="3588" width="17.7109375" bestFit="1" customWidth="1"/>
    <col min="3589" max="3618" width="5" bestFit="1" customWidth="1"/>
    <col min="3619" max="3651" width="12" bestFit="1" customWidth="1"/>
    <col min="3841" max="3841" width="44" bestFit="1" customWidth="1"/>
    <col min="3842" max="3842" width="25.7109375" bestFit="1" customWidth="1"/>
    <col min="3843" max="3843" width="33.85546875" bestFit="1" customWidth="1"/>
    <col min="3844" max="3844" width="17.7109375" bestFit="1" customWidth="1"/>
    <col min="3845" max="3874" width="5" bestFit="1" customWidth="1"/>
    <col min="3875" max="3907" width="12" bestFit="1" customWidth="1"/>
    <col min="4097" max="4097" width="44" bestFit="1" customWidth="1"/>
    <col min="4098" max="4098" width="25.7109375" bestFit="1" customWidth="1"/>
    <col min="4099" max="4099" width="33.85546875" bestFit="1" customWidth="1"/>
    <col min="4100" max="4100" width="17.7109375" bestFit="1" customWidth="1"/>
    <col min="4101" max="4130" width="5" bestFit="1" customWidth="1"/>
    <col min="4131" max="4163" width="12" bestFit="1" customWidth="1"/>
    <col min="4353" max="4353" width="44" bestFit="1" customWidth="1"/>
    <col min="4354" max="4354" width="25.7109375" bestFit="1" customWidth="1"/>
    <col min="4355" max="4355" width="33.85546875" bestFit="1" customWidth="1"/>
    <col min="4356" max="4356" width="17.7109375" bestFit="1" customWidth="1"/>
    <col min="4357" max="4386" width="5" bestFit="1" customWidth="1"/>
    <col min="4387" max="4419" width="12" bestFit="1" customWidth="1"/>
    <col min="4609" max="4609" width="44" bestFit="1" customWidth="1"/>
    <col min="4610" max="4610" width="25.7109375" bestFit="1" customWidth="1"/>
    <col min="4611" max="4611" width="33.85546875" bestFit="1" customWidth="1"/>
    <col min="4612" max="4612" width="17.7109375" bestFit="1" customWidth="1"/>
    <col min="4613" max="4642" width="5" bestFit="1" customWidth="1"/>
    <col min="4643" max="4675" width="12" bestFit="1" customWidth="1"/>
    <col min="4865" max="4865" width="44" bestFit="1" customWidth="1"/>
    <col min="4866" max="4866" width="25.7109375" bestFit="1" customWidth="1"/>
    <col min="4867" max="4867" width="33.85546875" bestFit="1" customWidth="1"/>
    <col min="4868" max="4868" width="17.7109375" bestFit="1" customWidth="1"/>
    <col min="4869" max="4898" width="5" bestFit="1" customWidth="1"/>
    <col min="4899" max="4931" width="12" bestFit="1" customWidth="1"/>
    <col min="5121" max="5121" width="44" bestFit="1" customWidth="1"/>
    <col min="5122" max="5122" width="25.7109375" bestFit="1" customWidth="1"/>
    <col min="5123" max="5123" width="33.85546875" bestFit="1" customWidth="1"/>
    <col min="5124" max="5124" width="17.7109375" bestFit="1" customWidth="1"/>
    <col min="5125" max="5154" width="5" bestFit="1" customWidth="1"/>
    <col min="5155" max="5187" width="12" bestFit="1" customWidth="1"/>
    <col min="5377" max="5377" width="44" bestFit="1" customWidth="1"/>
    <col min="5378" max="5378" width="25.7109375" bestFit="1" customWidth="1"/>
    <col min="5379" max="5379" width="33.85546875" bestFit="1" customWidth="1"/>
    <col min="5380" max="5380" width="17.7109375" bestFit="1" customWidth="1"/>
    <col min="5381" max="5410" width="5" bestFit="1" customWidth="1"/>
    <col min="5411" max="5443" width="12" bestFit="1" customWidth="1"/>
    <col min="5633" max="5633" width="44" bestFit="1" customWidth="1"/>
    <col min="5634" max="5634" width="25.7109375" bestFit="1" customWidth="1"/>
    <col min="5635" max="5635" width="33.85546875" bestFit="1" customWidth="1"/>
    <col min="5636" max="5636" width="17.7109375" bestFit="1" customWidth="1"/>
    <col min="5637" max="5666" width="5" bestFit="1" customWidth="1"/>
    <col min="5667" max="5699" width="12" bestFit="1" customWidth="1"/>
    <col min="5889" max="5889" width="44" bestFit="1" customWidth="1"/>
    <col min="5890" max="5890" width="25.7109375" bestFit="1" customWidth="1"/>
    <col min="5891" max="5891" width="33.85546875" bestFit="1" customWidth="1"/>
    <col min="5892" max="5892" width="17.7109375" bestFit="1" customWidth="1"/>
    <col min="5893" max="5922" width="5" bestFit="1" customWidth="1"/>
    <col min="5923" max="5955" width="12" bestFit="1" customWidth="1"/>
    <col min="6145" max="6145" width="44" bestFit="1" customWidth="1"/>
    <col min="6146" max="6146" width="25.7109375" bestFit="1" customWidth="1"/>
    <col min="6147" max="6147" width="33.85546875" bestFit="1" customWidth="1"/>
    <col min="6148" max="6148" width="17.7109375" bestFit="1" customWidth="1"/>
    <col min="6149" max="6178" width="5" bestFit="1" customWidth="1"/>
    <col min="6179" max="6211" width="12" bestFit="1" customWidth="1"/>
    <col min="6401" max="6401" width="44" bestFit="1" customWidth="1"/>
    <col min="6402" max="6402" width="25.7109375" bestFit="1" customWidth="1"/>
    <col min="6403" max="6403" width="33.85546875" bestFit="1" customWidth="1"/>
    <col min="6404" max="6404" width="17.7109375" bestFit="1" customWidth="1"/>
    <col min="6405" max="6434" width="5" bestFit="1" customWidth="1"/>
    <col min="6435" max="6467" width="12" bestFit="1" customWidth="1"/>
    <col min="6657" max="6657" width="44" bestFit="1" customWidth="1"/>
    <col min="6658" max="6658" width="25.7109375" bestFit="1" customWidth="1"/>
    <col min="6659" max="6659" width="33.85546875" bestFit="1" customWidth="1"/>
    <col min="6660" max="6660" width="17.7109375" bestFit="1" customWidth="1"/>
    <col min="6661" max="6690" width="5" bestFit="1" customWidth="1"/>
    <col min="6691" max="6723" width="12" bestFit="1" customWidth="1"/>
    <col min="6913" max="6913" width="44" bestFit="1" customWidth="1"/>
    <col min="6914" max="6914" width="25.7109375" bestFit="1" customWidth="1"/>
    <col min="6915" max="6915" width="33.85546875" bestFit="1" customWidth="1"/>
    <col min="6916" max="6916" width="17.7109375" bestFit="1" customWidth="1"/>
    <col min="6917" max="6946" width="5" bestFit="1" customWidth="1"/>
    <col min="6947" max="6979" width="12" bestFit="1" customWidth="1"/>
    <col min="7169" max="7169" width="44" bestFit="1" customWidth="1"/>
    <col min="7170" max="7170" width="25.7109375" bestFit="1" customWidth="1"/>
    <col min="7171" max="7171" width="33.85546875" bestFit="1" customWidth="1"/>
    <col min="7172" max="7172" width="17.7109375" bestFit="1" customWidth="1"/>
    <col min="7173" max="7202" width="5" bestFit="1" customWidth="1"/>
    <col min="7203" max="7235" width="12" bestFit="1" customWidth="1"/>
    <col min="7425" max="7425" width="44" bestFit="1" customWidth="1"/>
    <col min="7426" max="7426" width="25.7109375" bestFit="1" customWidth="1"/>
    <col min="7427" max="7427" width="33.85546875" bestFit="1" customWidth="1"/>
    <col min="7428" max="7428" width="17.7109375" bestFit="1" customWidth="1"/>
    <col min="7429" max="7458" width="5" bestFit="1" customWidth="1"/>
    <col min="7459" max="7491" width="12" bestFit="1" customWidth="1"/>
    <col min="7681" max="7681" width="44" bestFit="1" customWidth="1"/>
    <col min="7682" max="7682" width="25.7109375" bestFit="1" customWidth="1"/>
    <col min="7683" max="7683" width="33.85546875" bestFit="1" customWidth="1"/>
    <col min="7684" max="7684" width="17.7109375" bestFit="1" customWidth="1"/>
    <col min="7685" max="7714" width="5" bestFit="1" customWidth="1"/>
    <col min="7715" max="7747" width="12" bestFit="1" customWidth="1"/>
    <col min="7937" max="7937" width="44" bestFit="1" customWidth="1"/>
    <col min="7938" max="7938" width="25.7109375" bestFit="1" customWidth="1"/>
    <col min="7939" max="7939" width="33.85546875" bestFit="1" customWidth="1"/>
    <col min="7940" max="7940" width="17.7109375" bestFit="1" customWidth="1"/>
    <col min="7941" max="7970" width="5" bestFit="1" customWidth="1"/>
    <col min="7971" max="8003" width="12" bestFit="1" customWidth="1"/>
    <col min="8193" max="8193" width="44" bestFit="1" customWidth="1"/>
    <col min="8194" max="8194" width="25.7109375" bestFit="1" customWidth="1"/>
    <col min="8195" max="8195" width="33.85546875" bestFit="1" customWidth="1"/>
    <col min="8196" max="8196" width="17.7109375" bestFit="1" customWidth="1"/>
    <col min="8197" max="8226" width="5" bestFit="1" customWidth="1"/>
    <col min="8227" max="8259" width="12" bestFit="1" customWidth="1"/>
    <col min="8449" max="8449" width="44" bestFit="1" customWidth="1"/>
    <col min="8450" max="8450" width="25.7109375" bestFit="1" customWidth="1"/>
    <col min="8451" max="8451" width="33.85546875" bestFit="1" customWidth="1"/>
    <col min="8452" max="8452" width="17.7109375" bestFit="1" customWidth="1"/>
    <col min="8453" max="8482" width="5" bestFit="1" customWidth="1"/>
    <col min="8483" max="8515" width="12" bestFit="1" customWidth="1"/>
    <col min="8705" max="8705" width="44" bestFit="1" customWidth="1"/>
    <col min="8706" max="8706" width="25.7109375" bestFit="1" customWidth="1"/>
    <col min="8707" max="8707" width="33.85546875" bestFit="1" customWidth="1"/>
    <col min="8708" max="8708" width="17.7109375" bestFit="1" customWidth="1"/>
    <col min="8709" max="8738" width="5" bestFit="1" customWidth="1"/>
    <col min="8739" max="8771" width="12" bestFit="1" customWidth="1"/>
    <col min="8961" max="8961" width="44" bestFit="1" customWidth="1"/>
    <col min="8962" max="8962" width="25.7109375" bestFit="1" customWidth="1"/>
    <col min="8963" max="8963" width="33.85546875" bestFit="1" customWidth="1"/>
    <col min="8964" max="8964" width="17.7109375" bestFit="1" customWidth="1"/>
    <col min="8965" max="8994" width="5" bestFit="1" customWidth="1"/>
    <col min="8995" max="9027" width="12" bestFit="1" customWidth="1"/>
    <col min="9217" max="9217" width="44" bestFit="1" customWidth="1"/>
    <col min="9218" max="9218" width="25.7109375" bestFit="1" customWidth="1"/>
    <col min="9219" max="9219" width="33.85546875" bestFit="1" customWidth="1"/>
    <col min="9220" max="9220" width="17.7109375" bestFit="1" customWidth="1"/>
    <col min="9221" max="9250" width="5" bestFit="1" customWidth="1"/>
    <col min="9251" max="9283" width="12" bestFit="1" customWidth="1"/>
    <col min="9473" max="9473" width="44" bestFit="1" customWidth="1"/>
    <col min="9474" max="9474" width="25.7109375" bestFit="1" customWidth="1"/>
    <col min="9475" max="9475" width="33.85546875" bestFit="1" customWidth="1"/>
    <col min="9476" max="9476" width="17.7109375" bestFit="1" customWidth="1"/>
    <col min="9477" max="9506" width="5" bestFit="1" customWidth="1"/>
    <col min="9507" max="9539" width="12" bestFit="1" customWidth="1"/>
    <col min="9729" max="9729" width="44" bestFit="1" customWidth="1"/>
    <col min="9730" max="9730" width="25.7109375" bestFit="1" customWidth="1"/>
    <col min="9731" max="9731" width="33.85546875" bestFit="1" customWidth="1"/>
    <col min="9732" max="9732" width="17.7109375" bestFit="1" customWidth="1"/>
    <col min="9733" max="9762" width="5" bestFit="1" customWidth="1"/>
    <col min="9763" max="9795" width="12" bestFit="1" customWidth="1"/>
    <col min="9985" max="9985" width="44" bestFit="1" customWidth="1"/>
    <col min="9986" max="9986" width="25.7109375" bestFit="1" customWidth="1"/>
    <col min="9987" max="9987" width="33.85546875" bestFit="1" customWidth="1"/>
    <col min="9988" max="9988" width="17.7109375" bestFit="1" customWidth="1"/>
    <col min="9989" max="10018" width="5" bestFit="1" customWidth="1"/>
    <col min="10019" max="10051" width="12" bestFit="1" customWidth="1"/>
    <col min="10241" max="10241" width="44" bestFit="1" customWidth="1"/>
    <col min="10242" max="10242" width="25.7109375" bestFit="1" customWidth="1"/>
    <col min="10243" max="10243" width="33.85546875" bestFit="1" customWidth="1"/>
    <col min="10244" max="10244" width="17.7109375" bestFit="1" customWidth="1"/>
    <col min="10245" max="10274" width="5" bestFit="1" customWidth="1"/>
    <col min="10275" max="10307" width="12" bestFit="1" customWidth="1"/>
    <col min="10497" max="10497" width="44" bestFit="1" customWidth="1"/>
    <col min="10498" max="10498" width="25.7109375" bestFit="1" customWidth="1"/>
    <col min="10499" max="10499" width="33.85546875" bestFit="1" customWidth="1"/>
    <col min="10500" max="10500" width="17.7109375" bestFit="1" customWidth="1"/>
    <col min="10501" max="10530" width="5" bestFit="1" customWidth="1"/>
    <col min="10531" max="10563" width="12" bestFit="1" customWidth="1"/>
    <col min="10753" max="10753" width="44" bestFit="1" customWidth="1"/>
    <col min="10754" max="10754" width="25.7109375" bestFit="1" customWidth="1"/>
    <col min="10755" max="10755" width="33.85546875" bestFit="1" customWidth="1"/>
    <col min="10756" max="10756" width="17.7109375" bestFit="1" customWidth="1"/>
    <col min="10757" max="10786" width="5" bestFit="1" customWidth="1"/>
    <col min="10787" max="10819" width="12" bestFit="1" customWidth="1"/>
    <col min="11009" max="11009" width="44" bestFit="1" customWidth="1"/>
    <col min="11010" max="11010" width="25.7109375" bestFit="1" customWidth="1"/>
    <col min="11011" max="11011" width="33.85546875" bestFit="1" customWidth="1"/>
    <col min="11012" max="11012" width="17.7109375" bestFit="1" customWidth="1"/>
    <col min="11013" max="11042" width="5" bestFit="1" customWidth="1"/>
    <col min="11043" max="11075" width="12" bestFit="1" customWidth="1"/>
    <col min="11265" max="11265" width="44" bestFit="1" customWidth="1"/>
    <col min="11266" max="11266" width="25.7109375" bestFit="1" customWidth="1"/>
    <col min="11267" max="11267" width="33.85546875" bestFit="1" customWidth="1"/>
    <col min="11268" max="11268" width="17.7109375" bestFit="1" customWidth="1"/>
    <col min="11269" max="11298" width="5" bestFit="1" customWidth="1"/>
    <col min="11299" max="11331" width="12" bestFit="1" customWidth="1"/>
    <col min="11521" max="11521" width="44" bestFit="1" customWidth="1"/>
    <col min="11522" max="11522" width="25.7109375" bestFit="1" customWidth="1"/>
    <col min="11523" max="11523" width="33.85546875" bestFit="1" customWidth="1"/>
    <col min="11524" max="11524" width="17.7109375" bestFit="1" customWidth="1"/>
    <col min="11525" max="11554" width="5" bestFit="1" customWidth="1"/>
    <col min="11555" max="11587" width="12" bestFit="1" customWidth="1"/>
    <col min="11777" max="11777" width="44" bestFit="1" customWidth="1"/>
    <col min="11778" max="11778" width="25.7109375" bestFit="1" customWidth="1"/>
    <col min="11779" max="11779" width="33.85546875" bestFit="1" customWidth="1"/>
    <col min="11780" max="11780" width="17.7109375" bestFit="1" customWidth="1"/>
    <col min="11781" max="11810" width="5" bestFit="1" customWidth="1"/>
    <col min="11811" max="11843" width="12" bestFit="1" customWidth="1"/>
    <col min="12033" max="12033" width="44" bestFit="1" customWidth="1"/>
    <col min="12034" max="12034" width="25.7109375" bestFit="1" customWidth="1"/>
    <col min="12035" max="12035" width="33.85546875" bestFit="1" customWidth="1"/>
    <col min="12036" max="12036" width="17.7109375" bestFit="1" customWidth="1"/>
    <col min="12037" max="12066" width="5" bestFit="1" customWidth="1"/>
    <col min="12067" max="12099" width="12" bestFit="1" customWidth="1"/>
    <col min="12289" max="12289" width="44" bestFit="1" customWidth="1"/>
    <col min="12290" max="12290" width="25.7109375" bestFit="1" customWidth="1"/>
    <col min="12291" max="12291" width="33.85546875" bestFit="1" customWidth="1"/>
    <col min="12292" max="12292" width="17.7109375" bestFit="1" customWidth="1"/>
    <col min="12293" max="12322" width="5" bestFit="1" customWidth="1"/>
    <col min="12323" max="12355" width="12" bestFit="1" customWidth="1"/>
    <col min="12545" max="12545" width="44" bestFit="1" customWidth="1"/>
    <col min="12546" max="12546" width="25.7109375" bestFit="1" customWidth="1"/>
    <col min="12547" max="12547" width="33.85546875" bestFit="1" customWidth="1"/>
    <col min="12548" max="12548" width="17.7109375" bestFit="1" customWidth="1"/>
    <col min="12549" max="12578" width="5" bestFit="1" customWidth="1"/>
    <col min="12579" max="12611" width="12" bestFit="1" customWidth="1"/>
    <col min="12801" max="12801" width="44" bestFit="1" customWidth="1"/>
    <col min="12802" max="12802" width="25.7109375" bestFit="1" customWidth="1"/>
    <col min="12803" max="12803" width="33.85546875" bestFit="1" customWidth="1"/>
    <col min="12804" max="12804" width="17.7109375" bestFit="1" customWidth="1"/>
    <col min="12805" max="12834" width="5" bestFit="1" customWidth="1"/>
    <col min="12835" max="12867" width="12" bestFit="1" customWidth="1"/>
    <col min="13057" max="13057" width="44" bestFit="1" customWidth="1"/>
    <col min="13058" max="13058" width="25.7109375" bestFit="1" customWidth="1"/>
    <col min="13059" max="13059" width="33.85546875" bestFit="1" customWidth="1"/>
    <col min="13060" max="13060" width="17.7109375" bestFit="1" customWidth="1"/>
    <col min="13061" max="13090" width="5" bestFit="1" customWidth="1"/>
    <col min="13091" max="13123" width="12" bestFit="1" customWidth="1"/>
    <col min="13313" max="13313" width="44" bestFit="1" customWidth="1"/>
    <col min="13314" max="13314" width="25.7109375" bestFit="1" customWidth="1"/>
    <col min="13315" max="13315" width="33.85546875" bestFit="1" customWidth="1"/>
    <col min="13316" max="13316" width="17.7109375" bestFit="1" customWidth="1"/>
    <col min="13317" max="13346" width="5" bestFit="1" customWidth="1"/>
    <col min="13347" max="13379" width="12" bestFit="1" customWidth="1"/>
    <col min="13569" max="13569" width="44" bestFit="1" customWidth="1"/>
    <col min="13570" max="13570" width="25.7109375" bestFit="1" customWidth="1"/>
    <col min="13571" max="13571" width="33.85546875" bestFit="1" customWidth="1"/>
    <col min="13572" max="13572" width="17.7109375" bestFit="1" customWidth="1"/>
    <col min="13573" max="13602" width="5" bestFit="1" customWidth="1"/>
    <col min="13603" max="13635" width="12" bestFit="1" customWidth="1"/>
    <col min="13825" max="13825" width="44" bestFit="1" customWidth="1"/>
    <col min="13826" max="13826" width="25.7109375" bestFit="1" customWidth="1"/>
    <col min="13827" max="13827" width="33.85546875" bestFit="1" customWidth="1"/>
    <col min="13828" max="13828" width="17.7109375" bestFit="1" customWidth="1"/>
    <col min="13829" max="13858" width="5" bestFit="1" customWidth="1"/>
    <col min="13859" max="13891" width="12" bestFit="1" customWidth="1"/>
    <col min="14081" max="14081" width="44" bestFit="1" customWidth="1"/>
    <col min="14082" max="14082" width="25.7109375" bestFit="1" customWidth="1"/>
    <col min="14083" max="14083" width="33.85546875" bestFit="1" customWidth="1"/>
    <col min="14084" max="14084" width="17.7109375" bestFit="1" customWidth="1"/>
    <col min="14085" max="14114" width="5" bestFit="1" customWidth="1"/>
    <col min="14115" max="14147" width="12" bestFit="1" customWidth="1"/>
    <col min="14337" max="14337" width="44" bestFit="1" customWidth="1"/>
    <col min="14338" max="14338" width="25.7109375" bestFit="1" customWidth="1"/>
    <col min="14339" max="14339" width="33.85546875" bestFit="1" customWidth="1"/>
    <col min="14340" max="14340" width="17.7109375" bestFit="1" customWidth="1"/>
    <col min="14341" max="14370" width="5" bestFit="1" customWidth="1"/>
    <col min="14371" max="14403" width="12" bestFit="1" customWidth="1"/>
    <col min="14593" max="14593" width="44" bestFit="1" customWidth="1"/>
    <col min="14594" max="14594" width="25.7109375" bestFit="1" customWidth="1"/>
    <col min="14595" max="14595" width="33.85546875" bestFit="1" customWidth="1"/>
    <col min="14596" max="14596" width="17.7109375" bestFit="1" customWidth="1"/>
    <col min="14597" max="14626" width="5" bestFit="1" customWidth="1"/>
    <col min="14627" max="14659" width="12" bestFit="1" customWidth="1"/>
    <col min="14849" max="14849" width="44" bestFit="1" customWidth="1"/>
    <col min="14850" max="14850" width="25.7109375" bestFit="1" customWidth="1"/>
    <col min="14851" max="14851" width="33.85546875" bestFit="1" customWidth="1"/>
    <col min="14852" max="14852" width="17.7109375" bestFit="1" customWidth="1"/>
    <col min="14853" max="14882" width="5" bestFit="1" customWidth="1"/>
    <col min="14883" max="14915" width="12" bestFit="1" customWidth="1"/>
    <col min="15105" max="15105" width="44" bestFit="1" customWidth="1"/>
    <col min="15106" max="15106" width="25.7109375" bestFit="1" customWidth="1"/>
    <col min="15107" max="15107" width="33.85546875" bestFit="1" customWidth="1"/>
    <col min="15108" max="15108" width="17.7109375" bestFit="1" customWidth="1"/>
    <col min="15109" max="15138" width="5" bestFit="1" customWidth="1"/>
    <col min="15139" max="15171" width="12" bestFit="1" customWidth="1"/>
    <col min="15361" max="15361" width="44" bestFit="1" customWidth="1"/>
    <col min="15362" max="15362" width="25.7109375" bestFit="1" customWidth="1"/>
    <col min="15363" max="15363" width="33.85546875" bestFit="1" customWidth="1"/>
    <col min="15364" max="15364" width="17.7109375" bestFit="1" customWidth="1"/>
    <col min="15365" max="15394" width="5" bestFit="1" customWidth="1"/>
    <col min="15395" max="15427" width="12" bestFit="1" customWidth="1"/>
    <col min="15617" max="15617" width="44" bestFit="1" customWidth="1"/>
    <col min="15618" max="15618" width="25.7109375" bestFit="1" customWidth="1"/>
    <col min="15619" max="15619" width="33.85546875" bestFit="1" customWidth="1"/>
    <col min="15620" max="15620" width="17.7109375" bestFit="1" customWidth="1"/>
    <col min="15621" max="15650" width="5" bestFit="1" customWidth="1"/>
    <col min="15651" max="15683" width="12" bestFit="1" customWidth="1"/>
    <col min="15873" max="15873" width="44" bestFit="1" customWidth="1"/>
    <col min="15874" max="15874" width="25.7109375" bestFit="1" customWidth="1"/>
    <col min="15875" max="15875" width="33.85546875" bestFit="1" customWidth="1"/>
    <col min="15876" max="15876" width="17.7109375" bestFit="1" customWidth="1"/>
    <col min="15877" max="15906" width="5" bestFit="1" customWidth="1"/>
    <col min="15907" max="15939" width="12" bestFit="1" customWidth="1"/>
    <col min="16129" max="16129" width="44" bestFit="1" customWidth="1"/>
    <col min="16130" max="16130" width="25.7109375" bestFit="1" customWidth="1"/>
    <col min="16131" max="16131" width="33.85546875" bestFit="1" customWidth="1"/>
    <col min="16132" max="16132" width="17.7109375" bestFit="1" customWidth="1"/>
    <col min="16133" max="16162" width="5" bestFit="1" customWidth="1"/>
    <col min="16163" max="16195" width="12" bestFit="1" customWidth="1"/>
  </cols>
  <sheetData>
    <row r="1" spans="1:67">
      <c r="A1" t="s">
        <v>413</v>
      </c>
      <c r="B1" t="s">
        <v>414</v>
      </c>
    </row>
    <row r="2" spans="1:67">
      <c r="A2" t="s">
        <v>415</v>
      </c>
      <c r="B2" s="110">
        <v>45132</v>
      </c>
      <c r="C2" s="46" t="s">
        <v>416</v>
      </c>
    </row>
    <row r="4" spans="1:67">
      <c r="A4" t="s">
        <v>417</v>
      </c>
      <c r="B4" t="s">
        <v>418</v>
      </c>
      <c r="C4" t="s">
        <v>419</v>
      </c>
      <c r="D4" t="s">
        <v>420</v>
      </c>
      <c r="E4" t="s">
        <v>421</v>
      </c>
      <c r="F4" t="s">
        <v>422</v>
      </c>
      <c r="G4" t="s">
        <v>423</v>
      </c>
      <c r="H4" t="s">
        <v>424</v>
      </c>
      <c r="I4" t="s">
        <v>425</v>
      </c>
      <c r="J4" t="s">
        <v>426</v>
      </c>
      <c r="K4" t="s">
        <v>427</v>
      </c>
      <c r="L4" t="s">
        <v>428</v>
      </c>
      <c r="M4" t="s">
        <v>429</v>
      </c>
      <c r="N4" t="s">
        <v>430</v>
      </c>
      <c r="O4" t="s">
        <v>431</v>
      </c>
      <c r="P4" t="s">
        <v>432</v>
      </c>
      <c r="Q4" t="s">
        <v>433</v>
      </c>
      <c r="R4" t="s">
        <v>434</v>
      </c>
      <c r="S4" t="s">
        <v>435</v>
      </c>
      <c r="T4" t="s">
        <v>436</v>
      </c>
      <c r="U4" t="s">
        <v>437</v>
      </c>
      <c r="V4" t="s">
        <v>438</v>
      </c>
      <c r="W4" t="s">
        <v>439</v>
      </c>
      <c r="X4" t="s">
        <v>440</v>
      </c>
      <c r="Y4" t="s">
        <v>441</v>
      </c>
      <c r="Z4" t="s">
        <v>442</v>
      </c>
      <c r="AA4" t="s">
        <v>443</v>
      </c>
      <c r="AB4" t="s">
        <v>444</v>
      </c>
      <c r="AC4" t="s">
        <v>445</v>
      </c>
      <c r="AD4" t="s">
        <v>446</v>
      </c>
      <c r="AE4" t="s">
        <v>447</v>
      </c>
      <c r="AF4" t="s">
        <v>448</v>
      </c>
      <c r="AG4" t="s">
        <v>449</v>
      </c>
      <c r="AH4" t="s">
        <v>450</v>
      </c>
      <c r="AI4" t="s">
        <v>451</v>
      </c>
      <c r="AJ4" t="s">
        <v>452</v>
      </c>
      <c r="AK4" t="s">
        <v>453</v>
      </c>
      <c r="AL4" t="s">
        <v>454</v>
      </c>
      <c r="AM4" t="s">
        <v>455</v>
      </c>
      <c r="AN4" t="s">
        <v>456</v>
      </c>
      <c r="AO4" t="s">
        <v>457</v>
      </c>
      <c r="AP4" t="s">
        <v>458</v>
      </c>
      <c r="AQ4" t="s">
        <v>459</v>
      </c>
      <c r="AR4" t="s">
        <v>460</v>
      </c>
      <c r="AS4" t="s">
        <v>461</v>
      </c>
      <c r="AT4" t="s">
        <v>462</v>
      </c>
      <c r="AU4" t="s">
        <v>463</v>
      </c>
      <c r="AV4" t="s">
        <v>464</v>
      </c>
      <c r="AW4" t="s">
        <v>465</v>
      </c>
      <c r="AX4" t="s">
        <v>466</v>
      </c>
      <c r="AY4" t="s">
        <v>467</v>
      </c>
      <c r="AZ4" t="s">
        <v>468</v>
      </c>
      <c r="BA4" t="s">
        <v>469</v>
      </c>
      <c r="BB4" t="s">
        <v>470</v>
      </c>
      <c r="BC4" t="s">
        <v>471</v>
      </c>
      <c r="BD4" t="s">
        <v>472</v>
      </c>
      <c r="BE4" t="s">
        <v>473</v>
      </c>
      <c r="BF4" t="s">
        <v>474</v>
      </c>
      <c r="BG4" t="s">
        <v>475</v>
      </c>
      <c r="BH4" t="s">
        <v>476</v>
      </c>
      <c r="BI4" t="s">
        <v>477</v>
      </c>
      <c r="BJ4" t="s">
        <v>478</v>
      </c>
      <c r="BK4" t="s">
        <v>479</v>
      </c>
      <c r="BL4" t="s">
        <v>480</v>
      </c>
      <c r="BM4" t="s">
        <v>481</v>
      </c>
      <c r="BN4" t="s">
        <v>482</v>
      </c>
      <c r="BO4" s="188" t="s">
        <v>483</v>
      </c>
    </row>
    <row r="5" spans="1:67">
      <c r="A5" t="s">
        <v>484</v>
      </c>
      <c r="B5" t="s">
        <v>485</v>
      </c>
      <c r="C5" t="s">
        <v>486</v>
      </c>
      <c r="D5" t="s">
        <v>487</v>
      </c>
      <c r="AI5">
        <v>2025472682.2579668</v>
      </c>
      <c r="AJ5">
        <v>2186758474.1649046</v>
      </c>
      <c r="AK5">
        <v>2315391347.7216611</v>
      </c>
      <c r="AL5">
        <v>2484593044.8417034</v>
      </c>
      <c r="AM5">
        <v>2688426605.7762632</v>
      </c>
      <c r="AN5">
        <v>2756904694.3461843</v>
      </c>
      <c r="AO5">
        <v>2789595753.4805155</v>
      </c>
      <c r="AP5">
        <v>2986175079.0219269</v>
      </c>
      <c r="AQ5">
        <v>3045659222.2178082</v>
      </c>
      <c r="AR5">
        <v>3083365757.7557769</v>
      </c>
      <c r="AS5">
        <v>3318213058.3773551</v>
      </c>
      <c r="AT5">
        <v>3457444044.0429955</v>
      </c>
      <c r="AU5">
        <v>3424329647.4522491</v>
      </c>
      <c r="AV5">
        <v>3462712243.5006146</v>
      </c>
      <c r="AW5">
        <v>3714833217.5438018</v>
      </c>
      <c r="AX5">
        <v>3700533819.0159798</v>
      </c>
      <c r="AY5">
        <v>3742679414.6769304</v>
      </c>
      <c r="AZ5">
        <v>3858579802.744545</v>
      </c>
      <c r="BA5">
        <v>3929324195.4611406</v>
      </c>
      <c r="BB5">
        <v>3470238242.7257843</v>
      </c>
      <c r="BC5">
        <v>3375410652.4886451</v>
      </c>
      <c r="BD5">
        <v>3489053240.7887087</v>
      </c>
      <c r="BE5">
        <v>3452928444.507894</v>
      </c>
      <c r="BF5">
        <v>3674945421.6504021</v>
      </c>
      <c r="BG5">
        <v>3674192821.7278857</v>
      </c>
      <c r="BH5">
        <v>3804392608.3233228</v>
      </c>
      <c r="BI5">
        <v>3884920800.032639</v>
      </c>
      <c r="BJ5">
        <v>4097906578.1049438</v>
      </c>
      <c r="BK5">
        <v>4313368560.4423141</v>
      </c>
      <c r="BL5">
        <v>4340759735.6622877</v>
      </c>
      <c r="BM5">
        <v>3533851600.6565471</v>
      </c>
      <c r="BN5">
        <v>4140702570.6189332</v>
      </c>
    </row>
    <row r="6" spans="1:67">
      <c r="A6" t="s">
        <v>488</v>
      </c>
      <c r="B6" t="s">
        <v>489</v>
      </c>
      <c r="C6" t="s">
        <v>486</v>
      </c>
      <c r="D6" t="s">
        <v>487</v>
      </c>
      <c r="AI6">
        <v>941230128540.85779</v>
      </c>
      <c r="AJ6">
        <v>941502346506.04785</v>
      </c>
      <c r="AK6">
        <v>923240769908.39294</v>
      </c>
      <c r="AL6">
        <v>918851419781.73462</v>
      </c>
      <c r="AM6">
        <v>935141011491.64734</v>
      </c>
      <c r="AN6">
        <v>977089498425.11438</v>
      </c>
      <c r="AO6">
        <v>1030404902862.736</v>
      </c>
      <c r="AP6">
        <v>1074819374522.9724</v>
      </c>
      <c r="AQ6">
        <v>1094745165069.8536</v>
      </c>
      <c r="AR6">
        <v>1124956721320.877</v>
      </c>
      <c r="AS6">
        <v>1163493465389.2979</v>
      </c>
      <c r="AT6">
        <v>1206367453281.4177</v>
      </c>
      <c r="AU6">
        <v>1253866983703.9097</v>
      </c>
      <c r="AV6">
        <v>1295313814249.4426</v>
      </c>
      <c r="AW6">
        <v>1369484007845.929</v>
      </c>
      <c r="AX6">
        <v>1456215145828.3079</v>
      </c>
      <c r="AY6">
        <v>1554314988532.5342</v>
      </c>
      <c r="AZ6">
        <v>1659883928107.5889</v>
      </c>
      <c r="BA6">
        <v>1736032361958.394</v>
      </c>
      <c r="BB6">
        <v>1747878036619.0361</v>
      </c>
      <c r="BC6">
        <v>1839079146370.7241</v>
      </c>
      <c r="BD6">
        <v>1913670885579.7932</v>
      </c>
      <c r="BE6">
        <v>1958071915018.8601</v>
      </c>
      <c r="BF6">
        <v>2040606327834.4429</v>
      </c>
      <c r="BG6">
        <v>2126168222172.5376</v>
      </c>
      <c r="BH6">
        <v>2195150972329.8818</v>
      </c>
      <c r="BI6">
        <v>2252600537321.6709</v>
      </c>
      <c r="BJ6">
        <v>2315257093012.8477</v>
      </c>
      <c r="BK6">
        <v>2378995199081.5713</v>
      </c>
      <c r="BL6">
        <v>2434249407667.3818</v>
      </c>
      <c r="BM6">
        <v>2367081181570.7188</v>
      </c>
      <c r="BN6">
        <v>2473899344477.5176</v>
      </c>
      <c r="BO6" s="188">
        <v>2561800475688.7041</v>
      </c>
    </row>
    <row r="7" spans="1:67">
      <c r="A7" t="s">
        <v>490</v>
      </c>
      <c r="B7" t="s">
        <v>491</v>
      </c>
      <c r="C7" t="s">
        <v>486</v>
      </c>
      <c r="D7" t="s">
        <v>487</v>
      </c>
      <c r="AU7">
        <v>26890054382.385048</v>
      </c>
      <c r="AV7">
        <v>29265058689.40612</v>
      </c>
      <c r="AW7">
        <v>29678901146.363167</v>
      </c>
      <c r="AX7">
        <v>33011757107.890633</v>
      </c>
      <c r="AY7">
        <v>34780330056.487976</v>
      </c>
      <c r="AZ7">
        <v>39589169629.938858</v>
      </c>
      <c r="BA7">
        <v>41143038133.02597</v>
      </c>
      <c r="BB7">
        <v>49943751386.657578</v>
      </c>
      <c r="BC7">
        <v>57116893447.123077</v>
      </c>
      <c r="BD7">
        <v>57360414055.109337</v>
      </c>
      <c r="BE7">
        <v>64675178730.693687</v>
      </c>
      <c r="BF7">
        <v>68297470348.557693</v>
      </c>
      <c r="BG7">
        <v>70158264544.684036</v>
      </c>
      <c r="BH7">
        <v>71176481723.291077</v>
      </c>
      <c r="BI7">
        <v>72785293847.671555</v>
      </c>
      <c r="BJ7">
        <v>74711922906.37384</v>
      </c>
      <c r="BK7">
        <v>75600418108.830276</v>
      </c>
      <c r="BL7">
        <v>78557606648.673355</v>
      </c>
      <c r="BM7">
        <v>76710638229.713165</v>
      </c>
      <c r="BN7">
        <v>60831536120.787079</v>
      </c>
    </row>
    <row r="8" spans="1:67">
      <c r="A8" t="s">
        <v>492</v>
      </c>
      <c r="B8" t="s">
        <v>493</v>
      </c>
      <c r="C8" t="s">
        <v>486</v>
      </c>
      <c r="D8" t="s">
        <v>487</v>
      </c>
      <c r="AI8">
        <v>576450635409.54126</v>
      </c>
      <c r="AJ8">
        <v>583643220657.22632</v>
      </c>
      <c r="AK8">
        <v>598067498363.25012</v>
      </c>
      <c r="AL8">
        <v>591856316379.35876</v>
      </c>
      <c r="AM8">
        <v>591429860434.49854</v>
      </c>
      <c r="AN8">
        <v>604198213585.30725</v>
      </c>
      <c r="AO8">
        <v>632674258511.02856</v>
      </c>
      <c r="AP8">
        <v>660180290585.97937</v>
      </c>
      <c r="AQ8">
        <v>683807654813.89319</v>
      </c>
      <c r="AR8">
        <v>695235586782.70654</v>
      </c>
      <c r="AS8">
        <v>720294927730.99377</v>
      </c>
      <c r="AT8">
        <v>757827110797.34766</v>
      </c>
      <c r="AU8">
        <v>828636619180.94189</v>
      </c>
      <c r="AV8">
        <v>873867771013.19409</v>
      </c>
      <c r="AW8">
        <v>942447076768.4895</v>
      </c>
      <c r="AX8">
        <v>996924092673.3252</v>
      </c>
      <c r="AY8">
        <v>1050414043313.8328</v>
      </c>
      <c r="AZ8">
        <v>1107184647738.3369</v>
      </c>
      <c r="BA8">
        <v>1176280800568.3977</v>
      </c>
      <c r="BB8">
        <v>1247086120969.2383</v>
      </c>
      <c r="BC8">
        <v>1331814776575.4729</v>
      </c>
      <c r="BD8">
        <v>1396969026019.1978</v>
      </c>
      <c r="BE8">
        <v>1470162108394.5859</v>
      </c>
      <c r="BF8">
        <v>1558975329484.3232</v>
      </c>
      <c r="BG8">
        <v>1649904647786.0376</v>
      </c>
      <c r="BH8">
        <v>1695471340291.321</v>
      </c>
      <c r="BI8">
        <v>1702597304656.1445</v>
      </c>
      <c r="BJ8">
        <v>1746659814390.7563</v>
      </c>
      <c r="BK8">
        <v>1798952061583.3955</v>
      </c>
      <c r="BL8">
        <v>1859675906587.2175</v>
      </c>
      <c r="BM8">
        <v>1845145605905.6436</v>
      </c>
      <c r="BN8">
        <v>1919728951043.249</v>
      </c>
      <c r="BO8" s="188">
        <v>1992634876958.1506</v>
      </c>
    </row>
    <row r="9" spans="1:67">
      <c r="A9" t="s">
        <v>494</v>
      </c>
      <c r="B9" t="s">
        <v>495</v>
      </c>
      <c r="C9" t="s">
        <v>486</v>
      </c>
      <c r="D9" t="s">
        <v>487</v>
      </c>
      <c r="AI9">
        <v>68524299596.333145</v>
      </c>
      <c r="AJ9">
        <v>69203621614.542419</v>
      </c>
      <c r="AK9">
        <v>65163319907.191429</v>
      </c>
      <c r="AL9">
        <v>49534928874.746147</v>
      </c>
      <c r="AM9">
        <v>50198381600.380836</v>
      </c>
      <c r="AN9">
        <v>57728138854.926903</v>
      </c>
      <c r="AO9">
        <v>65547051434.177246</v>
      </c>
      <c r="AP9">
        <v>70315125753.264069</v>
      </c>
      <c r="AQ9">
        <v>73613711279.50914</v>
      </c>
      <c r="AR9">
        <v>75219586822.407669</v>
      </c>
      <c r="AS9">
        <v>77517262550.431152</v>
      </c>
      <c r="AT9">
        <v>80777637494.104248</v>
      </c>
      <c r="AU9">
        <v>91816458022.421188</v>
      </c>
      <c r="AV9">
        <v>94561770117.291595</v>
      </c>
      <c r="AW9">
        <v>104916283945.13503</v>
      </c>
      <c r="AX9">
        <v>120685201422.08878</v>
      </c>
      <c r="AY9">
        <v>134624342186.3401</v>
      </c>
      <c r="AZ9">
        <v>153485212526.64639</v>
      </c>
      <c r="BA9">
        <v>170629510765.87274</v>
      </c>
      <c r="BB9">
        <v>172096924558.45975</v>
      </c>
      <c r="BC9">
        <v>179666394277.96384</v>
      </c>
      <c r="BD9">
        <v>185904506976.35587</v>
      </c>
      <c r="BE9">
        <v>201784669021.09128</v>
      </c>
      <c r="BF9">
        <v>211782318527.22754</v>
      </c>
      <c r="BG9">
        <v>221995646360.78183</v>
      </c>
      <c r="BH9">
        <v>224090334147.22174</v>
      </c>
      <c r="BI9">
        <v>218308554288.73465</v>
      </c>
      <c r="BJ9">
        <v>217987313632.15808</v>
      </c>
      <c r="BK9">
        <v>215117812148.69174</v>
      </c>
      <c r="BL9">
        <v>213607097926.95627</v>
      </c>
      <c r="BM9">
        <v>201563471094.763</v>
      </c>
      <c r="BN9">
        <v>203980641447.53436</v>
      </c>
      <c r="BO9" s="188">
        <v>210192674041.07547</v>
      </c>
    </row>
    <row r="10" spans="1:67">
      <c r="A10" t="s">
        <v>496</v>
      </c>
      <c r="B10" t="s">
        <v>497</v>
      </c>
      <c r="C10" t="s">
        <v>486</v>
      </c>
      <c r="D10" t="s">
        <v>487</v>
      </c>
      <c r="AI10">
        <v>15864229287.942841</v>
      </c>
      <c r="AJ10">
        <v>11421905330.114744</v>
      </c>
      <c r="AK10">
        <v>10601000325.43306</v>
      </c>
      <c r="AL10">
        <v>11614393589.262135</v>
      </c>
      <c r="AM10">
        <v>12578721195.028706</v>
      </c>
      <c r="AN10">
        <v>14254500360.235739</v>
      </c>
      <c r="AO10">
        <v>15551659812.687895</v>
      </c>
      <c r="AP10">
        <v>13853421037.256018</v>
      </c>
      <c r="AQ10">
        <v>15076598285.670414</v>
      </c>
      <c r="AR10">
        <v>17020092966.384838</v>
      </c>
      <c r="AS10">
        <v>18202345488.065006</v>
      </c>
      <c r="AT10">
        <v>19711922905.603222</v>
      </c>
      <c r="AU10">
        <v>20606159050.68681</v>
      </c>
      <c r="AV10">
        <v>21745398880.043644</v>
      </c>
      <c r="AW10">
        <v>22944585414.195831</v>
      </c>
      <c r="AX10">
        <v>24212600545.889168</v>
      </c>
      <c r="AY10">
        <v>25641787799.842125</v>
      </c>
      <c r="AZ10">
        <v>27176002509.104027</v>
      </c>
      <c r="BA10">
        <v>29214213956.359432</v>
      </c>
      <c r="BB10">
        <v>30194143223.747169</v>
      </c>
      <c r="BC10">
        <v>31313421438.744812</v>
      </c>
      <c r="BD10">
        <v>32110475192.100132</v>
      </c>
      <c r="BE10">
        <v>32565558589.776348</v>
      </c>
      <c r="BF10">
        <v>32891871199.076447</v>
      </c>
      <c r="BG10">
        <v>33475520630.168427</v>
      </c>
      <c r="BH10">
        <v>34218250835.618137</v>
      </c>
      <c r="BI10">
        <v>35352579241.167267</v>
      </c>
      <c r="BJ10">
        <v>36696895966.946243</v>
      </c>
      <c r="BK10">
        <v>38171871046.552513</v>
      </c>
      <c r="BL10">
        <v>38968789777.678383</v>
      </c>
      <c r="BM10">
        <v>37682008369.759972</v>
      </c>
      <c r="BN10">
        <v>41038920567.878632</v>
      </c>
      <c r="BO10" s="188">
        <v>43026942689.109634</v>
      </c>
    </row>
    <row r="11" spans="1:67">
      <c r="A11" t="s">
        <v>498</v>
      </c>
      <c r="B11" t="s">
        <v>499</v>
      </c>
      <c r="C11" t="s">
        <v>486</v>
      </c>
      <c r="D11" t="s">
        <v>487</v>
      </c>
    </row>
    <row r="12" spans="1:67">
      <c r="A12" t="s">
        <v>500</v>
      </c>
      <c r="B12" t="s">
        <v>501</v>
      </c>
      <c r="C12" t="s">
        <v>486</v>
      </c>
      <c r="D12" t="s">
        <v>487</v>
      </c>
      <c r="AI12">
        <v>2187667071497.4063</v>
      </c>
      <c r="AJ12">
        <v>2245087187638.9126</v>
      </c>
      <c r="AK12">
        <v>2352866742801.4863</v>
      </c>
      <c r="AL12">
        <v>2414473384682.1802</v>
      </c>
      <c r="AM12">
        <v>2484536557257.8042</v>
      </c>
      <c r="AN12">
        <v>2551774099252.1421</v>
      </c>
      <c r="AO12">
        <v>2670316265054.5117</v>
      </c>
      <c r="AP12">
        <v>2787021867953.2637</v>
      </c>
      <c r="AQ12">
        <v>2931727581370.96</v>
      </c>
      <c r="AR12">
        <v>2990315387288.8667</v>
      </c>
      <c r="AS12">
        <v>3181478288332.8594</v>
      </c>
      <c r="AT12">
        <v>3237784243301.1055</v>
      </c>
      <c r="AU12">
        <v>3257486105831.4038</v>
      </c>
      <c r="AV12">
        <v>3417682973867.2393</v>
      </c>
      <c r="AW12">
        <v>3706016177280.7778</v>
      </c>
      <c r="AX12">
        <v>3907738972335.2979</v>
      </c>
      <c r="AY12">
        <v>4134356384482.4893</v>
      </c>
      <c r="AZ12">
        <v>4322072481879.7671</v>
      </c>
      <c r="BA12">
        <v>4563197377625.293</v>
      </c>
      <c r="BB12">
        <v>4586510152907.1758</v>
      </c>
      <c r="BC12">
        <v>4796607663144.1738</v>
      </c>
      <c r="BD12">
        <v>4963210584409.2188</v>
      </c>
      <c r="BE12">
        <v>5244791867134.4385</v>
      </c>
      <c r="BF12">
        <v>5384111162355.1455</v>
      </c>
      <c r="BG12">
        <v>5520077125148.6904</v>
      </c>
      <c r="BH12">
        <v>5751405011994.8486</v>
      </c>
      <c r="BI12">
        <v>5972498344286.4717</v>
      </c>
      <c r="BJ12">
        <v>6072114248359.9023</v>
      </c>
      <c r="BK12">
        <v>6237313944572.6416</v>
      </c>
      <c r="BL12">
        <v>6338668455690.9443</v>
      </c>
      <c r="BM12">
        <v>6049528245936.2188</v>
      </c>
      <c r="BN12">
        <v>6274972206966.0371</v>
      </c>
      <c r="BO12" s="188">
        <v>6656330988767.1396</v>
      </c>
    </row>
    <row r="13" spans="1:67">
      <c r="A13" t="s">
        <v>502</v>
      </c>
      <c r="B13" t="s">
        <v>503</v>
      </c>
      <c r="C13" t="s">
        <v>486</v>
      </c>
      <c r="D13" t="s">
        <v>487</v>
      </c>
      <c r="AI13">
        <v>201213879449.83316</v>
      </c>
      <c r="AJ13">
        <v>202944483699.38116</v>
      </c>
      <c r="AK13">
        <v>209732864779.27374</v>
      </c>
      <c r="AL13">
        <v>212377996692.18588</v>
      </c>
      <c r="AM13">
        <v>227023898832.71161</v>
      </c>
      <c r="AN13">
        <v>242206999431.94833</v>
      </c>
      <c r="AO13">
        <v>256251139923.81558</v>
      </c>
      <c r="AP13">
        <v>277239129805.09473</v>
      </c>
      <c r="AQ13">
        <v>278048652396.47028</v>
      </c>
      <c r="AR13">
        <v>286118218325.07489</v>
      </c>
      <c r="AS13">
        <v>317169782258.25226</v>
      </c>
      <c r="AT13">
        <v>321607257202.54602</v>
      </c>
      <c r="AU13">
        <v>329433430905.55841</v>
      </c>
      <c r="AV13">
        <v>358425354450.20996</v>
      </c>
      <c r="AW13">
        <v>392713888875.21118</v>
      </c>
      <c r="AX13">
        <v>411780702677.61884</v>
      </c>
      <c r="AY13">
        <v>452288887165.51929</v>
      </c>
      <c r="AZ13">
        <v>466691530045.03033</v>
      </c>
      <c r="BA13">
        <v>481587559598.51172</v>
      </c>
      <c r="BB13">
        <v>456338299936.49548</v>
      </c>
      <c r="BC13">
        <v>463652718597.49597</v>
      </c>
      <c r="BD13">
        <v>495776937054.47949</v>
      </c>
      <c r="BE13">
        <v>519458345815.05359</v>
      </c>
      <c r="BF13">
        <v>545719872386.60754</v>
      </c>
      <c r="BG13">
        <v>568452880583.41772</v>
      </c>
      <c r="BH13">
        <v>607032486498.91223</v>
      </c>
      <c r="BI13">
        <v>640792542144.5293</v>
      </c>
      <c r="BJ13">
        <v>645502807643.10217</v>
      </c>
      <c r="BK13">
        <v>653984158638.4281</v>
      </c>
      <c r="BL13">
        <v>661232579860.83826</v>
      </c>
      <c r="BM13">
        <v>628454934172.83887</v>
      </c>
      <c r="BN13">
        <v>653067090096.92102</v>
      </c>
      <c r="BO13" s="188">
        <v>701466566121.30579</v>
      </c>
    </row>
    <row r="14" spans="1:67">
      <c r="A14" t="s">
        <v>504</v>
      </c>
      <c r="B14" t="s">
        <v>505</v>
      </c>
      <c r="C14" t="s">
        <v>486</v>
      </c>
      <c r="D14" t="s">
        <v>487</v>
      </c>
      <c r="AI14">
        <v>461383067195.92889</v>
      </c>
      <c r="AJ14">
        <v>503521692862.14648</v>
      </c>
      <c r="AK14">
        <v>543487677674.49091</v>
      </c>
      <c r="AL14">
        <v>588091597641.28894</v>
      </c>
      <c r="AM14">
        <v>622413803601.1438</v>
      </c>
      <c r="AN14">
        <v>604704826243.56494</v>
      </c>
      <c r="AO14">
        <v>638124986359.86731</v>
      </c>
      <c r="AP14">
        <v>689883602459.33081</v>
      </c>
      <c r="AQ14">
        <v>716445355021.61584</v>
      </c>
      <c r="AR14">
        <v>692190405307.75073</v>
      </c>
      <c r="AS14">
        <v>686729030353.61902</v>
      </c>
      <c r="AT14">
        <v>656452248351.55359</v>
      </c>
      <c r="AU14">
        <v>584935157747.95361</v>
      </c>
      <c r="AV14">
        <v>636626116266.9375</v>
      </c>
      <c r="AW14">
        <v>694110738086.54272</v>
      </c>
      <c r="AX14">
        <v>755551060091.0979</v>
      </c>
      <c r="AY14">
        <v>816351398559.7356</v>
      </c>
      <c r="AZ14">
        <v>889885482455.5647</v>
      </c>
      <c r="BA14">
        <v>925990210832.67273</v>
      </c>
      <c r="BB14">
        <v>871185247999.99963</v>
      </c>
      <c r="BC14">
        <v>959396223037.20886</v>
      </c>
      <c r="BD14">
        <v>1016997908810.9662</v>
      </c>
      <c r="BE14">
        <v>1006559234253.7837</v>
      </c>
      <c r="BF14">
        <v>1030770242883.0715</v>
      </c>
      <c r="BG14">
        <v>1004870951838.0004</v>
      </c>
      <c r="BH14">
        <v>1032315583600.7496</v>
      </c>
      <c r="BI14">
        <v>1010840035079.4427</v>
      </c>
      <c r="BJ14">
        <v>1039330591568.5388</v>
      </c>
      <c r="BK14">
        <v>1012127189427.8138</v>
      </c>
      <c r="BL14">
        <v>991875931195.23145</v>
      </c>
      <c r="BM14">
        <v>893251375114.36804</v>
      </c>
      <c r="BN14">
        <v>986133881445.53699</v>
      </c>
      <c r="BO14" s="188">
        <v>1037837319671.8959</v>
      </c>
    </row>
    <row r="15" spans="1:67">
      <c r="A15" t="s">
        <v>506</v>
      </c>
      <c r="B15" t="s">
        <v>507</v>
      </c>
      <c r="C15" t="s">
        <v>486</v>
      </c>
      <c r="D15" t="s">
        <v>487</v>
      </c>
      <c r="AI15">
        <v>18327906064.300335</v>
      </c>
      <c r="AJ15">
        <v>16183541332.989859</v>
      </c>
      <c r="AK15">
        <v>9418820611.4395065</v>
      </c>
      <c r="AL15">
        <v>8589964511.2903519</v>
      </c>
      <c r="AM15">
        <v>9053822833.6303101</v>
      </c>
      <c r="AN15">
        <v>9678536466.0765514</v>
      </c>
      <c r="AO15">
        <v>10246221416.492208</v>
      </c>
      <c r="AP15">
        <v>10586506596.020494</v>
      </c>
      <c r="AQ15">
        <v>11359321576.228909</v>
      </c>
      <c r="AR15">
        <v>11734179188.310534</v>
      </c>
      <c r="AS15">
        <v>12426495760.787071</v>
      </c>
      <c r="AT15">
        <v>13619439353.732658</v>
      </c>
      <c r="AU15">
        <v>15417205348.144205</v>
      </c>
      <c r="AV15">
        <v>17575614097.123383</v>
      </c>
      <c r="AW15">
        <v>19421053577.113983</v>
      </c>
      <c r="AX15">
        <v>22120580024.16061</v>
      </c>
      <c r="AY15">
        <v>25040496587.231724</v>
      </c>
      <c r="AZ15">
        <v>28471044620.069771</v>
      </c>
      <c r="BA15">
        <v>30435546698.976894</v>
      </c>
      <c r="BB15">
        <v>26144134614.208172</v>
      </c>
      <c r="BC15">
        <v>26719305575.776981</v>
      </c>
      <c r="BD15">
        <v>27975112937.48423</v>
      </c>
      <c r="BE15">
        <v>29989321069.253014</v>
      </c>
      <c r="BF15">
        <v>30978968664.538361</v>
      </c>
      <c r="BG15">
        <v>32094211536.644501</v>
      </c>
      <c r="BH15">
        <v>33121226305.485355</v>
      </c>
      <c r="BI15">
        <v>33187468758.038685</v>
      </c>
      <c r="BJ15">
        <v>35676528915.43634</v>
      </c>
      <c r="BK15">
        <v>37531708418.915314</v>
      </c>
      <c r="BL15">
        <v>40384118258.204613</v>
      </c>
      <c r="BM15">
        <v>37476461743.93441</v>
      </c>
      <c r="BN15">
        <v>39612620062.829056</v>
      </c>
      <c r="BO15" s="188">
        <v>44603810190.745522</v>
      </c>
    </row>
    <row r="16" spans="1:67">
      <c r="A16" t="s">
        <v>508</v>
      </c>
      <c r="B16" t="s">
        <v>509</v>
      </c>
      <c r="C16" t="s">
        <v>486</v>
      </c>
      <c r="D16" t="s">
        <v>487</v>
      </c>
    </row>
    <row r="17" spans="1:67">
      <c r="A17" t="s">
        <v>510</v>
      </c>
      <c r="B17" t="s">
        <v>511</v>
      </c>
      <c r="C17" t="s">
        <v>486</v>
      </c>
      <c r="D17" t="s">
        <v>487</v>
      </c>
      <c r="AI17">
        <v>966660878.49870658</v>
      </c>
      <c r="AJ17">
        <v>987701012.34038746</v>
      </c>
      <c r="AK17">
        <v>999143283.53376102</v>
      </c>
      <c r="AL17">
        <v>1051896837.0296382</v>
      </c>
      <c r="AM17">
        <v>1122128907.8663785</v>
      </c>
      <c r="AN17">
        <v>1073208717.5848556</v>
      </c>
      <c r="AO17">
        <v>1144088355.0581083</v>
      </c>
      <c r="AP17">
        <v>1206688390.535954</v>
      </c>
      <c r="AQ17">
        <v>1263778327.7584755</v>
      </c>
      <c r="AR17">
        <v>1310634399.3861158</v>
      </c>
      <c r="AS17">
        <v>1391938703.3382227</v>
      </c>
      <c r="AT17">
        <v>1328633282.7741764</v>
      </c>
      <c r="AU17">
        <v>1342284218.7456546</v>
      </c>
      <c r="AV17">
        <v>1423848705.72136</v>
      </c>
      <c r="AW17">
        <v>1505962467.9691074</v>
      </c>
      <c r="AX17">
        <v>1603455937.834022</v>
      </c>
      <c r="AY17">
        <v>1807225500.0715489</v>
      </c>
      <c r="AZ17">
        <v>1975575480.0298407</v>
      </c>
      <c r="BA17">
        <v>1975292169.6263669</v>
      </c>
      <c r="BB17">
        <v>1738993947.5940342</v>
      </c>
      <c r="BC17">
        <v>1602646479.5383816</v>
      </c>
      <c r="BD17">
        <v>1571256843.2024417</v>
      </c>
      <c r="BE17">
        <v>1624253234.1870108</v>
      </c>
      <c r="BF17">
        <v>1614493479.8795755</v>
      </c>
      <c r="BG17">
        <v>1675775254.7045207</v>
      </c>
      <c r="BH17">
        <v>1739878569.8742697</v>
      </c>
      <c r="BI17">
        <v>1835510285.6592114</v>
      </c>
      <c r="BJ17">
        <v>1893230443.9833391</v>
      </c>
      <c r="BK17">
        <v>2022419987.9675434</v>
      </c>
      <c r="BL17">
        <v>2110275122.2693682</v>
      </c>
      <c r="BM17">
        <v>1740930865.6586022</v>
      </c>
      <c r="BN17">
        <v>1855047139.8089888</v>
      </c>
      <c r="BO17" s="188">
        <v>2011960630.4188757</v>
      </c>
    </row>
    <row r="18" spans="1:67">
      <c r="A18" t="s">
        <v>512</v>
      </c>
      <c r="B18" t="s">
        <v>513</v>
      </c>
      <c r="C18" t="s">
        <v>486</v>
      </c>
      <c r="D18" t="s">
        <v>487</v>
      </c>
      <c r="AI18">
        <v>529123069148.47491</v>
      </c>
      <c r="AJ18">
        <v>527096147392.41711</v>
      </c>
      <c r="AK18">
        <v>529355384619.6059</v>
      </c>
      <c r="AL18">
        <v>550780648215.09802</v>
      </c>
      <c r="AM18">
        <v>572706803633.2666</v>
      </c>
      <c r="AN18">
        <v>594968525843.06873</v>
      </c>
      <c r="AO18">
        <v>617915517233.58789</v>
      </c>
      <c r="AP18">
        <v>642093534784.62378</v>
      </c>
      <c r="AQ18">
        <v>671715601127.40015</v>
      </c>
      <c r="AR18">
        <v>705008006077.56812</v>
      </c>
      <c r="AS18">
        <v>732511576576.45996</v>
      </c>
      <c r="AT18">
        <v>747465194904.73279</v>
      </c>
      <c r="AU18">
        <v>777315889171.47925</v>
      </c>
      <c r="AV18">
        <v>801501281816.83667</v>
      </c>
      <c r="AW18">
        <v>835297651545.64844</v>
      </c>
      <c r="AX18">
        <v>861640873871.27258</v>
      </c>
      <c r="AY18">
        <v>885255311297.89795</v>
      </c>
      <c r="AZ18">
        <v>918699520272.85266</v>
      </c>
      <c r="BA18">
        <v>951481199941.24866</v>
      </c>
      <c r="BB18">
        <v>969278531721.69836</v>
      </c>
      <c r="BC18">
        <v>990666305254.38904</v>
      </c>
      <c r="BD18">
        <v>1014356951989.0046</v>
      </c>
      <c r="BE18">
        <v>1053937239439.5449</v>
      </c>
      <c r="BF18">
        <v>1081115691197.092</v>
      </c>
      <c r="BG18">
        <v>1108997849871.1602</v>
      </c>
      <c r="BH18">
        <v>1132871644781.4294</v>
      </c>
      <c r="BI18">
        <v>1163805248731.0667</v>
      </c>
      <c r="BJ18">
        <v>1190365421747.9849</v>
      </c>
      <c r="BK18">
        <v>1224684193991.2446</v>
      </c>
      <c r="BL18">
        <v>1251276940341.4167</v>
      </c>
      <c r="BM18">
        <v>1250640223864.9839</v>
      </c>
      <c r="BN18">
        <v>1278607196123.7505</v>
      </c>
      <c r="BO18" s="188">
        <v>1324861943935.3545</v>
      </c>
    </row>
    <row r="19" spans="1:67">
      <c r="A19" t="s">
        <v>514</v>
      </c>
      <c r="B19" t="s">
        <v>515</v>
      </c>
      <c r="C19" t="s">
        <v>486</v>
      </c>
      <c r="D19" t="s">
        <v>487</v>
      </c>
      <c r="AI19">
        <v>287877610666.84796</v>
      </c>
      <c r="AJ19">
        <v>297785286478.44287</v>
      </c>
      <c r="AK19">
        <v>304019494756.94653</v>
      </c>
      <c r="AL19">
        <v>305621097436.38806</v>
      </c>
      <c r="AM19">
        <v>312962480111.46094</v>
      </c>
      <c r="AN19">
        <v>321312267538.7168</v>
      </c>
      <c r="AO19">
        <v>328861608034.19501</v>
      </c>
      <c r="AP19">
        <v>335746652652.3775</v>
      </c>
      <c r="AQ19">
        <v>347771169942.14014</v>
      </c>
      <c r="AR19">
        <v>360139064725.60382</v>
      </c>
      <c r="AS19">
        <v>372296358893.8501</v>
      </c>
      <c r="AT19">
        <v>377013979923.41425</v>
      </c>
      <c r="AU19">
        <v>383240569094.82507</v>
      </c>
      <c r="AV19">
        <v>386848667609.27509</v>
      </c>
      <c r="AW19">
        <v>397429443747.18091</v>
      </c>
      <c r="AX19">
        <v>406348020084.21625</v>
      </c>
      <c r="AY19">
        <v>420383450698.25653</v>
      </c>
      <c r="AZ19">
        <v>436052887762.18268</v>
      </c>
      <c r="BA19">
        <v>442421107373.80341</v>
      </c>
      <c r="BB19">
        <v>425765818911.11145</v>
      </c>
      <c r="BC19">
        <v>433587535848.30548</v>
      </c>
      <c r="BD19">
        <v>446260420568.47992</v>
      </c>
      <c r="BE19">
        <v>449296979861.3219</v>
      </c>
      <c r="BF19">
        <v>449411571762.94623</v>
      </c>
      <c r="BG19">
        <v>452383408466.61633</v>
      </c>
      <c r="BH19">
        <v>456972845319.88177</v>
      </c>
      <c r="BI19">
        <v>466064032926.31628</v>
      </c>
      <c r="BJ19">
        <v>476590426691.81909</v>
      </c>
      <c r="BK19">
        <v>488149581132.16095</v>
      </c>
      <c r="BL19">
        <v>495556707144.37689</v>
      </c>
      <c r="BM19">
        <v>463573633529.71405</v>
      </c>
      <c r="BN19">
        <v>484697992882.05164</v>
      </c>
      <c r="BO19" s="188">
        <v>508918072433.69922</v>
      </c>
    </row>
    <row r="20" spans="1:67">
      <c r="A20" t="s">
        <v>516</v>
      </c>
      <c r="B20" t="s">
        <v>517</v>
      </c>
      <c r="C20" t="s">
        <v>486</v>
      </c>
      <c r="D20" t="s">
        <v>487</v>
      </c>
      <c r="AI20">
        <v>54652854605.618614</v>
      </c>
      <c r="AJ20">
        <v>54270284527.354446</v>
      </c>
      <c r="AK20">
        <v>42005200047.010017</v>
      </c>
      <c r="AL20">
        <v>32301999374.305061</v>
      </c>
      <c r="AM20">
        <v>25938505097.046776</v>
      </c>
      <c r="AN20">
        <v>22877761727.049252</v>
      </c>
      <c r="AO20">
        <v>23175172493.295456</v>
      </c>
      <c r="AP20">
        <v>24519332532.196072</v>
      </c>
      <c r="AQ20">
        <v>26971265690.167122</v>
      </c>
      <c r="AR20">
        <v>28967139701.754185</v>
      </c>
      <c r="AS20">
        <v>32182491960.526402</v>
      </c>
      <c r="AT20">
        <v>35368558621.280426</v>
      </c>
      <c r="AU20">
        <v>38706967255.118462</v>
      </c>
      <c r="AV20">
        <v>42658290361.365807</v>
      </c>
      <c r="AW20">
        <v>46605804001.518669</v>
      </c>
      <c r="AX20">
        <v>59637503648.042435</v>
      </c>
      <c r="AY20">
        <v>80212442406.617081</v>
      </c>
      <c r="AZ20">
        <v>100265552889.21065</v>
      </c>
      <c r="BA20">
        <v>111053101726.76814</v>
      </c>
      <c r="BB20">
        <v>121377002012.80582</v>
      </c>
      <c r="BC20">
        <v>127505259496.57697</v>
      </c>
      <c r="BD20">
        <v>127632764931.80714</v>
      </c>
      <c r="BE20">
        <v>130396319940.9424</v>
      </c>
      <c r="BF20">
        <v>137972086435.69769</v>
      </c>
      <c r="BG20">
        <v>141767018076.39926</v>
      </c>
      <c r="BH20">
        <v>143317915111.37589</v>
      </c>
      <c r="BI20">
        <v>138875059914.37064</v>
      </c>
      <c r="BJ20">
        <v>139152809949.42816</v>
      </c>
      <c r="BK20">
        <v>141240102098.66956</v>
      </c>
      <c r="BL20">
        <v>144771104746.38489</v>
      </c>
      <c r="BM20">
        <v>138545947094.1788</v>
      </c>
      <c r="BN20">
        <v>146327312364.73685</v>
      </c>
      <c r="BO20" s="188">
        <v>153082546341.84137</v>
      </c>
    </row>
    <row r="21" spans="1:67">
      <c r="A21" t="s">
        <v>518</v>
      </c>
      <c r="B21" t="s">
        <v>519</v>
      </c>
      <c r="C21" t="s">
        <v>486</v>
      </c>
      <c r="D21" t="s">
        <v>487</v>
      </c>
      <c r="AI21">
        <v>6444307233.8721638</v>
      </c>
      <c r="AJ21">
        <v>6766318726.5503139</v>
      </c>
      <c r="AK21">
        <v>6834658435.4648895</v>
      </c>
      <c r="AL21">
        <v>6408175748.9968472</v>
      </c>
      <c r="AM21">
        <v>6162742618.0538874</v>
      </c>
      <c r="AN21">
        <v>5674653402.4730577</v>
      </c>
      <c r="AO21">
        <v>5220681130.3920584</v>
      </c>
      <c r="AP21">
        <v>5137672300.5828428</v>
      </c>
      <c r="AQ21">
        <v>5381711734.6085844</v>
      </c>
      <c r="AR21">
        <v>5327356446.2774963</v>
      </c>
      <c r="AS21">
        <v>5281708243.6252022</v>
      </c>
      <c r="AT21">
        <v>5390289977.1400852</v>
      </c>
      <c r="AU21">
        <v>5629970267.3500767</v>
      </c>
      <c r="AV21">
        <v>5561074747.0356274</v>
      </c>
      <c r="AW21">
        <v>5829878068.5352573</v>
      </c>
      <c r="AX21">
        <v>5882346971.2046547</v>
      </c>
      <c r="AY21">
        <v>6200805891.8203907</v>
      </c>
      <c r="AZ21">
        <v>6414854521.7483149</v>
      </c>
      <c r="BA21">
        <v>6726726553.9595003</v>
      </c>
      <c r="BB21">
        <v>6983199508.951561</v>
      </c>
      <c r="BC21">
        <v>7341029824.518259</v>
      </c>
      <c r="BD21">
        <v>7637064192.3734636</v>
      </c>
      <c r="BE21">
        <v>7976662009.3270473</v>
      </c>
      <c r="BF21">
        <v>8369447994.215601</v>
      </c>
      <c r="BG21">
        <v>8724367008.4951477</v>
      </c>
      <c r="BH21">
        <v>8384116688.1419859</v>
      </c>
      <c r="BI21">
        <v>8333811911.7917547</v>
      </c>
      <c r="BJ21">
        <v>8375481076.5591965</v>
      </c>
      <c r="BK21">
        <v>8510320913.1130867</v>
      </c>
      <c r="BL21">
        <v>8664576038.9466152</v>
      </c>
      <c r="BM21">
        <v>8692922796.6759224</v>
      </c>
      <c r="BN21">
        <v>8962403403.2604141</v>
      </c>
      <c r="BO21" s="188">
        <v>9128118242.0964718</v>
      </c>
    </row>
    <row r="22" spans="1:67">
      <c r="A22" t="s">
        <v>520</v>
      </c>
      <c r="B22" t="s">
        <v>521</v>
      </c>
      <c r="C22" t="s">
        <v>486</v>
      </c>
      <c r="D22" t="s">
        <v>487</v>
      </c>
      <c r="AI22">
        <v>353910993696.70605</v>
      </c>
      <c r="AJ22">
        <v>360398445086.65131</v>
      </c>
      <c r="AK22">
        <v>365914901703.96118</v>
      </c>
      <c r="AL22">
        <v>362395263927.97546</v>
      </c>
      <c r="AM22">
        <v>374089655902.47882</v>
      </c>
      <c r="AN22">
        <v>383010786203.89056</v>
      </c>
      <c r="AO22">
        <v>388072085801.76495</v>
      </c>
      <c r="AP22">
        <v>402794212092.75067</v>
      </c>
      <c r="AQ22">
        <v>410696262264.66016</v>
      </c>
      <c r="AR22">
        <v>425246177251.41675</v>
      </c>
      <c r="AS22">
        <v>441051214253.45593</v>
      </c>
      <c r="AT22">
        <v>445901096710.16339</v>
      </c>
      <c r="AU22">
        <v>453512113792.17517</v>
      </c>
      <c r="AV22">
        <v>458219490391.07062</v>
      </c>
      <c r="AW22">
        <v>474583444734.03046</v>
      </c>
      <c r="AX22">
        <v>485602024421.71228</v>
      </c>
      <c r="AY22">
        <v>497996287418.46875</v>
      </c>
      <c r="AZ22">
        <v>516307018968.28845</v>
      </c>
      <c r="BA22">
        <v>518614543398.3042</v>
      </c>
      <c r="BB22">
        <v>508134675995.64661</v>
      </c>
      <c r="BC22">
        <v>522689140465.18781</v>
      </c>
      <c r="BD22">
        <v>531546180596.9129</v>
      </c>
      <c r="BE22">
        <v>535475461831.32361</v>
      </c>
      <c r="BF22">
        <v>537934591084.7204</v>
      </c>
      <c r="BG22">
        <v>546426066893.87073</v>
      </c>
      <c r="BH22">
        <v>557581131065.09082</v>
      </c>
      <c r="BI22">
        <v>564643935471.5575</v>
      </c>
      <c r="BJ22">
        <v>573788797293.56763</v>
      </c>
      <c r="BK22">
        <v>584076515952.73425</v>
      </c>
      <c r="BL22">
        <v>597285805409.52112</v>
      </c>
      <c r="BM22">
        <v>565255840906.08716</v>
      </c>
      <c r="BN22">
        <v>600787435262.17883</v>
      </c>
      <c r="BO22" s="188">
        <v>620300033117.0376</v>
      </c>
    </row>
    <row r="23" spans="1:67">
      <c r="A23" t="s">
        <v>522</v>
      </c>
      <c r="B23" t="s">
        <v>523</v>
      </c>
      <c r="C23" t="s">
        <v>486</v>
      </c>
      <c r="D23" t="s">
        <v>487</v>
      </c>
      <c r="AI23">
        <v>10829251969.552027</v>
      </c>
      <c r="AJ23">
        <v>11286874436.549305</v>
      </c>
      <c r="AK23">
        <v>11620707543.81204</v>
      </c>
      <c r="AL23">
        <v>12298912033.565096</v>
      </c>
      <c r="AM23">
        <v>12547399307.343222</v>
      </c>
      <c r="AN23">
        <v>13305914520.932993</v>
      </c>
      <c r="AO23">
        <v>13881300057.782503</v>
      </c>
      <c r="AP23">
        <v>14677349358.524605</v>
      </c>
      <c r="AQ23">
        <v>15258720948.200342</v>
      </c>
      <c r="AR23">
        <v>16073757802.469963</v>
      </c>
      <c r="AS23">
        <v>17015312596.612093</v>
      </c>
      <c r="AT23">
        <v>17922762308.196228</v>
      </c>
      <c r="AU23">
        <v>18754921695.055996</v>
      </c>
      <c r="AV23">
        <v>19400761822.888283</v>
      </c>
      <c r="AW23">
        <v>20260154372.686153</v>
      </c>
      <c r="AX23">
        <v>20607244157.932064</v>
      </c>
      <c r="AY23">
        <v>21419940047.201752</v>
      </c>
      <c r="AZ23">
        <v>22702212482.942257</v>
      </c>
      <c r="BA23">
        <v>23813843817.0103</v>
      </c>
      <c r="BB23">
        <v>24366156424.682529</v>
      </c>
      <c r="BC23">
        <v>24881272742.856632</v>
      </c>
      <c r="BD23">
        <v>25618692190.067852</v>
      </c>
      <c r="BE23">
        <v>26851264681.890739</v>
      </c>
      <c r="BF23">
        <v>28782255584.859879</v>
      </c>
      <c r="BG23">
        <v>30612139032.088226</v>
      </c>
      <c r="BH23">
        <v>31156469106.86866</v>
      </c>
      <c r="BI23">
        <v>32196993426.203167</v>
      </c>
      <c r="BJ23">
        <v>34023063767.864651</v>
      </c>
      <c r="BK23">
        <v>36301676624.939156</v>
      </c>
      <c r="BL23">
        <v>38794036239.552322</v>
      </c>
      <c r="BM23">
        <v>40287138158.110344</v>
      </c>
      <c r="BN23">
        <v>43169864848.473412</v>
      </c>
      <c r="BO23" s="188">
        <v>45869382226.497063</v>
      </c>
    </row>
    <row r="24" spans="1:67">
      <c r="A24" t="s">
        <v>524</v>
      </c>
      <c r="B24" t="s">
        <v>525</v>
      </c>
      <c r="C24" t="s">
        <v>486</v>
      </c>
      <c r="D24" t="s">
        <v>487</v>
      </c>
      <c r="AI24">
        <v>8965578966.7165527</v>
      </c>
      <c r="AJ24">
        <v>9778755585.6368866</v>
      </c>
      <c r="AK24">
        <v>9801511802.2592754</v>
      </c>
      <c r="AL24">
        <v>10140779855.621893</v>
      </c>
      <c r="AM24">
        <v>10274131848.17124</v>
      </c>
      <c r="AN24">
        <v>10861439635.759048</v>
      </c>
      <c r="AO24">
        <v>12057799392.184566</v>
      </c>
      <c r="AP24">
        <v>12819470652.447128</v>
      </c>
      <c r="AQ24">
        <v>13756281626.415094</v>
      </c>
      <c r="AR24">
        <v>14773591365.28017</v>
      </c>
      <c r="AS24">
        <v>15052586780.690687</v>
      </c>
      <c r="AT24">
        <v>16048075419.67572</v>
      </c>
      <c r="AU24">
        <v>16746642338.086227</v>
      </c>
      <c r="AV24">
        <v>18053298083.078457</v>
      </c>
      <c r="AW24">
        <v>18861806396.825596</v>
      </c>
      <c r="AX24">
        <v>20495592155.507183</v>
      </c>
      <c r="AY24">
        <v>21777215286.807682</v>
      </c>
      <c r="AZ24">
        <v>22672559146.73037</v>
      </c>
      <c r="BA24">
        <v>23987565704.726284</v>
      </c>
      <c r="BB24">
        <v>24698065613.090721</v>
      </c>
      <c r="BC24">
        <v>26784133778.863403</v>
      </c>
      <c r="BD24">
        <v>28557929808.73624</v>
      </c>
      <c r="BE24">
        <v>30400679457.670551</v>
      </c>
      <c r="BF24">
        <v>32161664608.742603</v>
      </c>
      <c r="BG24">
        <v>33553250183.425755</v>
      </c>
      <c r="BH24">
        <v>34868949890.871811</v>
      </c>
      <c r="BI24">
        <v>36946433803.533829</v>
      </c>
      <c r="BJ24">
        <v>39238401912.358978</v>
      </c>
      <c r="BK24">
        <v>41829929267.888588</v>
      </c>
      <c r="BL24">
        <v>44209263811.573959</v>
      </c>
      <c r="BM24">
        <v>45062646234.425568</v>
      </c>
      <c r="BN24">
        <v>48174826550.440536</v>
      </c>
      <c r="BO24" s="188">
        <v>48887477068.053825</v>
      </c>
    </row>
    <row r="25" spans="1:67">
      <c r="A25" t="s">
        <v>526</v>
      </c>
      <c r="B25" t="s">
        <v>527</v>
      </c>
      <c r="C25" t="s">
        <v>486</v>
      </c>
      <c r="D25" t="s">
        <v>487</v>
      </c>
      <c r="AI25">
        <v>185404967819.3754</v>
      </c>
      <c r="AJ25">
        <v>191866753330.01862</v>
      </c>
      <c r="AK25">
        <v>202309457388.12723</v>
      </c>
      <c r="AL25">
        <v>211841392347.55081</v>
      </c>
      <c r="AM25">
        <v>220082290364.60165</v>
      </c>
      <c r="AN25">
        <v>231353316056.79095</v>
      </c>
      <c r="AO25">
        <v>241817239647.52994</v>
      </c>
      <c r="AP25">
        <v>252674583421.12146</v>
      </c>
      <c r="AQ25">
        <v>265755614506.45227</v>
      </c>
      <c r="AR25">
        <v>278166817262.82501</v>
      </c>
      <c r="AS25">
        <v>292891006710.80084</v>
      </c>
      <c r="AT25">
        <v>307761925989.38556</v>
      </c>
      <c r="AU25">
        <v>319558822052.48132</v>
      </c>
      <c r="AV25">
        <v>334704527805.12372</v>
      </c>
      <c r="AW25">
        <v>352241481691.73254</v>
      </c>
      <c r="AX25">
        <v>375263790993.62384</v>
      </c>
      <c r="AY25">
        <v>400301034556.57562</v>
      </c>
      <c r="AZ25">
        <v>428556680809.18207</v>
      </c>
      <c r="BA25">
        <v>454329178591.34015</v>
      </c>
      <c r="BB25">
        <v>477250652625.34003</v>
      </c>
      <c r="BC25">
        <v>503842048117.84869</v>
      </c>
      <c r="BD25">
        <v>536412308288.86792</v>
      </c>
      <c r="BE25">
        <v>571394215867.74084</v>
      </c>
      <c r="BF25">
        <v>605755610765.03528</v>
      </c>
      <c r="BG25">
        <v>642470817903.49365</v>
      </c>
      <c r="BH25">
        <v>684569616926.98657</v>
      </c>
      <c r="BI25">
        <v>733266327481.6416</v>
      </c>
      <c r="BJ25">
        <v>781590411613.39941</v>
      </c>
      <c r="BK25">
        <v>838798238917.00439</v>
      </c>
      <c r="BL25">
        <v>904911533749.69519</v>
      </c>
      <c r="BM25">
        <v>936113115340.72168</v>
      </c>
      <c r="BN25">
        <v>1001067000655.8679</v>
      </c>
      <c r="BO25" s="188">
        <v>1072141043632.9862</v>
      </c>
    </row>
    <row r="26" spans="1:67">
      <c r="A26" t="s">
        <v>528</v>
      </c>
      <c r="B26" t="s">
        <v>529</v>
      </c>
      <c r="C26" t="s">
        <v>486</v>
      </c>
      <c r="D26" t="s">
        <v>487</v>
      </c>
      <c r="AI26">
        <v>109045991051.55087</v>
      </c>
      <c r="AJ26">
        <v>99836669779.843857</v>
      </c>
      <c r="AK26">
        <v>92576159820.672928</v>
      </c>
      <c r="AL26">
        <v>91205833751.542587</v>
      </c>
      <c r="AM26">
        <v>92863966146.555573</v>
      </c>
      <c r="AN26">
        <v>95515279743.237885</v>
      </c>
      <c r="AO26">
        <v>100487224227.70174</v>
      </c>
      <c r="AP26">
        <v>86303069610.752975</v>
      </c>
      <c r="AQ26">
        <v>89573198265.485077</v>
      </c>
      <c r="AR26">
        <v>82052550883.28923</v>
      </c>
      <c r="AS26">
        <v>85816486290.876755</v>
      </c>
      <c r="AT26">
        <v>89097854421.574539</v>
      </c>
      <c r="AU26">
        <v>94329618312.262253</v>
      </c>
      <c r="AV26">
        <v>99269805952.823685</v>
      </c>
      <c r="AW26">
        <v>105732693585.66258</v>
      </c>
      <c r="AX26">
        <v>113193559894.16899</v>
      </c>
      <c r="AY26">
        <v>120893652980.18881</v>
      </c>
      <c r="AZ26">
        <v>128862214056.23225</v>
      </c>
      <c r="BA26">
        <v>136743450216.71626</v>
      </c>
      <c r="BB26">
        <v>132269403788.86795</v>
      </c>
      <c r="BC26">
        <v>134308735365.23245</v>
      </c>
      <c r="BD26">
        <v>137130838235.60298</v>
      </c>
      <c r="BE26">
        <v>138166080601.99524</v>
      </c>
      <c r="BF26">
        <v>137391668057.74567</v>
      </c>
      <c r="BG26">
        <v>138720065549.2182</v>
      </c>
      <c r="BH26">
        <v>143475465572.31818</v>
      </c>
      <c r="BI26">
        <v>147836869040.08603</v>
      </c>
      <c r="BJ26">
        <v>151920376104.31183</v>
      </c>
      <c r="BK26">
        <v>155999074485.48807</v>
      </c>
      <c r="BL26">
        <v>162298538952.82932</v>
      </c>
      <c r="BM26">
        <v>155873765297.32834</v>
      </c>
      <c r="BN26">
        <v>167774118926.93121</v>
      </c>
      <c r="BO26" s="188">
        <v>173413431116.09076</v>
      </c>
    </row>
    <row r="27" spans="1:67">
      <c r="A27" t="s">
        <v>530</v>
      </c>
      <c r="B27" t="s">
        <v>531</v>
      </c>
      <c r="C27" t="s">
        <v>486</v>
      </c>
      <c r="D27" t="s">
        <v>487</v>
      </c>
      <c r="AI27">
        <v>19143294359.514706</v>
      </c>
      <c r="AJ27">
        <v>21293086082.542366</v>
      </c>
      <c r="AK27">
        <v>22717593193.664326</v>
      </c>
      <c r="AL27">
        <v>25641348952.87479</v>
      </c>
      <c r="AM27">
        <v>25577245199.835781</v>
      </c>
      <c r="AN27">
        <v>26582428773.715153</v>
      </c>
      <c r="AO27">
        <v>27674968221.86256</v>
      </c>
      <c r="AP27">
        <v>28530954929.942932</v>
      </c>
      <c r="AQ27">
        <v>29897588466.688568</v>
      </c>
      <c r="AR27">
        <v>31183184459.934143</v>
      </c>
      <c r="AS27">
        <v>32835915082.005112</v>
      </c>
      <c r="AT27">
        <v>33653840687.582806</v>
      </c>
      <c r="AU27">
        <v>34780756594.714722</v>
      </c>
      <c r="AV27">
        <v>36970706753.451614</v>
      </c>
      <c r="AW27">
        <v>39551617223.343628</v>
      </c>
      <c r="AX27">
        <v>42228865351.167427</v>
      </c>
      <c r="AY27">
        <v>44959806124.944885</v>
      </c>
      <c r="AZ27">
        <v>48688754662.264038</v>
      </c>
      <c r="BA27">
        <v>51729372637.117523</v>
      </c>
      <c r="BB27">
        <v>53043239697.431381</v>
      </c>
      <c r="BC27">
        <v>55342292396.880081</v>
      </c>
      <c r="BD27">
        <v>56440015074.335701</v>
      </c>
      <c r="BE27">
        <v>58544160034.474998</v>
      </c>
      <c r="BF27">
        <v>61715403401.723221</v>
      </c>
      <c r="BG27">
        <v>64400264665.913582</v>
      </c>
      <c r="BH27">
        <v>66000855034.95015</v>
      </c>
      <c r="BI27">
        <v>68349250016.71447</v>
      </c>
      <c r="BJ27">
        <v>71282082008.272919</v>
      </c>
      <c r="BK27">
        <v>72786939763.373138</v>
      </c>
      <c r="BL27">
        <v>74364207031.563416</v>
      </c>
      <c r="BM27">
        <v>70910259290.211273</v>
      </c>
      <c r="BN27">
        <v>72803356661.944046</v>
      </c>
      <c r="BO27" s="188">
        <v>76342224646.343216</v>
      </c>
    </row>
    <row r="28" spans="1:67">
      <c r="A28" t="s">
        <v>532</v>
      </c>
      <c r="B28" t="s">
        <v>533</v>
      </c>
      <c r="C28" t="s">
        <v>486</v>
      </c>
      <c r="D28" t="s">
        <v>487</v>
      </c>
      <c r="AI28">
        <v>9656325975.7771664</v>
      </c>
      <c r="AJ28">
        <v>9252519205.7279854</v>
      </c>
      <c r="AK28">
        <v>8898556499.2615528</v>
      </c>
      <c r="AL28">
        <v>8925946816.0139046</v>
      </c>
      <c r="AM28">
        <v>9207017349.5342922</v>
      </c>
      <c r="AN28">
        <v>9610169814.1973953</v>
      </c>
      <c r="AO28">
        <v>10016058260.223413</v>
      </c>
      <c r="AP28">
        <v>10704736326.360123</v>
      </c>
      <c r="AQ28">
        <v>10222638182.73978</v>
      </c>
      <c r="AR28">
        <v>11469546344.32575</v>
      </c>
      <c r="AS28">
        <v>11945444666.140263</v>
      </c>
      <c r="AT28">
        <v>12259031653.078529</v>
      </c>
      <c r="AU28">
        <v>12590598123.253662</v>
      </c>
      <c r="AV28">
        <v>12431386699.280197</v>
      </c>
      <c r="AW28">
        <v>12541123545.243191</v>
      </c>
      <c r="AX28">
        <v>12966927306.866743</v>
      </c>
      <c r="AY28">
        <v>13293285926.724897</v>
      </c>
      <c r="AZ28">
        <v>13485604399.141373</v>
      </c>
      <c r="BA28">
        <v>13172265405.075394</v>
      </c>
      <c r="BB28">
        <v>12622217214.463299</v>
      </c>
      <c r="BC28">
        <v>12816395633.421467</v>
      </c>
      <c r="BD28">
        <v>12895009373.919283</v>
      </c>
      <c r="BE28">
        <v>13293062733.139931</v>
      </c>
      <c r="BF28">
        <v>12912443272.837168</v>
      </c>
      <c r="BG28">
        <v>13150975216.994162</v>
      </c>
      <c r="BH28">
        <v>13282064249.256403</v>
      </c>
      <c r="BI28">
        <v>13273163560.134909</v>
      </c>
      <c r="BJ28">
        <v>13593751984.117537</v>
      </c>
      <c r="BK28">
        <v>13802176454.379183</v>
      </c>
      <c r="BL28">
        <v>13699491298.264301</v>
      </c>
      <c r="BM28">
        <v>10478990730.713997</v>
      </c>
      <c r="BN28">
        <v>12258812231.502316</v>
      </c>
      <c r="BO28" s="188">
        <v>14020276060.977552</v>
      </c>
    </row>
    <row r="29" spans="1:67">
      <c r="A29" t="s">
        <v>534</v>
      </c>
      <c r="B29" t="s">
        <v>535</v>
      </c>
      <c r="C29" t="s">
        <v>486</v>
      </c>
      <c r="D29" t="s">
        <v>487</v>
      </c>
      <c r="AM29">
        <v>6509292456.1536083</v>
      </c>
      <c r="AN29">
        <v>7863225127.0261154</v>
      </c>
      <c r="AO29">
        <v>14858166686.765736</v>
      </c>
      <c r="AP29">
        <v>19967826922.234158</v>
      </c>
      <c r="AQ29">
        <v>23082807260.253723</v>
      </c>
      <c r="AR29">
        <v>25298756691.780491</v>
      </c>
      <c r="AS29">
        <v>28528261750.49519</v>
      </c>
      <c r="AT29">
        <v>29219590875.183353</v>
      </c>
      <c r="AU29">
        <v>30688589504.046154</v>
      </c>
      <c r="AV29">
        <v>31875359854.436634</v>
      </c>
      <c r="AW29">
        <v>33891561207.433495</v>
      </c>
      <c r="AX29">
        <v>35212375671.250519</v>
      </c>
      <c r="AY29">
        <v>37118774947.453537</v>
      </c>
      <c r="AZ29">
        <v>39292868492.791985</v>
      </c>
      <c r="BA29">
        <v>41431905862.148567</v>
      </c>
      <c r="BB29">
        <v>40187102509.505936</v>
      </c>
      <c r="BC29">
        <v>40534989902.510689</v>
      </c>
      <c r="BD29">
        <v>40923927689.69339</v>
      </c>
      <c r="BE29">
        <v>40587599925.257347</v>
      </c>
      <c r="BF29">
        <v>41541350346.552551</v>
      </c>
      <c r="BG29">
        <v>42020675671.15947</v>
      </c>
      <c r="BH29">
        <v>43833763031.495796</v>
      </c>
      <c r="BI29">
        <v>45254965497.87709</v>
      </c>
      <c r="BJ29">
        <v>46723082267.541176</v>
      </c>
      <c r="BK29">
        <v>48511407870.101929</v>
      </c>
      <c r="BL29">
        <v>49912098776.392166</v>
      </c>
      <c r="BM29">
        <v>48407201508.120544</v>
      </c>
      <c r="BN29">
        <v>51985293689.355392</v>
      </c>
      <c r="BO29" s="188">
        <v>54011060638.78093</v>
      </c>
    </row>
    <row r="30" spans="1:67">
      <c r="A30" t="s">
        <v>536</v>
      </c>
      <c r="B30" t="s">
        <v>537</v>
      </c>
      <c r="C30" t="s">
        <v>486</v>
      </c>
      <c r="D30" t="s">
        <v>487</v>
      </c>
      <c r="AI30">
        <v>90636004771.24968</v>
      </c>
      <c r="AJ30">
        <v>89548376728.752487</v>
      </c>
      <c r="AK30">
        <v>80951731312.717407</v>
      </c>
      <c r="AL30">
        <v>74799398241.649323</v>
      </c>
      <c r="AM30">
        <v>66047865732.029778</v>
      </c>
      <c r="AN30">
        <v>59178887371.273804</v>
      </c>
      <c r="AO30">
        <v>60835898969.806915</v>
      </c>
      <c r="AP30">
        <v>67771194740.761086</v>
      </c>
      <c r="AQ30">
        <v>73463969284.433212</v>
      </c>
      <c r="AR30">
        <v>75961743625.379333</v>
      </c>
      <c r="AS30">
        <v>80367527368.791931</v>
      </c>
      <c r="AT30">
        <v>84165138956.67865</v>
      </c>
      <c r="AU30">
        <v>88411495341.975128</v>
      </c>
      <c r="AV30">
        <v>94638487202.977905</v>
      </c>
      <c r="AW30">
        <v>105474350866.55209</v>
      </c>
      <c r="AX30">
        <v>115388941454.99077</v>
      </c>
      <c r="AY30">
        <v>126927829614.6582</v>
      </c>
      <c r="AZ30">
        <v>137843631257.83667</v>
      </c>
      <c r="BA30">
        <v>151903680873.58246</v>
      </c>
      <c r="BB30">
        <v>152207481111.06955</v>
      </c>
      <c r="BC30">
        <v>164077026612.21768</v>
      </c>
      <c r="BD30">
        <v>172902249866.03525</v>
      </c>
      <c r="BE30">
        <v>175819345166.8096</v>
      </c>
      <c r="BF30">
        <v>177583641028.14255</v>
      </c>
      <c r="BG30">
        <v>180649107524.27814</v>
      </c>
      <c r="BH30">
        <v>173730855365.87018</v>
      </c>
      <c r="BI30">
        <v>169342706853.96573</v>
      </c>
      <c r="BJ30">
        <v>173629826921.65216</v>
      </c>
      <c r="BK30">
        <v>179098540532.58417</v>
      </c>
      <c r="BL30">
        <v>181688675573.47806</v>
      </c>
      <c r="BM30">
        <v>180466084980.40491</v>
      </c>
      <c r="BN30">
        <v>184867411115.46823</v>
      </c>
      <c r="BO30" s="188">
        <v>176183357453.77139</v>
      </c>
    </row>
    <row r="31" spans="1:67">
      <c r="A31" t="s">
        <v>538</v>
      </c>
      <c r="B31" t="s">
        <v>539</v>
      </c>
      <c r="C31" t="s">
        <v>486</v>
      </c>
      <c r="D31" t="s">
        <v>487</v>
      </c>
      <c r="AI31">
        <v>1167930669.8661454</v>
      </c>
      <c r="AJ31">
        <v>1301692363.077255</v>
      </c>
      <c r="AK31">
        <v>1458384632.2674119</v>
      </c>
      <c r="AL31">
        <v>1549342583.6509664</v>
      </c>
      <c r="AM31">
        <v>1552399993.7815061</v>
      </c>
      <c r="AN31">
        <v>1562336576.70576</v>
      </c>
      <c r="AO31">
        <v>1578387979.891093</v>
      </c>
      <c r="AP31">
        <v>1634950067.3060765</v>
      </c>
      <c r="AQ31">
        <v>1699155680.0474093</v>
      </c>
      <c r="AR31">
        <v>1851261834.0417566</v>
      </c>
      <c r="AS31">
        <v>2092032881.821754</v>
      </c>
      <c r="AT31">
        <v>2197513531.3253717</v>
      </c>
      <c r="AU31">
        <v>2309873353.6227036</v>
      </c>
      <c r="AV31">
        <v>2525420767.8257489</v>
      </c>
      <c r="AW31">
        <v>2642366705.3188906</v>
      </c>
      <c r="AX31">
        <v>2700457497.7991438</v>
      </c>
      <c r="AY31">
        <v>2824282608.0859995</v>
      </c>
      <c r="AZ31">
        <v>2916769264.5348239</v>
      </c>
      <c r="BA31">
        <v>2872436817.6419992</v>
      </c>
      <c r="BB31">
        <v>2859442824.5872054</v>
      </c>
      <c r="BC31">
        <v>2895367393.6210461</v>
      </c>
      <c r="BD31">
        <v>2892309983.4905066</v>
      </c>
      <c r="BE31">
        <v>3003905453.2552037</v>
      </c>
      <c r="BF31">
        <v>3139960204.064218</v>
      </c>
      <c r="BG31">
        <v>3268371429.5468836</v>
      </c>
      <c r="BH31">
        <v>3378438194.2463107</v>
      </c>
      <c r="BI31">
        <v>3382259956.9094849</v>
      </c>
      <c r="BJ31">
        <v>3324933516.9618669</v>
      </c>
      <c r="BK31">
        <v>3361622438.5283422</v>
      </c>
      <c r="BL31">
        <v>3512964239.9900551</v>
      </c>
      <c r="BM31">
        <v>3042123079.8869495</v>
      </c>
      <c r="BN31">
        <v>3505167844.1571794</v>
      </c>
      <c r="BO31" s="188">
        <v>3930300722.8087173</v>
      </c>
    </row>
    <row r="32" spans="1:67">
      <c r="A32" t="s">
        <v>540</v>
      </c>
      <c r="B32" t="s">
        <v>541</v>
      </c>
      <c r="C32" t="s">
        <v>486</v>
      </c>
      <c r="D32" t="s">
        <v>487</v>
      </c>
      <c r="AI32">
        <v>3913226388.8525848</v>
      </c>
      <c r="AJ32">
        <v>3774918015.8215952</v>
      </c>
      <c r="AK32">
        <v>3772662947.2044854</v>
      </c>
      <c r="AL32">
        <v>3886166044.3175287</v>
      </c>
      <c r="AM32">
        <v>3909468015.371367</v>
      </c>
      <c r="AN32">
        <v>4081451312.2800632</v>
      </c>
      <c r="AO32">
        <v>4187588450.801868</v>
      </c>
      <c r="AP32">
        <v>4380217554.8247833</v>
      </c>
      <c r="AQ32">
        <v>4551046043.5904446</v>
      </c>
      <c r="AR32">
        <v>4704991866.9501247</v>
      </c>
      <c r="AS32">
        <v>5143363318.312149</v>
      </c>
      <c r="AT32">
        <v>5514839418.4380064</v>
      </c>
      <c r="AU32">
        <v>5433341640.0347023</v>
      </c>
      <c r="AV32">
        <v>5618656986.1288118</v>
      </c>
      <c r="AW32">
        <v>5749081029.1336193</v>
      </c>
      <c r="AX32">
        <v>5845332495.2282295</v>
      </c>
      <c r="AY32">
        <v>6169389918.2561569</v>
      </c>
      <c r="AZ32">
        <v>6375764630.2009706</v>
      </c>
      <c r="BA32">
        <v>6256795678.6092539</v>
      </c>
      <c r="BB32">
        <v>5904744699.409277</v>
      </c>
      <c r="BC32">
        <v>5756956126.2789145</v>
      </c>
      <c r="BD32">
        <v>5541487978.0069933</v>
      </c>
      <c r="BE32">
        <v>5247495465.8089666</v>
      </c>
      <c r="BF32">
        <v>5232817772.5704117</v>
      </c>
      <c r="BG32">
        <v>5039147649.7554398</v>
      </c>
      <c r="BH32">
        <v>5078227736.3844252</v>
      </c>
      <c r="BI32">
        <v>5044853303.5562668</v>
      </c>
      <c r="BJ32">
        <v>5227044136.5115328</v>
      </c>
      <c r="BK32">
        <v>5204421421.5194016</v>
      </c>
      <c r="BL32">
        <v>5220360833.0949039</v>
      </c>
      <c r="BM32">
        <v>4863394898.5002565</v>
      </c>
      <c r="BN32">
        <v>5009968693.4242306</v>
      </c>
      <c r="BO32" s="188">
        <v>5156616135.7944288</v>
      </c>
    </row>
    <row r="33" spans="1:67">
      <c r="A33" t="s">
        <v>542</v>
      </c>
      <c r="B33" t="s">
        <v>543</v>
      </c>
      <c r="C33" t="s">
        <v>486</v>
      </c>
      <c r="D33" t="s">
        <v>487</v>
      </c>
      <c r="AI33">
        <v>31491963975.890266</v>
      </c>
      <c r="AJ33">
        <v>33150496656.840214</v>
      </c>
      <c r="AK33">
        <v>33696318982.007149</v>
      </c>
      <c r="AL33">
        <v>35134914619.748184</v>
      </c>
      <c r="AM33">
        <v>36774754228.647842</v>
      </c>
      <c r="AN33">
        <v>38495178949.367615</v>
      </c>
      <c r="AO33">
        <v>40174085338.555443</v>
      </c>
      <c r="AP33">
        <v>42164393386.817314</v>
      </c>
      <c r="AQ33">
        <v>44284990310.715729</v>
      </c>
      <c r="AR33">
        <v>44474036478.747055</v>
      </c>
      <c r="AS33">
        <v>45589361172.75737</v>
      </c>
      <c r="AT33">
        <v>46356994438.288643</v>
      </c>
      <c r="AU33">
        <v>47509228009.138359</v>
      </c>
      <c r="AV33">
        <v>48797364634.40448</v>
      </c>
      <c r="AW33">
        <v>50833822900.319618</v>
      </c>
      <c r="AX33">
        <v>53081406385.693748</v>
      </c>
      <c r="AY33">
        <v>55627726133.685577</v>
      </c>
      <c r="AZ33">
        <v>58166789314.466545</v>
      </c>
      <c r="BA33">
        <v>61743173119.202156</v>
      </c>
      <c r="BB33">
        <v>63815891177.976563</v>
      </c>
      <c r="BC33">
        <v>66449395975.902306</v>
      </c>
      <c r="BD33">
        <v>69907483970.360504</v>
      </c>
      <c r="BE33">
        <v>73488337951.008163</v>
      </c>
      <c r="BF33">
        <v>78482613796.485611</v>
      </c>
      <c r="BG33">
        <v>82768211473.244019</v>
      </c>
      <c r="BH33">
        <v>86788418429.801102</v>
      </c>
      <c r="BI33">
        <v>90489007910.609756</v>
      </c>
      <c r="BJ33">
        <v>94285208501.69104</v>
      </c>
      <c r="BK33">
        <v>98267460868.983368</v>
      </c>
      <c r="BL33">
        <v>100445761215.96799</v>
      </c>
      <c r="BM33">
        <v>91668926758.705933</v>
      </c>
      <c r="BN33">
        <v>97266051942.897705</v>
      </c>
      <c r="BO33" s="188">
        <v>100252172887.53046</v>
      </c>
    </row>
    <row r="34" spans="1:67">
      <c r="A34" t="s">
        <v>544</v>
      </c>
      <c r="B34" t="s">
        <v>545</v>
      </c>
      <c r="C34" t="s">
        <v>486</v>
      </c>
      <c r="D34" t="s">
        <v>487</v>
      </c>
      <c r="AI34">
        <v>1567624706715.4905</v>
      </c>
      <c r="AJ34">
        <v>1583805565677.8232</v>
      </c>
      <c r="AK34">
        <v>1575188522272.1536</v>
      </c>
      <c r="AL34">
        <v>1652761673968.032</v>
      </c>
      <c r="AM34">
        <v>1749495672141.3442</v>
      </c>
      <c r="AN34">
        <v>1823390758959.6809</v>
      </c>
      <c r="AO34">
        <v>1863666981932.4788</v>
      </c>
      <c r="AP34">
        <v>1926935605666.7368</v>
      </c>
      <c r="AQ34">
        <v>1933450534507.1128</v>
      </c>
      <c r="AR34">
        <v>1942497875887.3245</v>
      </c>
      <c r="AS34">
        <v>2027733700699.1704</v>
      </c>
      <c r="AT34">
        <v>2055917098426.1677</v>
      </c>
      <c r="AU34">
        <v>2118693742881.1848</v>
      </c>
      <c r="AV34">
        <v>2142864415484.0579</v>
      </c>
      <c r="AW34">
        <v>2266292648028.5723</v>
      </c>
      <c r="AX34">
        <v>2338862331514.0776</v>
      </c>
      <c r="AY34">
        <v>2431527793059.7866</v>
      </c>
      <c r="AZ34">
        <v>2579118383866.4917</v>
      </c>
      <c r="BA34">
        <v>2710503715139.5161</v>
      </c>
      <c r="BB34">
        <v>2707093576146.8457</v>
      </c>
      <c r="BC34">
        <v>2910889693667.9116</v>
      </c>
      <c r="BD34">
        <v>3026580765470.2939</v>
      </c>
      <c r="BE34">
        <v>3084726708326.3027</v>
      </c>
      <c r="BF34">
        <v>3177417275748.4956</v>
      </c>
      <c r="BG34">
        <v>3193430052501.0791</v>
      </c>
      <c r="BH34">
        <v>3080198578728.1982</v>
      </c>
      <c r="BI34">
        <v>2979293832693.1509</v>
      </c>
      <c r="BJ34">
        <v>3018705988834.8901</v>
      </c>
      <c r="BK34">
        <v>3072549644189.1929</v>
      </c>
      <c r="BL34">
        <v>3110058648864.814</v>
      </c>
      <c r="BM34">
        <v>3008149528512.6479</v>
      </c>
      <c r="BN34">
        <v>3158221587261.2617</v>
      </c>
      <c r="BO34" s="188">
        <v>3249826771296.481</v>
      </c>
    </row>
    <row r="35" spans="1:67">
      <c r="A35" t="s">
        <v>546</v>
      </c>
      <c r="B35" t="s">
        <v>547</v>
      </c>
      <c r="C35" t="s">
        <v>486</v>
      </c>
      <c r="D35" t="s">
        <v>487</v>
      </c>
      <c r="AI35">
        <v>3649364591.1263394</v>
      </c>
      <c r="AJ35">
        <v>3507042772.2523856</v>
      </c>
      <c r="AK35">
        <v>3307403633.831924</v>
      </c>
      <c r="AL35">
        <v>3333633593.6243935</v>
      </c>
      <c r="AM35">
        <v>3400665713.0940375</v>
      </c>
      <c r="AN35">
        <v>3469155052.5521517</v>
      </c>
      <c r="AO35">
        <v>3607105211.4606948</v>
      </c>
      <c r="AP35">
        <v>3778085690.1079021</v>
      </c>
      <c r="AQ35">
        <v>3918950288.9933858</v>
      </c>
      <c r="AR35">
        <v>3932065268.8896203</v>
      </c>
      <c r="AS35">
        <v>4106931667.506083</v>
      </c>
      <c r="AT35">
        <v>4009783668.2747149</v>
      </c>
      <c r="AU35">
        <v>4041356768.0249095</v>
      </c>
      <c r="AV35">
        <v>4129275707.3292975</v>
      </c>
      <c r="AW35">
        <v>4187564506.8681183</v>
      </c>
      <c r="AX35">
        <v>4353201845.557601</v>
      </c>
      <c r="AY35">
        <v>4619300561.7142363</v>
      </c>
      <c r="AZ35">
        <v>4715273410.1729021</v>
      </c>
      <c r="BA35">
        <v>4745455787.7400999</v>
      </c>
      <c r="BB35">
        <v>4507340941.3540573</v>
      </c>
      <c r="BC35">
        <v>4400734904.3615208</v>
      </c>
      <c r="BD35">
        <v>4370467570.8689947</v>
      </c>
      <c r="BE35">
        <v>4351557469.9486113</v>
      </c>
      <c r="BF35">
        <v>4288572730.4229445</v>
      </c>
      <c r="BG35">
        <v>4284830395.1965537</v>
      </c>
      <c r="BH35">
        <v>4390777963.0502996</v>
      </c>
      <c r="BI35">
        <v>4501997461.378334</v>
      </c>
      <c r="BJ35">
        <v>4522539648.6858053</v>
      </c>
      <c r="BK35">
        <v>4476086875.633338</v>
      </c>
      <c r="BL35">
        <v>4470216610.6317835</v>
      </c>
      <c r="BM35">
        <v>3875185115.3396544</v>
      </c>
      <c r="BN35">
        <v>3867850441.3976865</v>
      </c>
      <c r="BO35" s="188">
        <v>4254596626.3377624</v>
      </c>
    </row>
    <row r="36" spans="1:67">
      <c r="A36" t="s">
        <v>548</v>
      </c>
      <c r="B36" t="s">
        <v>549</v>
      </c>
      <c r="C36" t="s">
        <v>486</v>
      </c>
      <c r="D36" t="s">
        <v>487</v>
      </c>
      <c r="AI36">
        <v>18428919884.568619</v>
      </c>
      <c r="AJ36">
        <v>19008682897.724937</v>
      </c>
      <c r="AK36">
        <v>19913226441.082016</v>
      </c>
      <c r="AL36">
        <v>19973876727.188</v>
      </c>
      <c r="AM36">
        <v>20602134525.517139</v>
      </c>
      <c r="AN36">
        <v>21524843836.674667</v>
      </c>
      <c r="AO36">
        <v>22144397236.885418</v>
      </c>
      <c r="AP36">
        <v>21818615159.905178</v>
      </c>
      <c r="AQ36">
        <v>21696756263.050209</v>
      </c>
      <c r="AR36">
        <v>22358975358.828892</v>
      </c>
      <c r="AS36">
        <v>22996076889.889576</v>
      </c>
      <c r="AT36">
        <v>23627098557.218555</v>
      </c>
      <c r="AU36">
        <v>24541962723.852875</v>
      </c>
      <c r="AV36">
        <v>25254650394.420433</v>
      </c>
      <c r="AW36">
        <v>25382014206.011868</v>
      </c>
      <c r="AX36">
        <v>25480371340.654659</v>
      </c>
      <c r="AY36">
        <v>26600926645.008247</v>
      </c>
      <c r="AZ36">
        <v>26642046839.356464</v>
      </c>
      <c r="BA36">
        <v>26125267156.991489</v>
      </c>
      <c r="BB36">
        <v>25664277532.740005</v>
      </c>
      <c r="BC36">
        <v>26331283314.885227</v>
      </c>
      <c r="BD36">
        <v>27317473701.210518</v>
      </c>
      <c r="BE36">
        <v>27566838984.609913</v>
      </c>
      <c r="BF36">
        <v>26980760126.450886</v>
      </c>
      <c r="BG36">
        <v>26303987537.372517</v>
      </c>
      <c r="BH36">
        <v>26200774964.804825</v>
      </c>
      <c r="BI36">
        <v>25551541319.611572</v>
      </c>
      <c r="BJ36">
        <v>25891019749.56144</v>
      </c>
      <c r="BK36">
        <v>25904544646.288185</v>
      </c>
      <c r="BL36">
        <v>26906819938.69878</v>
      </c>
      <c r="BM36">
        <v>27211828478.728443</v>
      </c>
      <c r="BN36">
        <v>26778952921.274937</v>
      </c>
      <c r="BO36" s="188">
        <v>26342902784.716175</v>
      </c>
    </row>
    <row r="37" spans="1:67">
      <c r="A37" t="s">
        <v>550</v>
      </c>
      <c r="B37" t="s">
        <v>551</v>
      </c>
      <c r="C37" t="s">
        <v>486</v>
      </c>
      <c r="D37" t="s">
        <v>487</v>
      </c>
      <c r="AI37">
        <v>1529010316.6900482</v>
      </c>
      <c r="AJ37">
        <v>1522773855.3528869</v>
      </c>
      <c r="AK37">
        <v>1592835027.1902134</v>
      </c>
      <c r="AL37">
        <v>1624474570.003639</v>
      </c>
      <c r="AM37">
        <v>1704910487.9589128</v>
      </c>
      <c r="AN37">
        <v>1825517855.3611131</v>
      </c>
      <c r="AO37">
        <v>1927111079.6408329</v>
      </c>
      <c r="AP37">
        <v>2030670917.1452792</v>
      </c>
      <c r="AQ37">
        <v>2150765421.334909</v>
      </c>
      <c r="AR37">
        <v>2322481930.8295498</v>
      </c>
      <c r="AS37">
        <v>2400402785.5096345</v>
      </c>
      <c r="AT37">
        <v>2600811321.4763818</v>
      </c>
      <c r="AU37">
        <v>2886699832.1572495</v>
      </c>
      <c r="AV37">
        <v>3112535088.2957511</v>
      </c>
      <c r="AW37">
        <v>3299559298.7606263</v>
      </c>
      <c r="AX37">
        <v>3540006412.3845859</v>
      </c>
      <c r="AY37">
        <v>3787797589.7980337</v>
      </c>
      <c r="AZ37">
        <v>4483269577.1803122</v>
      </c>
      <c r="BA37">
        <v>4698442334.6470871</v>
      </c>
      <c r="BB37">
        <v>5015508904.3697968</v>
      </c>
      <c r="BC37">
        <v>5614656381.8750839</v>
      </c>
      <c r="BD37">
        <v>6062852898.9834166</v>
      </c>
      <c r="BE37">
        <v>6373174013.784585</v>
      </c>
      <c r="BF37">
        <v>6508283558.7291489</v>
      </c>
      <c r="BG37">
        <v>6884234277.3502207</v>
      </c>
      <c r="BH37">
        <v>7341501096.7282753</v>
      </c>
      <c r="BI37">
        <v>7938147353.0806074</v>
      </c>
      <c r="BJ37">
        <v>8307416844.2273083</v>
      </c>
      <c r="BK37">
        <v>8561219214.8964462</v>
      </c>
      <c r="BL37">
        <v>9053931934.195219</v>
      </c>
      <c r="BM37">
        <v>8147660570.1152096</v>
      </c>
      <c r="BN37">
        <v>8480705881.7266331</v>
      </c>
    </row>
    <row r="38" spans="1:67">
      <c r="A38" t="s">
        <v>552</v>
      </c>
      <c r="B38" t="s">
        <v>553</v>
      </c>
      <c r="C38" t="s">
        <v>486</v>
      </c>
      <c r="D38" t="s">
        <v>487</v>
      </c>
      <c r="AI38">
        <v>12294438183.2763</v>
      </c>
      <c r="AJ38">
        <v>13211444577.530342</v>
      </c>
      <c r="AK38">
        <v>13596831688.640921</v>
      </c>
      <c r="AL38">
        <v>13857361539.458595</v>
      </c>
      <c r="AM38">
        <v>14360094996.9522</v>
      </c>
      <c r="AN38">
        <v>15369668587.289406</v>
      </c>
      <c r="AO38">
        <v>16265689528.711779</v>
      </c>
      <c r="AP38">
        <v>17619953090.396988</v>
      </c>
      <c r="AQ38">
        <v>17698126406.142643</v>
      </c>
      <c r="AR38">
        <v>19409046885.703365</v>
      </c>
      <c r="AS38">
        <v>19794839702.027973</v>
      </c>
      <c r="AT38">
        <v>19844440413.703964</v>
      </c>
      <c r="AU38">
        <v>21048904851.879032</v>
      </c>
      <c r="AV38">
        <v>22022605036.268929</v>
      </c>
      <c r="AW38">
        <v>22618497463.591549</v>
      </c>
      <c r="AX38">
        <v>23649142245.092644</v>
      </c>
      <c r="AY38">
        <v>25627126017.030556</v>
      </c>
      <c r="AZ38">
        <v>27111591585.678623</v>
      </c>
      <c r="BA38">
        <v>27993280324.111294</v>
      </c>
      <c r="BB38">
        <v>24033845078.258595</v>
      </c>
      <c r="BC38">
        <v>26466601136.169651</v>
      </c>
      <c r="BD38">
        <v>28276527528.160336</v>
      </c>
      <c r="BE38">
        <v>28228202727.30114</v>
      </c>
      <c r="BF38">
        <v>31362330331.803497</v>
      </c>
      <c r="BG38">
        <v>33149031169.668198</v>
      </c>
      <c r="BH38">
        <v>31540974380.370941</v>
      </c>
      <c r="BI38">
        <v>33812498275.318886</v>
      </c>
      <c r="BJ38">
        <v>35203223635.229538</v>
      </c>
      <c r="BK38">
        <v>36678184825.651268</v>
      </c>
      <c r="BL38">
        <v>37790471524.032852</v>
      </c>
      <c r="BM38">
        <v>34491570641.455093</v>
      </c>
      <c r="BN38">
        <v>38585843664.963692</v>
      </c>
      <c r="BO38" s="188">
        <v>40817011895.371559</v>
      </c>
    </row>
    <row r="39" spans="1:67">
      <c r="A39" t="s">
        <v>554</v>
      </c>
      <c r="B39" t="s">
        <v>555</v>
      </c>
      <c r="C39" t="s">
        <v>486</v>
      </c>
      <c r="D39" t="s">
        <v>487</v>
      </c>
      <c r="AI39">
        <v>3372788348.7442741</v>
      </c>
      <c r="AJ39">
        <v>3354152242.6463971</v>
      </c>
      <c r="AK39">
        <v>3138678879.6497397</v>
      </c>
      <c r="AL39">
        <v>3149202106.7523265</v>
      </c>
      <c r="AM39">
        <v>3303511416.8018804</v>
      </c>
      <c r="AN39">
        <v>3541365743.8094587</v>
      </c>
      <c r="AO39">
        <v>3399707821.8743</v>
      </c>
      <c r="AP39">
        <v>3579890161.2414432</v>
      </c>
      <c r="AQ39">
        <v>3748150095.8242035</v>
      </c>
      <c r="AR39">
        <v>3883082558.6502228</v>
      </c>
      <c r="AS39">
        <v>3786415841.7519898</v>
      </c>
      <c r="AT39">
        <v>3955469427.5408111</v>
      </c>
      <c r="AU39">
        <v>4098520648.259944</v>
      </c>
      <c r="AV39">
        <v>3877303602.0905342</v>
      </c>
      <c r="AW39">
        <v>4109743464.2034292</v>
      </c>
      <c r="AX39">
        <v>4147068586.479588</v>
      </c>
      <c r="AY39">
        <v>4344928771.5995131</v>
      </c>
      <c r="AZ39">
        <v>4545122879.1550398</v>
      </c>
      <c r="BA39">
        <v>4638485655.4769297</v>
      </c>
      <c r="BB39">
        <v>5036804498.5544014</v>
      </c>
      <c r="BC39">
        <v>5270049769.6690035</v>
      </c>
      <c r="BD39">
        <v>5491108085.5972013</v>
      </c>
      <c r="BE39">
        <v>5768615578.4187164</v>
      </c>
      <c r="BF39">
        <v>3669302318.2264962</v>
      </c>
      <c r="BG39">
        <v>3672277040.5247693</v>
      </c>
      <c r="BH39">
        <v>3831548140.3366604</v>
      </c>
      <c r="BI39">
        <v>4013558816.9266553</v>
      </c>
      <c r="BJ39">
        <v>4195263790.8298717</v>
      </c>
      <c r="BK39">
        <v>4354240945.7506285</v>
      </c>
      <c r="BL39">
        <v>4489222415.0688982</v>
      </c>
      <c r="BM39">
        <v>4529625416.6634254</v>
      </c>
      <c r="BN39">
        <v>4570392045.7249775</v>
      </c>
      <c r="BO39" s="188">
        <v>4570392045.7249775</v>
      </c>
    </row>
    <row r="40" spans="1:67">
      <c r="A40" t="s">
        <v>556</v>
      </c>
      <c r="B40" t="s">
        <v>557</v>
      </c>
      <c r="C40" t="s">
        <v>486</v>
      </c>
      <c r="D40" t="s">
        <v>487</v>
      </c>
      <c r="AI40">
        <v>957085101679.08582</v>
      </c>
      <c r="AJ40">
        <v>937119488260.36523</v>
      </c>
      <c r="AK40">
        <v>945555996069.72925</v>
      </c>
      <c r="AL40">
        <v>970715885216.76917</v>
      </c>
      <c r="AM40">
        <v>1014344382647.1129</v>
      </c>
      <c r="AN40">
        <v>1041670579675.3646</v>
      </c>
      <c r="AO40">
        <v>1058537023189.9415</v>
      </c>
      <c r="AP40">
        <v>1103842831560.9526</v>
      </c>
      <c r="AQ40">
        <v>1146850224233.1826</v>
      </c>
      <c r="AR40">
        <v>1206061110708.2073</v>
      </c>
      <c r="AS40">
        <v>1268506560957.0205</v>
      </c>
      <c r="AT40">
        <v>1291212484378.0774</v>
      </c>
      <c r="AU40">
        <v>1330181929377.0825</v>
      </c>
      <c r="AV40">
        <v>1354145398076.4668</v>
      </c>
      <c r="AW40">
        <v>1395947606643.093</v>
      </c>
      <c r="AX40">
        <v>1440676565833.594</v>
      </c>
      <c r="AY40">
        <v>1478628363551.6384</v>
      </c>
      <c r="AZ40">
        <v>1509262956104.7888</v>
      </c>
      <c r="BA40">
        <v>1524420320951.3953</v>
      </c>
      <c r="BB40">
        <v>1479816458481.6228</v>
      </c>
      <c r="BC40">
        <v>1525541595227.1106</v>
      </c>
      <c r="BD40">
        <v>1573536666848.5652</v>
      </c>
      <c r="BE40">
        <v>1601246043121.2227</v>
      </c>
      <c r="BF40">
        <v>1638541025091.3591</v>
      </c>
      <c r="BG40">
        <v>1685567743622.6392</v>
      </c>
      <c r="BH40">
        <v>1696678616208.2112</v>
      </c>
      <c r="BI40">
        <v>1713669061092.8247</v>
      </c>
      <c r="BJ40">
        <v>1765762548007.7603</v>
      </c>
      <c r="BK40">
        <v>1814798490049.6689</v>
      </c>
      <c r="BL40">
        <v>1849065943165.3882</v>
      </c>
      <c r="BM40">
        <v>1755237725548.5105</v>
      </c>
      <c r="BN40">
        <v>1843206745241.6282</v>
      </c>
      <c r="BO40" s="188">
        <v>1905805774738.8105</v>
      </c>
    </row>
    <row r="41" spans="1:67">
      <c r="A41" t="s">
        <v>558</v>
      </c>
      <c r="B41" t="s">
        <v>559</v>
      </c>
      <c r="C41" t="s">
        <v>486</v>
      </c>
      <c r="D41" t="s">
        <v>487</v>
      </c>
      <c r="AI41">
        <v>1548383143351.0027</v>
      </c>
      <c r="AJ41">
        <v>1395684202349.6487</v>
      </c>
      <c r="AK41">
        <v>1362774255790.7651</v>
      </c>
      <c r="AL41">
        <v>1383450936378.1331</v>
      </c>
      <c r="AM41">
        <v>1439535360517.9275</v>
      </c>
      <c r="AN41">
        <v>1521312750277.7754</v>
      </c>
      <c r="AO41">
        <v>1590313421595.3523</v>
      </c>
      <c r="AP41">
        <v>1618403248398.5891</v>
      </c>
      <c r="AQ41">
        <v>1659723384112.3792</v>
      </c>
      <c r="AR41">
        <v>1688471592834.3291</v>
      </c>
      <c r="AS41">
        <v>1754980271334.6487</v>
      </c>
      <c r="AT41">
        <v>1809754285819.6885</v>
      </c>
      <c r="AU41">
        <v>1876390447379.3132</v>
      </c>
      <c r="AV41">
        <v>1951796977998.135</v>
      </c>
      <c r="AW41">
        <v>2069028202143.6189</v>
      </c>
      <c r="AX41">
        <v>2171962919297.2896</v>
      </c>
      <c r="AY41">
        <v>2315209509408.5063</v>
      </c>
      <c r="AZ41">
        <v>2463304288813.4629</v>
      </c>
      <c r="BA41">
        <v>2566428635623.9307</v>
      </c>
      <c r="BB41">
        <v>2479625244961.3862</v>
      </c>
      <c r="BC41">
        <v>2509778423508.3574</v>
      </c>
      <c r="BD41">
        <v>2599787941116.6084</v>
      </c>
      <c r="BE41">
        <v>2622873321846.4619</v>
      </c>
      <c r="BF41">
        <v>2640044301253.9429</v>
      </c>
      <c r="BG41">
        <v>2725792939139.1382</v>
      </c>
      <c r="BH41">
        <v>2834645608298.7383</v>
      </c>
      <c r="BI41">
        <v>2913019597901.0786</v>
      </c>
      <c r="BJ41">
        <v>3064741443660.7349</v>
      </c>
      <c r="BK41">
        <v>3217836494506.3208</v>
      </c>
      <c r="BL41">
        <v>3345751783296.7881</v>
      </c>
      <c r="BM41">
        <v>3232794470789.1152</v>
      </c>
      <c r="BN41">
        <v>3439480718627.3501</v>
      </c>
      <c r="BO41" s="188">
        <v>3581127817921.7471</v>
      </c>
    </row>
    <row r="42" spans="1:67">
      <c r="A42" t="s">
        <v>560</v>
      </c>
      <c r="B42" t="s">
        <v>561</v>
      </c>
      <c r="C42" t="s">
        <v>486</v>
      </c>
      <c r="D42" t="s">
        <v>487</v>
      </c>
      <c r="AI42">
        <v>377627239548.93561</v>
      </c>
      <c r="AJ42">
        <v>374168866344.51495</v>
      </c>
      <c r="AK42">
        <v>374005231061.1134</v>
      </c>
      <c r="AL42">
        <v>373534046575.02716</v>
      </c>
      <c r="AM42">
        <v>378277023804.11951</v>
      </c>
      <c r="AN42">
        <v>380096031095.67798</v>
      </c>
      <c r="AO42">
        <v>381887347750.64166</v>
      </c>
      <c r="AP42">
        <v>390523062729.98395</v>
      </c>
      <c r="AQ42">
        <v>402355791133.9762</v>
      </c>
      <c r="AR42">
        <v>409045766040.14478</v>
      </c>
      <c r="AS42">
        <v>425238741441.48163</v>
      </c>
      <c r="AT42">
        <v>431939066561.20221</v>
      </c>
      <c r="AU42">
        <v>431622813371.82501</v>
      </c>
      <c r="AV42">
        <v>431482974155.90308</v>
      </c>
      <c r="AW42">
        <v>443140389406.83234</v>
      </c>
      <c r="AX42">
        <v>455325416196.40991</v>
      </c>
      <c r="AY42">
        <v>473873681890.4071</v>
      </c>
      <c r="AZ42">
        <v>492432356174.79523</v>
      </c>
      <c r="BA42">
        <v>506259776133.31372</v>
      </c>
      <c r="BB42">
        <v>494629092470.9101</v>
      </c>
      <c r="BC42">
        <v>510671879276.72797</v>
      </c>
      <c r="BD42">
        <v>519930912954.32324</v>
      </c>
      <c r="BE42">
        <v>526062218175.59442</v>
      </c>
      <c r="BF42">
        <v>535490010955.14447</v>
      </c>
      <c r="BG42">
        <v>548073390452.53687</v>
      </c>
      <c r="BH42">
        <v>557087157176.95972</v>
      </c>
      <c r="BI42">
        <v>568611561634.21851</v>
      </c>
      <c r="BJ42">
        <v>576360597477.86951</v>
      </c>
      <c r="BK42">
        <v>592847079950.25073</v>
      </c>
      <c r="BL42">
        <v>599617288817.87415</v>
      </c>
      <c r="BM42">
        <v>585373000686.12463</v>
      </c>
      <c r="BN42">
        <v>610085789690.68469</v>
      </c>
      <c r="BO42" s="188">
        <v>622648874063.02673</v>
      </c>
    </row>
    <row r="43" spans="1:67">
      <c r="A43" t="s">
        <v>562</v>
      </c>
      <c r="B43" t="s">
        <v>563</v>
      </c>
      <c r="C43" t="s">
        <v>486</v>
      </c>
      <c r="D43" t="s">
        <v>487</v>
      </c>
    </row>
    <row r="44" spans="1:67">
      <c r="A44" t="s">
        <v>564</v>
      </c>
      <c r="B44" t="s">
        <v>565</v>
      </c>
      <c r="C44" t="s">
        <v>486</v>
      </c>
      <c r="D44" t="s">
        <v>487</v>
      </c>
      <c r="AI44">
        <v>129450154199.98932</v>
      </c>
      <c r="AJ44">
        <v>139552951918.6174</v>
      </c>
      <c r="AK44">
        <v>155136422193.39548</v>
      </c>
      <c r="AL44">
        <v>165358025688.02362</v>
      </c>
      <c r="AM44">
        <v>173675861751.79901</v>
      </c>
      <c r="AN44">
        <v>189190840335.68512</v>
      </c>
      <c r="AO44">
        <v>202061335410.68655</v>
      </c>
      <c r="AP44">
        <v>216997182486.55859</v>
      </c>
      <c r="AQ44">
        <v>226069588670.12036</v>
      </c>
      <c r="AR44">
        <v>225450991293.75159</v>
      </c>
      <c r="AS44">
        <v>236659561222.4906</v>
      </c>
      <c r="AT44">
        <v>244123886435.85226</v>
      </c>
      <c r="AU44">
        <v>251942684159.43918</v>
      </c>
      <c r="AV44">
        <v>263842555068.60999</v>
      </c>
      <c r="AW44">
        <v>281452077797.83911</v>
      </c>
      <c r="AX44">
        <v>297880564256.47424</v>
      </c>
      <c r="AY44">
        <v>315902311065.35474</v>
      </c>
      <c r="AZ44">
        <v>332228872189.0636</v>
      </c>
      <c r="BA44">
        <v>344818329172.42157</v>
      </c>
      <c r="BB44">
        <v>340963131854.24237</v>
      </c>
      <c r="BC44">
        <v>360915104444.85431</v>
      </c>
      <c r="BD44">
        <v>383378088027.30682</v>
      </c>
      <c r="BE44">
        <v>406976312902.02252</v>
      </c>
      <c r="BF44">
        <v>420441157778.13281</v>
      </c>
      <c r="BG44">
        <v>427978193970.55939</v>
      </c>
      <c r="BH44">
        <v>437188038616.539</v>
      </c>
      <c r="BI44">
        <v>444852114339.54291</v>
      </c>
      <c r="BJ44">
        <v>450891850914.8299</v>
      </c>
      <c r="BK44">
        <v>468882568679.53198</v>
      </c>
      <c r="BL44">
        <v>472366975858.93207</v>
      </c>
      <c r="BM44">
        <v>443338859122.44409</v>
      </c>
      <c r="BN44">
        <v>495375452096.91998</v>
      </c>
      <c r="BO44" s="188">
        <v>507464611464.4256</v>
      </c>
    </row>
    <row r="45" spans="1:67">
      <c r="A45" t="s">
        <v>566</v>
      </c>
      <c r="B45" t="s">
        <v>567</v>
      </c>
      <c r="C45" t="s">
        <v>486</v>
      </c>
      <c r="D45" t="s">
        <v>487</v>
      </c>
      <c r="AI45">
        <v>1616385775698.9355</v>
      </c>
      <c r="AJ45">
        <v>1766108132395.1396</v>
      </c>
      <c r="AK45">
        <v>2017328706335.2871</v>
      </c>
      <c r="AL45">
        <v>2297409163056.4971</v>
      </c>
      <c r="AM45">
        <v>2596917953189.2705</v>
      </c>
      <c r="AN45">
        <v>2881383160103.4146</v>
      </c>
      <c r="AO45">
        <v>3167290039416.2266</v>
      </c>
      <c r="AP45">
        <v>3459845648886.5205</v>
      </c>
      <c r="AQ45">
        <v>3731303470424.2095</v>
      </c>
      <c r="AR45">
        <v>4017182938755.5386</v>
      </c>
      <c r="AS45">
        <v>4358245522535.813</v>
      </c>
      <c r="AT45">
        <v>4721537253617.5117</v>
      </c>
      <c r="AU45">
        <v>5152785033972.0859</v>
      </c>
      <c r="AV45">
        <v>5670023166308.1758</v>
      </c>
      <c r="AW45">
        <v>6243467841396.0879</v>
      </c>
      <c r="AX45">
        <v>6954885516694.8467</v>
      </c>
      <c r="AY45">
        <v>7839613419837.1709</v>
      </c>
      <c r="AZ45">
        <v>8955257903305.2988</v>
      </c>
      <c r="BA45">
        <v>9819501089971.5488</v>
      </c>
      <c r="BB45">
        <v>10742409055886.516</v>
      </c>
      <c r="BC45">
        <v>11884957832311.248</v>
      </c>
      <c r="BD45">
        <v>13020070209403.846</v>
      </c>
      <c r="BE45">
        <v>14043934216102.111</v>
      </c>
      <c r="BF45">
        <v>15134607226924.238</v>
      </c>
      <c r="BG45">
        <v>16258467389928.777</v>
      </c>
      <c r="BH45">
        <v>17403279549482.504</v>
      </c>
      <c r="BI45">
        <v>18595188781703.602</v>
      </c>
      <c r="BJ45">
        <v>19887033884256.707</v>
      </c>
      <c r="BK45">
        <v>21229363693432.133</v>
      </c>
      <c r="BL45">
        <v>22492617140030.344</v>
      </c>
      <c r="BM45">
        <v>22996145494661.523</v>
      </c>
      <c r="BN45">
        <v>24938739893648.707</v>
      </c>
      <c r="BO45" s="188">
        <v>25684608872998.789</v>
      </c>
    </row>
    <row r="46" spans="1:67">
      <c r="A46" t="s">
        <v>568</v>
      </c>
      <c r="B46" t="s">
        <v>569</v>
      </c>
      <c r="C46" t="s">
        <v>486</v>
      </c>
      <c r="D46" t="s">
        <v>487</v>
      </c>
      <c r="AI46">
        <v>51828438271.475616</v>
      </c>
      <c r="AJ46">
        <v>51849649148.840752</v>
      </c>
      <c r="AK46">
        <v>51722845329.855492</v>
      </c>
      <c r="AL46">
        <v>51623286559.248039</v>
      </c>
      <c r="AM46">
        <v>52042058110.540604</v>
      </c>
      <c r="AN46">
        <v>55750442320.863899</v>
      </c>
      <c r="AO46">
        <v>60059576547.079971</v>
      </c>
      <c r="AP46">
        <v>65854629021.987907</v>
      </c>
      <c r="AQ46">
        <v>68662608460.351929</v>
      </c>
      <c r="AR46">
        <v>69463804961.877502</v>
      </c>
      <c r="AS46">
        <v>69279177487.034698</v>
      </c>
      <c r="AT46">
        <v>67786895350.803024</v>
      </c>
      <c r="AU46">
        <v>65935956227.405914</v>
      </c>
      <c r="AV46">
        <v>62819910904.023811</v>
      </c>
      <c r="AW46">
        <v>64820749081.653076</v>
      </c>
      <c r="AX46">
        <v>65466406240.197876</v>
      </c>
      <c r="AY46">
        <v>67309664361.925232</v>
      </c>
      <c r="AZ46">
        <v>68051033039.575157</v>
      </c>
      <c r="BA46">
        <v>71305686646.536972</v>
      </c>
      <c r="BB46">
        <v>73875059831.320984</v>
      </c>
      <c r="BC46">
        <v>78934060423.292236</v>
      </c>
      <c r="BD46">
        <v>74694948352.791656</v>
      </c>
      <c r="BE46">
        <v>80387010983.381775</v>
      </c>
      <c r="BF46">
        <v>89036824695.40332</v>
      </c>
      <c r="BG46">
        <v>97381355854.225372</v>
      </c>
      <c r="BH46">
        <v>104387895160.36456</v>
      </c>
      <c r="BI46">
        <v>111875387973.01686</v>
      </c>
      <c r="BJ46">
        <v>120166207188.77905</v>
      </c>
      <c r="BK46">
        <v>125986032116.36214</v>
      </c>
      <c r="BL46">
        <v>134198162936.08588</v>
      </c>
      <c r="BM46">
        <v>136530017630.99475</v>
      </c>
      <c r="BN46">
        <v>146087118858.3584</v>
      </c>
      <c r="BO46" s="188">
        <v>155935333631.31134</v>
      </c>
    </row>
    <row r="47" spans="1:67">
      <c r="A47" t="s">
        <v>570</v>
      </c>
      <c r="B47" t="s">
        <v>571</v>
      </c>
      <c r="C47" t="s">
        <v>486</v>
      </c>
      <c r="D47" t="s">
        <v>487</v>
      </c>
      <c r="AI47">
        <v>39814637091.102768</v>
      </c>
      <c r="AJ47">
        <v>38298257072.571152</v>
      </c>
      <c r="AK47">
        <v>37111009873.633682</v>
      </c>
      <c r="AL47">
        <v>34167339863.996929</v>
      </c>
      <c r="AM47">
        <v>34808595650.776245</v>
      </c>
      <c r="AN47">
        <v>35815956888.362251</v>
      </c>
      <c r="AO47">
        <v>37325625312.251495</v>
      </c>
      <c r="AP47">
        <v>39015473485.352097</v>
      </c>
      <c r="AQ47">
        <v>40859163281.024605</v>
      </c>
      <c r="AR47">
        <v>42702444438.953178</v>
      </c>
      <c r="AS47">
        <v>44338980518.669266</v>
      </c>
      <c r="AT47">
        <v>46256313846.243301</v>
      </c>
      <c r="AU47">
        <v>48327221427.226997</v>
      </c>
      <c r="AV47">
        <v>50962579086.149445</v>
      </c>
      <c r="AW47">
        <v>54554861376.975319</v>
      </c>
      <c r="AX47">
        <v>55770491098.966454</v>
      </c>
      <c r="AY47">
        <v>57895114398.907608</v>
      </c>
      <c r="AZ47">
        <v>60400577008.634315</v>
      </c>
      <c r="BA47">
        <v>62120590885.077103</v>
      </c>
      <c r="BB47">
        <v>63722837328.313431</v>
      </c>
      <c r="BC47">
        <v>65570178137.31028</v>
      </c>
      <c r="BD47">
        <v>67785932998.296318</v>
      </c>
      <c r="BE47">
        <v>70921695833.55545</v>
      </c>
      <c r="BF47">
        <v>74464609829.312881</v>
      </c>
      <c r="BG47">
        <v>78723850093.208435</v>
      </c>
      <c r="BH47">
        <v>83185093670.738495</v>
      </c>
      <c r="BI47">
        <v>86958198354.415283</v>
      </c>
      <c r="BJ47">
        <v>90037541682.200882</v>
      </c>
      <c r="BK47">
        <v>93598989465.116165</v>
      </c>
      <c r="BL47">
        <v>96851610488.444916</v>
      </c>
      <c r="BM47">
        <v>97103359703.695038</v>
      </c>
      <c r="BN47">
        <v>100647551626.86841</v>
      </c>
      <c r="BO47" s="188">
        <v>104211459149.83609</v>
      </c>
    </row>
    <row r="48" spans="1:67">
      <c r="A48" t="s">
        <v>572</v>
      </c>
      <c r="B48" t="s">
        <v>573</v>
      </c>
      <c r="C48" t="s">
        <v>486</v>
      </c>
      <c r="D48" t="s">
        <v>487</v>
      </c>
      <c r="AI48">
        <v>62984305228.030396</v>
      </c>
      <c r="AJ48">
        <v>57680364448.406364</v>
      </c>
      <c r="AK48">
        <v>51623921241.203667</v>
      </c>
      <c r="AL48">
        <v>44670669199.462578</v>
      </c>
      <c r="AM48">
        <v>42928514528.749489</v>
      </c>
      <c r="AN48">
        <v>43229013628.098854</v>
      </c>
      <c r="AO48">
        <v>42786706187.250031</v>
      </c>
      <c r="AP48">
        <v>40383356962.662964</v>
      </c>
      <c r="AQ48">
        <v>39727469037.131935</v>
      </c>
      <c r="AR48">
        <v>38031050160.60144</v>
      </c>
      <c r="AS48">
        <v>35402751926.292633</v>
      </c>
      <c r="AT48">
        <v>34659232880.268456</v>
      </c>
      <c r="AU48">
        <v>35680905680.015045</v>
      </c>
      <c r="AV48">
        <v>37671123197.960304</v>
      </c>
      <c r="AW48">
        <v>40209544343.891495</v>
      </c>
      <c r="AX48">
        <v>42676460668.322906</v>
      </c>
      <c r="AY48">
        <v>44947266419.758743</v>
      </c>
      <c r="AZ48">
        <v>47760730566.997467</v>
      </c>
      <c r="BA48">
        <v>50734263154.053566</v>
      </c>
      <c r="BB48">
        <v>52182758842.161903</v>
      </c>
      <c r="BC48">
        <v>55891897117.276237</v>
      </c>
      <c r="BD48">
        <v>59734281098.275497</v>
      </c>
      <c r="BE48">
        <v>63967589236.259598</v>
      </c>
      <c r="BF48">
        <v>69393292416.429733</v>
      </c>
      <c r="BG48">
        <v>75965037128.35701</v>
      </c>
      <c r="BH48">
        <v>81218906049.192734</v>
      </c>
      <c r="BI48">
        <v>83167671599.01091</v>
      </c>
      <c r="BJ48">
        <v>86267287184.001678</v>
      </c>
      <c r="BK48">
        <v>91289010440.575226</v>
      </c>
      <c r="BL48">
        <v>95291603468.556778</v>
      </c>
      <c r="BM48">
        <v>96945315646.950241</v>
      </c>
      <c r="BN48">
        <v>102956074523.27806</v>
      </c>
      <c r="BO48" s="188">
        <v>112144335703.33382</v>
      </c>
    </row>
    <row r="49" spans="1:67">
      <c r="A49" t="s">
        <v>574</v>
      </c>
      <c r="B49" t="s">
        <v>575</v>
      </c>
      <c r="C49" t="s">
        <v>486</v>
      </c>
      <c r="D49" t="s">
        <v>487</v>
      </c>
      <c r="AI49">
        <v>11944634582.535385</v>
      </c>
      <c r="AJ49">
        <v>12230752471.652205</v>
      </c>
      <c r="AK49">
        <v>12550213372.988815</v>
      </c>
      <c r="AL49">
        <v>12427261039.912003</v>
      </c>
      <c r="AM49">
        <v>11744622177.909309</v>
      </c>
      <c r="AN49">
        <v>12212683468.682526</v>
      </c>
      <c r="AO49">
        <v>12736666400.729242</v>
      </c>
      <c r="AP49">
        <v>12657086161.26458</v>
      </c>
      <c r="AQ49">
        <v>13130151435.662018</v>
      </c>
      <c r="AR49">
        <v>12791104749.567881</v>
      </c>
      <c r="AS49">
        <v>13760156337.732849</v>
      </c>
      <c r="AT49">
        <v>14283400303.955509</v>
      </c>
      <c r="AU49">
        <v>14937847146.187927</v>
      </c>
      <c r="AV49">
        <v>15059331290.801044</v>
      </c>
      <c r="AW49">
        <v>15582888764.39542</v>
      </c>
      <c r="AX49">
        <v>16791460058.782131</v>
      </c>
      <c r="AY49">
        <v>18132466083.76199</v>
      </c>
      <c r="AZ49">
        <v>16933185719.070564</v>
      </c>
      <c r="BA49">
        <v>18001056071.817898</v>
      </c>
      <c r="BB49">
        <v>20095890965.029568</v>
      </c>
      <c r="BC49">
        <v>22091667237.482113</v>
      </c>
      <c r="BD49">
        <v>22578991602.653919</v>
      </c>
      <c r="BE49">
        <v>24824958475.419193</v>
      </c>
      <c r="BF49">
        <v>24648096918.576283</v>
      </c>
      <c r="BG49">
        <v>26303630550.477959</v>
      </c>
      <c r="BH49">
        <v>25369698640.500122</v>
      </c>
      <c r="BI49">
        <v>22634023587.987396</v>
      </c>
      <c r="BJ49">
        <v>21642080499.852741</v>
      </c>
      <c r="BK49">
        <v>20602102447.462803</v>
      </c>
      <c r="BL49">
        <v>20584202113.406307</v>
      </c>
      <c r="BM49">
        <v>19299887949.858967</v>
      </c>
      <c r="BN49">
        <v>18875289911.933117</v>
      </c>
      <c r="BO49" s="188">
        <v>19167470508.92849</v>
      </c>
    </row>
    <row r="50" spans="1:67">
      <c r="A50" t="s">
        <v>576</v>
      </c>
      <c r="B50" t="s">
        <v>577</v>
      </c>
      <c r="C50" t="s">
        <v>486</v>
      </c>
      <c r="D50" t="s">
        <v>487</v>
      </c>
      <c r="AI50">
        <v>274991424243.79736</v>
      </c>
      <c r="AJ50">
        <v>280495673482.26251</v>
      </c>
      <c r="AK50">
        <v>291841525550.53583</v>
      </c>
      <c r="AL50">
        <v>307558388072.40204</v>
      </c>
      <c r="AM50">
        <v>325441868508.13202</v>
      </c>
      <c r="AN50">
        <v>342372778617.16345</v>
      </c>
      <c r="AO50">
        <v>349411465519.56506</v>
      </c>
      <c r="AP50">
        <v>361397304932.45502</v>
      </c>
      <c r="AQ50">
        <v>363456489277.16553</v>
      </c>
      <c r="AR50">
        <v>348176723063.73926</v>
      </c>
      <c r="AS50">
        <v>358360409929.91022</v>
      </c>
      <c r="AT50">
        <v>364373333183.58936</v>
      </c>
      <c r="AU50">
        <v>373497170268.02264</v>
      </c>
      <c r="AV50">
        <v>388131804951.36938</v>
      </c>
      <c r="AW50">
        <v>408830959760.22699</v>
      </c>
      <c r="AX50">
        <v>428572430142.39105</v>
      </c>
      <c r="AY50">
        <v>457359077552.78613</v>
      </c>
      <c r="AZ50">
        <v>488176822634.8418</v>
      </c>
      <c r="BA50">
        <v>504205845899.38892</v>
      </c>
      <c r="BB50">
        <v>509952020992.61536</v>
      </c>
      <c r="BC50">
        <v>532872625250.47302</v>
      </c>
      <c r="BD50">
        <v>569896039653.11438</v>
      </c>
      <c r="BE50">
        <v>592193995936.21704</v>
      </c>
      <c r="BF50">
        <v>622597197313.15503</v>
      </c>
      <c r="BG50">
        <v>650608032006.34216</v>
      </c>
      <c r="BH50">
        <v>669839363772.06885</v>
      </c>
      <c r="BI50">
        <v>683821473440.46289</v>
      </c>
      <c r="BJ50">
        <v>693117074956.62402</v>
      </c>
      <c r="BK50">
        <v>710890844417.81067</v>
      </c>
      <c r="BL50">
        <v>733545907627.61108</v>
      </c>
      <c r="BM50">
        <v>680346964554.59778</v>
      </c>
      <c r="BN50">
        <v>755295301055.94946</v>
      </c>
      <c r="BO50" s="188">
        <v>811910543310.59644</v>
      </c>
    </row>
    <row r="51" spans="1:67">
      <c r="A51" t="s">
        <v>578</v>
      </c>
      <c r="B51" t="s">
        <v>579</v>
      </c>
      <c r="C51" t="s">
        <v>486</v>
      </c>
      <c r="D51" t="s">
        <v>487</v>
      </c>
      <c r="AI51">
        <v>1260036783.4212267</v>
      </c>
      <c r="AJ51">
        <v>1192049770.6489224</v>
      </c>
      <c r="AK51">
        <v>1293743319.4836934</v>
      </c>
      <c r="AL51">
        <v>1332634036.8283942</v>
      </c>
      <c r="AM51">
        <v>1262313830.5548193</v>
      </c>
      <c r="AN51">
        <v>1307885965.6531572</v>
      </c>
      <c r="AO51">
        <v>1290992147.46749</v>
      </c>
      <c r="AP51">
        <v>1343021114.8487546</v>
      </c>
      <c r="AQ51">
        <v>1360245572.7551899</v>
      </c>
      <c r="AR51">
        <v>1386422257.0635576</v>
      </c>
      <c r="AS51">
        <v>1536819660.6160183</v>
      </c>
      <c r="AT51">
        <v>1572672235.6208296</v>
      </c>
      <c r="AU51">
        <v>1609235997.9495575</v>
      </c>
      <c r="AV51">
        <v>1643092257.6591647</v>
      </c>
      <c r="AW51">
        <v>1674634039.3233941</v>
      </c>
      <c r="AX51">
        <v>1722152581.8345559</v>
      </c>
      <c r="AY51">
        <v>1767737193.9034886</v>
      </c>
      <c r="AZ51">
        <v>1781879840.0729523</v>
      </c>
      <c r="BA51">
        <v>1852524447.5819976</v>
      </c>
      <c r="BB51">
        <v>1912559961.8559148</v>
      </c>
      <c r="BC51">
        <v>1984812016.1653266</v>
      </c>
      <c r="BD51">
        <v>2067052834.9335201</v>
      </c>
      <c r="BE51">
        <v>2132545540.9548066</v>
      </c>
      <c r="BF51">
        <v>2227790298.9141994</v>
      </c>
      <c r="BG51">
        <v>2274722212.3227434</v>
      </c>
      <c r="BH51">
        <v>2300821254.9384923</v>
      </c>
      <c r="BI51">
        <v>2377218795.2050724</v>
      </c>
      <c r="BJ51">
        <v>2467927827.4933906</v>
      </c>
      <c r="BK51">
        <v>2557820892.7302804</v>
      </c>
      <c r="BL51">
        <v>2602858497.5644169</v>
      </c>
      <c r="BM51">
        <v>2597768430.0713816</v>
      </c>
      <c r="BN51">
        <v>2652638379.9508896</v>
      </c>
      <c r="BO51" s="188">
        <v>2715974855.8402495</v>
      </c>
    </row>
    <row r="52" spans="1:67">
      <c r="A52" t="s">
        <v>580</v>
      </c>
      <c r="B52" t="s">
        <v>581</v>
      </c>
      <c r="C52" t="s">
        <v>486</v>
      </c>
      <c r="D52" t="s">
        <v>487</v>
      </c>
      <c r="AI52">
        <v>662055428.44187522</v>
      </c>
      <c r="AJ52">
        <v>671351658.90195405</v>
      </c>
      <c r="AK52">
        <v>744781735.11183846</v>
      </c>
      <c r="AL52">
        <v>809639647.67932785</v>
      </c>
      <c r="AM52">
        <v>964949921.30408382</v>
      </c>
      <c r="AN52">
        <v>1102085094.1978066</v>
      </c>
      <c r="AO52">
        <v>1227133451.9404545</v>
      </c>
      <c r="AP52">
        <v>1363571377.1539481</v>
      </c>
      <c r="AQ52">
        <v>1534253501.7154431</v>
      </c>
      <c r="AR52">
        <v>1706437379.805356</v>
      </c>
      <c r="AS52">
        <v>1950199721.2128599</v>
      </c>
      <c r="AT52">
        <v>1993721440.9108472</v>
      </c>
      <c r="AU52">
        <v>2098409585.5239596</v>
      </c>
      <c r="AV52">
        <v>2186044611.0282626</v>
      </c>
      <c r="AW52">
        <v>2408957167.2830858</v>
      </c>
      <c r="AX52">
        <v>2575475319.4232912</v>
      </c>
      <c r="AY52">
        <v>2781094841.7512889</v>
      </c>
      <c r="AZ52">
        <v>3203006062.302536</v>
      </c>
      <c r="BA52">
        <v>3428466020.8284063</v>
      </c>
      <c r="BB52">
        <v>3376916060.907289</v>
      </c>
      <c r="BC52">
        <v>3438930394.1258326</v>
      </c>
      <c r="BD52">
        <v>3573898721.6496468</v>
      </c>
      <c r="BE52">
        <v>3612627220.9579802</v>
      </c>
      <c r="BF52">
        <v>3635463964.4451685</v>
      </c>
      <c r="BG52">
        <v>3660791036.3699183</v>
      </c>
      <c r="BH52">
        <v>3695057010.8658309</v>
      </c>
      <c r="BI52">
        <v>3853231864.1821637</v>
      </c>
      <c r="BJ52">
        <v>4028604576.6917849</v>
      </c>
      <c r="BK52">
        <v>4177943521.5432343</v>
      </c>
      <c r="BL52">
        <v>4496974701.7764788</v>
      </c>
      <c r="BM52">
        <v>3628931645.8515568</v>
      </c>
      <c r="BN52">
        <v>3876104582.8360877</v>
      </c>
      <c r="BO52" s="188">
        <v>4562724770.9277983</v>
      </c>
    </row>
    <row r="53" spans="1:67">
      <c r="A53" t="s">
        <v>582</v>
      </c>
      <c r="B53" t="s">
        <v>583</v>
      </c>
      <c r="C53" t="s">
        <v>486</v>
      </c>
      <c r="D53" t="s">
        <v>487</v>
      </c>
      <c r="AI53">
        <v>30984203096.07254</v>
      </c>
      <c r="AJ53">
        <v>31686198239.17099</v>
      </c>
      <c r="AK53">
        <v>34601678207.987373</v>
      </c>
      <c r="AL53">
        <v>37057425482.639503</v>
      </c>
      <c r="AM53">
        <v>38732061055.928604</v>
      </c>
      <c r="AN53">
        <v>40340972684.798409</v>
      </c>
      <c r="AO53">
        <v>40885761198.561325</v>
      </c>
      <c r="AP53">
        <v>43124733259.7789</v>
      </c>
      <c r="AQ53">
        <v>46210440997.53672</v>
      </c>
      <c r="AR53">
        <v>48158123826.244057</v>
      </c>
      <c r="AS53">
        <v>50021225873.641182</v>
      </c>
      <c r="AT53">
        <v>51767551841.307472</v>
      </c>
      <c r="AU53">
        <v>53536385097.871635</v>
      </c>
      <c r="AV53">
        <v>55847647136.362038</v>
      </c>
      <c r="AW53">
        <v>58318681906.626755</v>
      </c>
      <c r="AX53">
        <v>60637821316.227119</v>
      </c>
      <c r="AY53">
        <v>65080569800.779022</v>
      </c>
      <c r="AZ53">
        <v>70427024505.527679</v>
      </c>
      <c r="BA53">
        <v>73763980087.948273</v>
      </c>
      <c r="BB53">
        <v>73119684220.22435</v>
      </c>
      <c r="BC53">
        <v>77039150445.816193</v>
      </c>
      <c r="BD53">
        <v>80431306916.86087</v>
      </c>
      <c r="BE53">
        <v>84358439803.85434</v>
      </c>
      <c r="BF53">
        <v>86462985572.776794</v>
      </c>
      <c r="BG53">
        <v>89525599525.269653</v>
      </c>
      <c r="BH53">
        <v>92795146907.045731</v>
      </c>
      <c r="BI53">
        <v>96696554844.96257</v>
      </c>
      <c r="BJ53">
        <v>100716906502.7771</v>
      </c>
      <c r="BK53">
        <v>103351564495.89613</v>
      </c>
      <c r="BL53">
        <v>105850100781.2849</v>
      </c>
      <c r="BM53">
        <v>101326750925.11441</v>
      </c>
      <c r="BN53">
        <v>109210780292.71091</v>
      </c>
      <c r="BO53" s="188">
        <v>113912321637.26556</v>
      </c>
    </row>
    <row r="54" spans="1:67">
      <c r="A54" t="s">
        <v>584</v>
      </c>
      <c r="B54" t="s">
        <v>585</v>
      </c>
      <c r="C54" t="s">
        <v>486</v>
      </c>
      <c r="D54" t="s">
        <v>487</v>
      </c>
      <c r="AI54">
        <v>62155040884.672249</v>
      </c>
      <c r="AJ54">
        <v>63547491409.531166</v>
      </c>
      <c r="AK54">
        <v>65399736400.691681</v>
      </c>
      <c r="AL54">
        <v>67622820469.379555</v>
      </c>
      <c r="AM54">
        <v>69507848567.164001</v>
      </c>
      <c r="AN54">
        <v>71478732656.706345</v>
      </c>
      <c r="AO54">
        <v>73772840476.027802</v>
      </c>
      <c r="AP54">
        <v>76460796066.428604</v>
      </c>
      <c r="AQ54">
        <v>77389193637.352325</v>
      </c>
      <c r="AR54">
        <v>80865635920.064499</v>
      </c>
      <c r="AS54">
        <v>83662739323.997498</v>
      </c>
      <c r="AT54">
        <v>85514992439.690689</v>
      </c>
      <c r="AU54">
        <v>88632687952.338287</v>
      </c>
      <c r="AV54">
        <v>93952063448.214859</v>
      </c>
      <c r="AW54">
        <v>97812291651.478333</v>
      </c>
      <c r="AX54">
        <v>101176526888.48424</v>
      </c>
      <c r="AY54">
        <v>108080569055.20706</v>
      </c>
      <c r="AZ54">
        <v>111846079827.13866</v>
      </c>
      <c r="BA54">
        <v>113367246274.43773</v>
      </c>
      <c r="BB54">
        <v>109675879123.66139</v>
      </c>
      <c r="BC54">
        <v>111240440680.87497</v>
      </c>
      <c r="BD54">
        <v>112690687741.69527</v>
      </c>
      <c r="BE54">
        <v>116281267358.60428</v>
      </c>
      <c r="BF54">
        <v>118365548775.49333</v>
      </c>
      <c r="BG54">
        <v>120848900481.88429</v>
      </c>
      <c r="BH54">
        <v>120981183853.44772</v>
      </c>
      <c r="BI54">
        <v>118687944248.37592</v>
      </c>
      <c r="BJ54">
        <v>118017179147.14915</v>
      </c>
      <c r="BK54">
        <v>119726097464.96031</v>
      </c>
      <c r="BL54">
        <v>120910806658.06206</v>
      </c>
      <c r="BM54">
        <v>111779570022.23367</v>
      </c>
      <c r="BN54">
        <v>118035052089.52696</v>
      </c>
      <c r="BO54" s="188">
        <v>133836969113.78494</v>
      </c>
    </row>
    <row r="55" spans="1:67">
      <c r="A55" t="s">
        <v>586</v>
      </c>
      <c r="B55" t="s">
        <v>587</v>
      </c>
      <c r="C55" t="s">
        <v>486</v>
      </c>
      <c r="D55" t="s">
        <v>487</v>
      </c>
    </row>
    <row r="56" spans="1:67">
      <c r="A56" t="s">
        <v>588</v>
      </c>
      <c r="B56" t="s">
        <v>589</v>
      </c>
      <c r="C56" t="s">
        <v>486</v>
      </c>
      <c r="D56" t="s">
        <v>487</v>
      </c>
      <c r="AS56">
        <v>3830256662.7121849</v>
      </c>
      <c r="AT56">
        <v>3803607510.1049023</v>
      </c>
      <c r="AU56">
        <v>3818710312.509738</v>
      </c>
      <c r="AV56">
        <v>3829715327.0412531</v>
      </c>
      <c r="AW56">
        <v>3837698792.7090373</v>
      </c>
      <c r="AX56">
        <v>3863657960.0154195</v>
      </c>
      <c r="AY56">
        <v>3926864880.881249</v>
      </c>
      <c r="AZ56">
        <v>4023856999.4667077</v>
      </c>
      <c r="BA56">
        <v>4111900724.1003475</v>
      </c>
      <c r="BB56">
        <v>4090053856.6364393</v>
      </c>
      <c r="BC56">
        <v>4093420241.2644672</v>
      </c>
      <c r="BD56">
        <v>4118496845.5171399</v>
      </c>
      <c r="BE56">
        <v>4115783185.7286744</v>
      </c>
      <c r="BF56">
        <v>4082375926.7516251</v>
      </c>
      <c r="BG56">
        <v>4033331824.904923</v>
      </c>
      <c r="BH56">
        <v>4045066752.263278</v>
      </c>
      <c r="BI56">
        <v>4009753012.7549553</v>
      </c>
      <c r="BJ56">
        <v>3940295041.5658603</v>
      </c>
      <c r="BK56">
        <v>3854913518.0625019</v>
      </c>
      <c r="BL56">
        <v>3724933575.6300435</v>
      </c>
      <c r="BM56">
        <v>3038112746.8788528</v>
      </c>
      <c r="BN56">
        <v>3166697971.4111285</v>
      </c>
    </row>
    <row r="57" spans="1:67">
      <c r="A57" t="s">
        <v>590</v>
      </c>
      <c r="B57" t="s">
        <v>591</v>
      </c>
      <c r="C57" t="s">
        <v>486</v>
      </c>
      <c r="D57" t="s">
        <v>487</v>
      </c>
      <c r="AY57">
        <v>4084368218.5343142</v>
      </c>
      <c r="AZ57">
        <v>4213541482.7275448</v>
      </c>
      <c r="BA57">
        <v>4198482227.619473</v>
      </c>
      <c r="BB57">
        <v>3896171237.6983924</v>
      </c>
      <c r="BC57">
        <v>3790365376.8630733</v>
      </c>
      <c r="BD57">
        <v>3834677124.4981608</v>
      </c>
      <c r="BE57">
        <v>3881834207.6707978</v>
      </c>
      <c r="BF57">
        <v>3931495700.2519851</v>
      </c>
      <c r="BG57">
        <v>4035858406.389225</v>
      </c>
      <c r="BH57">
        <v>4150199216.0105147</v>
      </c>
      <c r="BI57">
        <v>4284664575.557848</v>
      </c>
      <c r="BJ57">
        <v>4421090322.6013584</v>
      </c>
      <c r="BK57">
        <v>4609749992.2492638</v>
      </c>
      <c r="BL57">
        <v>4790251039.8461933</v>
      </c>
      <c r="BM57">
        <v>4545558530.3751278</v>
      </c>
      <c r="BN57">
        <v>4728683823.6301165</v>
      </c>
    </row>
    <row r="58" spans="1:67">
      <c r="A58" t="s">
        <v>592</v>
      </c>
      <c r="B58" t="s">
        <v>593</v>
      </c>
      <c r="C58" t="s">
        <v>486</v>
      </c>
      <c r="D58" t="s">
        <v>487</v>
      </c>
      <c r="AI58">
        <v>14632339671.881887</v>
      </c>
      <c r="AJ58">
        <v>14740545999.642422</v>
      </c>
      <c r="AK58">
        <v>16126157178.608566</v>
      </c>
      <c r="AL58">
        <v>16239040357.577919</v>
      </c>
      <c r="AM58">
        <v>17197143527.72094</v>
      </c>
      <c r="AN58">
        <v>18635249376.505905</v>
      </c>
      <c r="AO58">
        <v>18867925666.945827</v>
      </c>
      <c r="AP58">
        <v>19366207704.473148</v>
      </c>
      <c r="AQ58">
        <v>20549646977.887978</v>
      </c>
      <c r="AR58">
        <v>21576710200.802185</v>
      </c>
      <c r="AS58">
        <v>22863827920.023598</v>
      </c>
      <c r="AT58">
        <v>23767534560.521252</v>
      </c>
      <c r="AU58">
        <v>24652389533.053978</v>
      </c>
      <c r="AV58">
        <v>25299092246.659008</v>
      </c>
      <c r="AW58">
        <v>26570711633.071339</v>
      </c>
      <c r="AX58">
        <v>27860189288.502968</v>
      </c>
      <c r="AY58">
        <v>29173470877.483494</v>
      </c>
      <c r="AZ58">
        <v>30660754392.820389</v>
      </c>
      <c r="BA58">
        <v>31778894460.418694</v>
      </c>
      <c r="BB58">
        <v>31138466362.229717</v>
      </c>
      <c r="BC58">
        <v>31849527252.996021</v>
      </c>
      <c r="BD58">
        <v>31982248297.961006</v>
      </c>
      <c r="BE58">
        <v>30879698211.179947</v>
      </c>
      <c r="BF58">
        <v>28845503570.555531</v>
      </c>
      <c r="BG58">
        <v>28333189568.349739</v>
      </c>
      <c r="BH58">
        <v>29301879556.350067</v>
      </c>
      <c r="BI58">
        <v>31228062109.639027</v>
      </c>
      <c r="BJ58">
        <v>33018515599.409351</v>
      </c>
      <c r="BK58">
        <v>34883354540.376984</v>
      </c>
      <c r="BL58">
        <v>36812204705.332138</v>
      </c>
      <c r="BM58">
        <v>35202600557.385246</v>
      </c>
      <c r="BN58">
        <v>37539675499.274437</v>
      </c>
      <c r="BO58" s="188">
        <v>39653965589.319069</v>
      </c>
    </row>
    <row r="59" spans="1:67">
      <c r="A59" t="s">
        <v>594</v>
      </c>
      <c r="B59" t="s">
        <v>595</v>
      </c>
      <c r="C59" t="s">
        <v>486</v>
      </c>
      <c r="D59" t="s">
        <v>487</v>
      </c>
      <c r="AI59">
        <v>243714053114.92194</v>
      </c>
      <c r="AJ59">
        <v>215406806391.91721</v>
      </c>
      <c r="AK59">
        <v>214315679650.50647</v>
      </c>
      <c r="AL59">
        <v>214448350204.84039</v>
      </c>
      <c r="AM59">
        <v>220687316286.69861</v>
      </c>
      <c r="AN59">
        <v>235033787200.8692</v>
      </c>
      <c r="AO59">
        <v>245058957482.61002</v>
      </c>
      <c r="AP59">
        <v>243788740831.4382</v>
      </c>
      <c r="AQ59">
        <v>242919471616.3501</v>
      </c>
      <c r="AR59">
        <v>246281838916.11172</v>
      </c>
      <c r="AS59">
        <v>256135645814.02246</v>
      </c>
      <c r="AT59">
        <v>263929793484.53152</v>
      </c>
      <c r="AU59">
        <v>268073109410.31384</v>
      </c>
      <c r="AV59">
        <v>277680014493.40869</v>
      </c>
      <c r="AW59">
        <v>291048255139.48462</v>
      </c>
      <c r="AX59">
        <v>310262147771.21039</v>
      </c>
      <c r="AY59">
        <v>331257378446.30194</v>
      </c>
      <c r="AZ59">
        <v>349709536921.89746</v>
      </c>
      <c r="BA59">
        <v>359104175715.3009</v>
      </c>
      <c r="BB59">
        <v>342379505288.05615</v>
      </c>
      <c r="BC59">
        <v>350716111254.44324</v>
      </c>
      <c r="BD59">
        <v>356889976073.41541</v>
      </c>
      <c r="BE59">
        <v>354088374418.52612</v>
      </c>
      <c r="BF59">
        <v>353925834847.04913</v>
      </c>
      <c r="BG59">
        <v>361932001410.6416</v>
      </c>
      <c r="BH59">
        <v>381434276021.79651</v>
      </c>
      <c r="BI59">
        <v>391112348862.46863</v>
      </c>
      <c r="BJ59">
        <v>411327867894.57953</v>
      </c>
      <c r="BK59">
        <v>424572987495.3916</v>
      </c>
      <c r="BL59">
        <v>437437033854.29852</v>
      </c>
      <c r="BM59">
        <v>413365014030.65027</v>
      </c>
      <c r="BN59">
        <v>428050724080.0321</v>
      </c>
      <c r="BO59" s="188">
        <v>438584706718.9585</v>
      </c>
    </row>
    <row r="60" spans="1:67">
      <c r="A60" t="s">
        <v>596</v>
      </c>
      <c r="B60" t="s">
        <v>597</v>
      </c>
      <c r="C60" t="s">
        <v>486</v>
      </c>
      <c r="D60" t="s">
        <v>487</v>
      </c>
      <c r="AI60">
        <v>2915150994424.4946</v>
      </c>
      <c r="AJ60">
        <v>3064064530978.0283</v>
      </c>
      <c r="AK60">
        <v>3122988837727.5547</v>
      </c>
      <c r="AL60">
        <v>3092481926945.0396</v>
      </c>
      <c r="AM60">
        <v>3166450756937.6953</v>
      </c>
      <c r="AN60">
        <v>3215345395334.7227</v>
      </c>
      <c r="AO60">
        <v>3241255384570.7998</v>
      </c>
      <c r="AP60">
        <v>3299343893679.877</v>
      </c>
      <c r="AQ60">
        <v>3365790462050.9678</v>
      </c>
      <c r="AR60">
        <v>3429311717966.106</v>
      </c>
      <c r="AS60">
        <v>3529190523385.2515</v>
      </c>
      <c r="AT60">
        <v>3588532749669.3833</v>
      </c>
      <c r="AU60">
        <v>3581428393772.8369</v>
      </c>
      <c r="AV60">
        <v>3556354215986.7959</v>
      </c>
      <c r="AW60">
        <v>3598144512296.8643</v>
      </c>
      <c r="AX60">
        <v>3624472393448.3721</v>
      </c>
      <c r="AY60">
        <v>3762798276996.6152</v>
      </c>
      <c r="AZ60">
        <v>3874796279393.3501</v>
      </c>
      <c r="BA60">
        <v>3911989640347.3931</v>
      </c>
      <c r="BB60">
        <v>3689247352728.978</v>
      </c>
      <c r="BC60">
        <v>3843453557160.7983</v>
      </c>
      <c r="BD60">
        <v>3994316515792.4751</v>
      </c>
      <c r="BE60">
        <v>4011032634316.502</v>
      </c>
      <c r="BF60">
        <v>4028584564290.5659</v>
      </c>
      <c r="BG60">
        <v>4117597889907.1758</v>
      </c>
      <c r="BH60">
        <v>4179029631006.811</v>
      </c>
      <c r="BI60">
        <v>4272221986254.4277</v>
      </c>
      <c r="BJ60">
        <v>4386727409191.6841</v>
      </c>
      <c r="BK60">
        <v>4429771408867.2197</v>
      </c>
      <c r="BL60">
        <v>4476576546258.3311</v>
      </c>
      <c r="BM60">
        <v>4311086970108.5435</v>
      </c>
      <c r="BN60">
        <v>4424338675870.7461</v>
      </c>
      <c r="BO60" s="188">
        <v>4503322333134.8564</v>
      </c>
    </row>
    <row r="61" spans="1:67">
      <c r="A61" t="s">
        <v>598</v>
      </c>
      <c r="B61" t="s">
        <v>599</v>
      </c>
      <c r="C61" t="s">
        <v>486</v>
      </c>
      <c r="D61" t="s">
        <v>487</v>
      </c>
      <c r="BF61">
        <v>3560763456.9809084</v>
      </c>
      <c r="BG61">
        <v>3812208308.2530274</v>
      </c>
      <c r="BH61">
        <v>4099119257.7440801</v>
      </c>
      <c r="BI61">
        <v>4391117244.4941893</v>
      </c>
      <c r="BJ61">
        <v>4630788442.3267603</v>
      </c>
      <c r="BK61">
        <v>4851881587.780385</v>
      </c>
      <c r="BL61">
        <v>5120924758.3775749</v>
      </c>
      <c r="BM61">
        <v>5182479402.2648211</v>
      </c>
      <c r="BN61">
        <v>5431238413.5735331</v>
      </c>
      <c r="BO61" s="188">
        <v>5594175565.9807396</v>
      </c>
    </row>
    <row r="62" spans="1:67">
      <c r="A62" t="s">
        <v>600</v>
      </c>
      <c r="B62" t="s">
        <v>601</v>
      </c>
      <c r="C62" t="s">
        <v>486</v>
      </c>
      <c r="D62" t="s">
        <v>487</v>
      </c>
      <c r="AI62">
        <v>545830301.84078276</v>
      </c>
      <c r="AJ62">
        <v>553186811.60696709</v>
      </c>
      <c r="AK62">
        <v>564413299.96636605</v>
      </c>
      <c r="AL62">
        <v>576612608.63268316</v>
      </c>
      <c r="AM62">
        <v>576811433.22095835</v>
      </c>
      <c r="AN62">
        <v>594293795.23287499</v>
      </c>
      <c r="AO62">
        <v>612741876.67355716</v>
      </c>
      <c r="AP62">
        <v>626134132.86952579</v>
      </c>
      <c r="AQ62">
        <v>649765855.36166978</v>
      </c>
      <c r="AR62">
        <v>652066539.88314056</v>
      </c>
      <c r="AS62">
        <v>667326327.03326595</v>
      </c>
      <c r="AT62">
        <v>666900274.34410477</v>
      </c>
      <c r="AU62">
        <v>648040341.97056675</v>
      </c>
      <c r="AV62">
        <v>689211233.49984884</v>
      </c>
      <c r="AW62">
        <v>710236933.70995653</v>
      </c>
      <c r="AX62">
        <v>714895109.77811956</v>
      </c>
      <c r="AY62">
        <v>748205329.19237661</v>
      </c>
      <c r="AZ62">
        <v>795738607.54646683</v>
      </c>
      <c r="BA62">
        <v>852403615.2049129</v>
      </c>
      <c r="BB62">
        <v>842433982.27853978</v>
      </c>
      <c r="BC62">
        <v>848100483.04438448</v>
      </c>
      <c r="BD62">
        <v>846204548.57761681</v>
      </c>
      <c r="BE62">
        <v>837243240.34892511</v>
      </c>
      <c r="BF62">
        <v>828871305.00690663</v>
      </c>
      <c r="BG62">
        <v>868274077.87616956</v>
      </c>
      <c r="BH62">
        <v>844557144.84619331</v>
      </c>
      <c r="BI62">
        <v>867897731.33407712</v>
      </c>
      <c r="BJ62">
        <v>810451627.07883525</v>
      </c>
      <c r="BK62">
        <v>839203082.71906686</v>
      </c>
      <c r="BL62">
        <v>885380093.34599376</v>
      </c>
      <c r="BM62">
        <v>738363512.07275164</v>
      </c>
      <c r="BN62">
        <v>789248404.91491032</v>
      </c>
      <c r="BO62" s="188">
        <v>836121301.60080051</v>
      </c>
    </row>
    <row r="63" spans="1:67">
      <c r="A63" t="s">
        <v>602</v>
      </c>
      <c r="B63" t="s">
        <v>603</v>
      </c>
      <c r="C63" t="s">
        <v>486</v>
      </c>
      <c r="D63" t="s">
        <v>487</v>
      </c>
      <c r="AI63">
        <v>200640457977.71942</v>
      </c>
      <c r="AJ63">
        <v>203436651612.77225</v>
      </c>
      <c r="AK63">
        <v>207417920539.17386</v>
      </c>
      <c r="AL63">
        <v>207440088600.78979</v>
      </c>
      <c r="AM63">
        <v>218501753974.23959</v>
      </c>
      <c r="AN63">
        <v>225117085256.28879</v>
      </c>
      <c r="AO63">
        <v>231645705325.20078</v>
      </c>
      <c r="AP63">
        <v>239199417330.99609</v>
      </c>
      <c r="AQ63">
        <v>244505240117.90503</v>
      </c>
      <c r="AR63">
        <v>251713308780.50449</v>
      </c>
      <c r="AS63">
        <v>261144660594.84991</v>
      </c>
      <c r="AT63">
        <v>263294280697.69101</v>
      </c>
      <c r="AU63">
        <v>264522141915.72229</v>
      </c>
      <c r="AV63">
        <v>265553933164.06219</v>
      </c>
      <c r="AW63">
        <v>272639494374.13062</v>
      </c>
      <c r="AX63">
        <v>279010101422.1972</v>
      </c>
      <c r="AY63">
        <v>289927788951.14026</v>
      </c>
      <c r="AZ63">
        <v>292563925272.25037</v>
      </c>
      <c r="BA63">
        <v>291065948985.46863</v>
      </c>
      <c r="BB63">
        <v>276784659273.7334</v>
      </c>
      <c r="BC63">
        <v>281963275745.51099</v>
      </c>
      <c r="BD63">
        <v>285732498126.50916</v>
      </c>
      <c r="BE63">
        <v>286379681639.87903</v>
      </c>
      <c r="BF63">
        <v>289052580545.17035</v>
      </c>
      <c r="BG63">
        <v>293733480145.14227</v>
      </c>
      <c r="BH63">
        <v>300614454530.97968</v>
      </c>
      <c r="BI63">
        <v>310372270416.48108</v>
      </c>
      <c r="BJ63">
        <v>319130157564.1106</v>
      </c>
      <c r="BK63">
        <v>325479371132.15302</v>
      </c>
      <c r="BL63">
        <v>330340363092.73822</v>
      </c>
      <c r="BM63">
        <v>323751369208.66748</v>
      </c>
      <c r="BN63">
        <v>339471789002.14795</v>
      </c>
      <c r="BO63" s="188">
        <v>352436276869.48853</v>
      </c>
    </row>
    <row r="64" spans="1:67">
      <c r="A64" t="s">
        <v>604</v>
      </c>
      <c r="B64" t="s">
        <v>605</v>
      </c>
      <c r="C64" t="s">
        <v>486</v>
      </c>
      <c r="D64" t="s">
        <v>487</v>
      </c>
      <c r="AI64">
        <v>44250527080.544838</v>
      </c>
      <c r="AJ64">
        <v>44668313515.324768</v>
      </c>
      <c r="AK64">
        <v>49680514930.793091</v>
      </c>
      <c r="AL64">
        <v>53339242932.061531</v>
      </c>
      <c r="AM64">
        <v>54726252212.312187</v>
      </c>
      <c r="AN64">
        <v>57837675376.791702</v>
      </c>
      <c r="AO64">
        <v>61295110461.017548</v>
      </c>
      <c r="AP64">
        <v>66741345949.72197</v>
      </c>
      <c r="AQ64">
        <v>71222678748.052551</v>
      </c>
      <c r="AR64">
        <v>75453340861.865662</v>
      </c>
      <c r="AS64">
        <v>78970796245.174957</v>
      </c>
      <c r="AT64">
        <v>80913095904.551102</v>
      </c>
      <c r="AU64">
        <v>84550223231.965286</v>
      </c>
      <c r="AV64">
        <v>83412425648.44696</v>
      </c>
      <c r="AW64">
        <v>85556236993.23497</v>
      </c>
      <c r="AX64">
        <v>93622681739.720169</v>
      </c>
      <c r="AY64">
        <v>102211959303.00131</v>
      </c>
      <c r="AZ64">
        <v>109791948851.67778</v>
      </c>
      <c r="BA64">
        <v>113315726128.94365</v>
      </c>
      <c r="BB64">
        <v>114387868727.63211</v>
      </c>
      <c r="BC64">
        <v>123927417834.05531</v>
      </c>
      <c r="BD64">
        <v>127810588051.82309</v>
      </c>
      <c r="BE64">
        <v>131283671940.134</v>
      </c>
      <c r="BF64">
        <v>137684020201.2605</v>
      </c>
      <c r="BG64">
        <v>147391382052.01328</v>
      </c>
      <c r="BH64">
        <v>157601210754.50949</v>
      </c>
      <c r="BI64">
        <v>168096190995.08557</v>
      </c>
      <c r="BJ64">
        <v>175940743802.65613</v>
      </c>
      <c r="BK64">
        <v>188225854771.19284</v>
      </c>
      <c r="BL64">
        <v>197735341211.62064</v>
      </c>
      <c r="BM64">
        <v>184447052957.50952</v>
      </c>
      <c r="BN64">
        <v>207082377286.91568</v>
      </c>
      <c r="BO64" s="188">
        <v>217143110190.88904</v>
      </c>
    </row>
    <row r="65" spans="1:67">
      <c r="A65" t="s">
        <v>606</v>
      </c>
      <c r="B65" t="s">
        <v>607</v>
      </c>
      <c r="C65" t="s">
        <v>486</v>
      </c>
      <c r="D65" t="s">
        <v>487</v>
      </c>
      <c r="AI65">
        <v>225295872151.35284</v>
      </c>
      <c r="AJ65">
        <v>222592320366.39139</v>
      </c>
      <c r="AK65">
        <v>226598987259.70712</v>
      </c>
      <c r="AL65">
        <v>221840406809.91516</v>
      </c>
      <c r="AM65">
        <v>219843850796.6355</v>
      </c>
      <c r="AN65">
        <v>228197905672.69315</v>
      </c>
      <c r="AO65">
        <v>237554016313.72745</v>
      </c>
      <c r="AP65">
        <v>240167110349.00235</v>
      </c>
      <c r="AQ65">
        <v>252415641644.53375</v>
      </c>
      <c r="AR65">
        <v>260492946093.77444</v>
      </c>
      <c r="AS65">
        <v>270391678044.55029</v>
      </c>
      <c r="AT65">
        <v>278503428386.45673</v>
      </c>
      <c r="AU65">
        <v>294099620376.11908</v>
      </c>
      <c r="AV65">
        <v>315274793044.56757</v>
      </c>
      <c r="AW65">
        <v>328831609144.75854</v>
      </c>
      <c r="AX65">
        <v>348232674083.21118</v>
      </c>
      <c r="AY65">
        <v>354152629544.35895</v>
      </c>
      <c r="AZ65">
        <v>366193818947.30237</v>
      </c>
      <c r="BA65">
        <v>374982470602.34851</v>
      </c>
      <c r="BB65">
        <v>380982190133.39551</v>
      </c>
      <c r="BC65">
        <v>394697548978.3324</v>
      </c>
      <c r="BD65">
        <v>406143777896.58484</v>
      </c>
      <c r="BE65">
        <v>419952666346.27081</v>
      </c>
      <c r="BF65">
        <v>431711341003.96643</v>
      </c>
      <c r="BG65">
        <v>448116371962.84259</v>
      </c>
      <c r="BH65">
        <v>464696677723.62567</v>
      </c>
      <c r="BI65">
        <v>479566971411.09259</v>
      </c>
      <c r="BJ65">
        <v>485801342039.04559</v>
      </c>
      <c r="BK65">
        <v>491630958145.89764</v>
      </c>
      <c r="BL65">
        <v>496547267726.08716</v>
      </c>
      <c r="BM65">
        <v>471223357071.12921</v>
      </c>
      <c r="BN65">
        <v>487244951213.15906</v>
      </c>
      <c r="BO65" s="188">
        <v>502349544700.09857</v>
      </c>
    </row>
    <row r="66" spans="1:67">
      <c r="A66" t="s">
        <v>608</v>
      </c>
      <c r="B66" t="s">
        <v>609</v>
      </c>
      <c r="C66" t="s">
        <v>486</v>
      </c>
      <c r="D66" t="s">
        <v>487</v>
      </c>
      <c r="AI66">
        <v>3509867493569.439</v>
      </c>
      <c r="AJ66">
        <v>3776824037524.0801</v>
      </c>
      <c r="AK66">
        <v>4157334327129.5518</v>
      </c>
      <c r="AL66">
        <v>4585081792604.0303</v>
      </c>
      <c r="AM66">
        <v>5048928230999.8105</v>
      </c>
      <c r="AN66">
        <v>5528455480023.2568</v>
      </c>
      <c r="AO66">
        <v>6010695442996.6924</v>
      </c>
      <c r="AP66">
        <v>6406224278238.4326</v>
      </c>
      <c r="AQ66">
        <v>6449216405763.0869</v>
      </c>
      <c r="AR66">
        <v>6820566831633.5059</v>
      </c>
      <c r="AS66">
        <v>7315212544787.1191</v>
      </c>
      <c r="AT66">
        <v>7783440599353.8281</v>
      </c>
      <c r="AU66">
        <v>8372419823623.2705</v>
      </c>
      <c r="AV66">
        <v>9077208879493.5742</v>
      </c>
      <c r="AW66">
        <v>9860712112429.5723</v>
      </c>
      <c r="AX66">
        <v>10776753747507.455</v>
      </c>
      <c r="AY66">
        <v>11881917765372.189</v>
      </c>
      <c r="AZ66">
        <v>13258442084057.371</v>
      </c>
      <c r="BA66">
        <v>14332255244022.176</v>
      </c>
      <c r="BB66">
        <v>15374693961970.822</v>
      </c>
      <c r="BC66">
        <v>16837124065690.305</v>
      </c>
      <c r="BD66">
        <v>18213470058163.738</v>
      </c>
      <c r="BE66">
        <v>19563429263636.297</v>
      </c>
      <c r="BF66">
        <v>20939189151271.977</v>
      </c>
      <c r="BG66">
        <v>22346329473046.418</v>
      </c>
      <c r="BH66">
        <v>23794693900870.332</v>
      </c>
      <c r="BI66">
        <v>25325703836039.328</v>
      </c>
      <c r="BJ66">
        <v>26987160319053.258</v>
      </c>
      <c r="BK66">
        <v>28715634429185.992</v>
      </c>
      <c r="BL66">
        <v>30350183164278.203</v>
      </c>
      <c r="BM66">
        <v>30598703037978.605</v>
      </c>
      <c r="BN66">
        <v>32736682875149.629</v>
      </c>
      <c r="BO66" s="188">
        <v>33933573211064.785</v>
      </c>
    </row>
    <row r="67" spans="1:67">
      <c r="A67" t="s">
        <v>610</v>
      </c>
      <c r="B67" t="s">
        <v>611</v>
      </c>
      <c r="C67" t="s">
        <v>486</v>
      </c>
      <c r="D67" t="s">
        <v>487</v>
      </c>
      <c r="AI67">
        <v>9198520655098.6855</v>
      </c>
      <c r="AJ67">
        <v>9600846784772.709</v>
      </c>
      <c r="AK67">
        <v>9993999723277.918</v>
      </c>
      <c r="AL67">
        <v>10343391901092.35</v>
      </c>
      <c r="AM67">
        <v>10701143228268.705</v>
      </c>
      <c r="AN67">
        <v>11044698406548.184</v>
      </c>
      <c r="AO67">
        <v>11706997349322.24</v>
      </c>
      <c r="AP67">
        <v>12236554884883.848</v>
      </c>
      <c r="AQ67">
        <v>12487952175902.342</v>
      </c>
      <c r="AR67">
        <v>12821847820395.459</v>
      </c>
      <c r="AS67">
        <v>13395712815016.635</v>
      </c>
      <c r="AT67">
        <v>13610654934086.947</v>
      </c>
      <c r="AU67">
        <v>13936691833357.355</v>
      </c>
      <c r="AV67">
        <v>14738949693627.602</v>
      </c>
      <c r="AW67">
        <v>15677151177836.779</v>
      </c>
      <c r="AX67">
        <v>16633380610316.545</v>
      </c>
      <c r="AY67">
        <v>17655972431529.574</v>
      </c>
      <c r="AZ67">
        <v>18713073794840.559</v>
      </c>
      <c r="BA67">
        <v>19380212512557.965</v>
      </c>
      <c r="BB67">
        <v>19715680106877.746</v>
      </c>
      <c r="BC67">
        <v>21010970787832.027</v>
      </c>
      <c r="BD67">
        <v>22075005253253.191</v>
      </c>
      <c r="BE67">
        <v>23081677576826.371</v>
      </c>
      <c r="BF67">
        <v>24111871109891.313</v>
      </c>
      <c r="BG67">
        <v>25243297569028.137</v>
      </c>
      <c r="BH67">
        <v>26524549530037.555</v>
      </c>
      <c r="BI67">
        <v>27893094704885.602</v>
      </c>
      <c r="BJ67">
        <v>29264494254292.469</v>
      </c>
      <c r="BK67">
        <v>30510649573165.016</v>
      </c>
      <c r="BL67">
        <v>31345581624676.055</v>
      </c>
      <c r="BM67">
        <v>30139020666918.977</v>
      </c>
      <c r="BN67">
        <v>32210565051364.227</v>
      </c>
      <c r="BO67" s="188">
        <v>34049868232423.969</v>
      </c>
    </row>
    <row r="68" spans="1:67">
      <c r="A68" t="s">
        <v>612</v>
      </c>
      <c r="B68" t="s">
        <v>613</v>
      </c>
      <c r="C68" t="s">
        <v>486</v>
      </c>
      <c r="D68" t="s">
        <v>487</v>
      </c>
      <c r="AI68">
        <v>9382427133006.5723</v>
      </c>
      <c r="AJ68">
        <v>9893436027192.0078</v>
      </c>
      <c r="AK68">
        <v>10403378943949.041</v>
      </c>
      <c r="AL68">
        <v>10935843311064.646</v>
      </c>
      <c r="AM68">
        <v>11596032724104.668</v>
      </c>
      <c r="AN68">
        <v>12333724219820.67</v>
      </c>
      <c r="AO68">
        <v>13096334030702.137</v>
      </c>
      <c r="AP68">
        <v>13673772388939.08</v>
      </c>
      <c r="AQ68">
        <v>13644252937347.498</v>
      </c>
      <c r="AR68">
        <v>14196114256366.566</v>
      </c>
      <c r="AS68">
        <v>15010798940031.254</v>
      </c>
      <c r="AT68">
        <v>15560283289734.357</v>
      </c>
      <c r="AU68">
        <v>16324488487736.9</v>
      </c>
      <c r="AV68">
        <v>17218929666941.303</v>
      </c>
      <c r="AW68">
        <v>18311521969771.016</v>
      </c>
      <c r="AX68">
        <v>19485114888522.41</v>
      </c>
      <c r="AY68">
        <v>20855478716518.699</v>
      </c>
      <c r="AZ68">
        <v>22539097004862.875</v>
      </c>
      <c r="BA68">
        <v>23650548934830.531</v>
      </c>
      <c r="BB68">
        <v>24418523855515.598</v>
      </c>
      <c r="BC68">
        <v>26380530129183.043</v>
      </c>
      <c r="BD68">
        <v>27940317990273.082</v>
      </c>
      <c r="BE68">
        <v>29498235484400.328</v>
      </c>
      <c r="BF68">
        <v>31129646426469.445</v>
      </c>
      <c r="BG68">
        <v>32721632737834.352</v>
      </c>
      <c r="BH68">
        <v>34354496335592.98</v>
      </c>
      <c r="BI68">
        <v>36070867320319.148</v>
      </c>
      <c r="BJ68">
        <v>38001633953202.719</v>
      </c>
      <c r="BK68">
        <v>39936364027185.438</v>
      </c>
      <c r="BL68">
        <v>41665458277000.313</v>
      </c>
      <c r="BM68">
        <v>41616076149466.609</v>
      </c>
      <c r="BN68">
        <v>44157298128923.203</v>
      </c>
      <c r="BO68" s="188">
        <v>45544099253739.289</v>
      </c>
    </row>
    <row r="69" spans="1:67">
      <c r="A69" t="s">
        <v>614</v>
      </c>
      <c r="B69" t="s">
        <v>615</v>
      </c>
      <c r="C69" t="s">
        <v>486</v>
      </c>
      <c r="D69" t="s">
        <v>487</v>
      </c>
      <c r="AI69">
        <v>5586497895072.3604</v>
      </c>
      <c r="AJ69">
        <v>5290069281755.8252</v>
      </c>
      <c r="AK69">
        <v>4706683439591.0713</v>
      </c>
      <c r="AL69">
        <v>4381499606566.2549</v>
      </c>
      <c r="AM69">
        <v>3849634966440.5161</v>
      </c>
      <c r="AN69">
        <v>3744197120391.1675</v>
      </c>
      <c r="AO69">
        <v>3710740348471.7803</v>
      </c>
      <c r="AP69">
        <v>3801058751364.2329</v>
      </c>
      <c r="AQ69">
        <v>3735452580876.7441</v>
      </c>
      <c r="AR69">
        <v>3826135481170.8716</v>
      </c>
      <c r="AS69">
        <v>4145699825446.5581</v>
      </c>
      <c r="AT69">
        <v>4276945777001.1294</v>
      </c>
      <c r="AU69">
        <v>4509015083529.1924</v>
      </c>
      <c r="AV69">
        <v>4828961792364.1719</v>
      </c>
      <c r="AW69">
        <v>5234466179335.9268</v>
      </c>
      <c r="AX69">
        <v>5604279037726.8945</v>
      </c>
      <c r="AY69">
        <v>6062074880638.9707</v>
      </c>
      <c r="AZ69">
        <v>6540805295134.8896</v>
      </c>
      <c r="BA69">
        <v>6819328955109.3145</v>
      </c>
      <c r="BB69">
        <v>6391382824838.0625</v>
      </c>
      <c r="BC69">
        <v>6739549413283.917</v>
      </c>
      <c r="BD69">
        <v>7146672932650.5098</v>
      </c>
      <c r="BE69">
        <v>7413951371750.6914</v>
      </c>
      <c r="BF69">
        <v>7686987804674.7783</v>
      </c>
      <c r="BG69">
        <v>7797155597681.8135</v>
      </c>
      <c r="BH69">
        <v>7821074252629.1494</v>
      </c>
      <c r="BI69">
        <v>7938533742464.1729</v>
      </c>
      <c r="BJ69">
        <v>8233456896362.4746</v>
      </c>
      <c r="BK69">
        <v>8493172228440.8477</v>
      </c>
      <c r="BL69">
        <v>8687783937461.0557</v>
      </c>
      <c r="BM69">
        <v>8562708063488.2275</v>
      </c>
      <c r="BN69">
        <v>9179799755092.2246</v>
      </c>
      <c r="BO69" s="188">
        <v>9145283873147.0938</v>
      </c>
    </row>
    <row r="70" spans="1:67">
      <c r="A70" t="s">
        <v>616</v>
      </c>
      <c r="B70" t="s">
        <v>617</v>
      </c>
      <c r="C70" t="s">
        <v>486</v>
      </c>
      <c r="D70" t="s">
        <v>487</v>
      </c>
      <c r="AI70">
        <v>19846729144690.883</v>
      </c>
      <c r="AJ70">
        <v>19708008545743.25</v>
      </c>
      <c r="AK70">
        <v>19268957814263.586</v>
      </c>
      <c r="AL70">
        <v>18935485239221.816</v>
      </c>
      <c r="AM70">
        <v>18819519143101.09</v>
      </c>
      <c r="AN70">
        <v>19122616314439.906</v>
      </c>
      <c r="AO70">
        <v>19395458347560.512</v>
      </c>
      <c r="AP70">
        <v>19949038693725.266</v>
      </c>
      <c r="AQ70">
        <v>20366111036453.559</v>
      </c>
      <c r="AR70">
        <v>20938388992775.422</v>
      </c>
      <c r="AS70">
        <v>21927176919354.477</v>
      </c>
      <c r="AT70">
        <v>22454513134735.848</v>
      </c>
      <c r="AU70">
        <v>22918193510904.938</v>
      </c>
      <c r="AV70">
        <v>23478456051212.977</v>
      </c>
      <c r="AW70">
        <v>24390652219666.754</v>
      </c>
      <c r="AX70">
        <v>25173796345009.891</v>
      </c>
      <c r="AY70">
        <v>26304865995861.488</v>
      </c>
      <c r="AZ70">
        <v>27436402748049</v>
      </c>
      <c r="BA70">
        <v>27871423019906.863</v>
      </c>
      <c r="BB70">
        <v>26551399887075.625</v>
      </c>
      <c r="BC70">
        <v>27324154983499.91</v>
      </c>
      <c r="BD70">
        <v>28093698909163.574</v>
      </c>
      <c r="BE70">
        <v>28289876254943.457</v>
      </c>
      <c r="BF70">
        <v>28607880148975.461</v>
      </c>
      <c r="BG70">
        <v>29116321122344.648</v>
      </c>
      <c r="BH70">
        <v>29641487078862.207</v>
      </c>
      <c r="BI70">
        <v>30202378976931.695</v>
      </c>
      <c r="BJ70">
        <v>31136629581715.469</v>
      </c>
      <c r="BK70">
        <v>31896124938894.711</v>
      </c>
      <c r="BL70">
        <v>32525814939754.246</v>
      </c>
      <c r="BM70">
        <v>30909429572998.102</v>
      </c>
      <c r="BN70">
        <v>32805113639937.496</v>
      </c>
      <c r="BO70" s="188">
        <v>33635071848066.555</v>
      </c>
    </row>
    <row r="71" spans="1:67">
      <c r="A71" t="s">
        <v>618</v>
      </c>
      <c r="B71" t="s">
        <v>619</v>
      </c>
      <c r="C71" t="s">
        <v>486</v>
      </c>
      <c r="D71" t="s">
        <v>487</v>
      </c>
      <c r="AI71">
        <v>84852688573.085617</v>
      </c>
      <c r="AJ71">
        <v>88494007973.683136</v>
      </c>
      <c r="AK71">
        <v>90365046231.119339</v>
      </c>
      <c r="AL71">
        <v>92148145660.224258</v>
      </c>
      <c r="AM71">
        <v>96072044504.249847</v>
      </c>
      <c r="AN71">
        <v>98236114165.114899</v>
      </c>
      <c r="AO71">
        <v>99937315630.490555</v>
      </c>
      <c r="AP71">
        <v>104262467500.07211</v>
      </c>
      <c r="AQ71">
        <v>107668231658.03378</v>
      </c>
      <c r="AR71">
        <v>102565418785.56712</v>
      </c>
      <c r="AS71">
        <v>103685229632.35788</v>
      </c>
      <c r="AT71">
        <v>107848844714.92812</v>
      </c>
      <c r="AU71">
        <v>112267171012.05254</v>
      </c>
      <c r="AV71">
        <v>115324068368.37993</v>
      </c>
      <c r="AW71">
        <v>124793351744.83553</v>
      </c>
      <c r="AX71">
        <v>131396552682.36893</v>
      </c>
      <c r="AY71">
        <v>137182634612.88086</v>
      </c>
      <c r="AZ71">
        <v>140187022069.71463</v>
      </c>
      <c r="BA71">
        <v>149098894146.80869</v>
      </c>
      <c r="BB71">
        <v>149943526846.06458</v>
      </c>
      <c r="BC71">
        <v>155229484002.13101</v>
      </c>
      <c r="BD71">
        <v>167443158551.4259</v>
      </c>
      <c r="BE71">
        <v>176890238040.20175</v>
      </c>
      <c r="BF71">
        <v>185640133594.91766</v>
      </c>
      <c r="BG71">
        <v>192673794231.40384</v>
      </c>
      <c r="BH71">
        <v>192864295837.36014</v>
      </c>
      <c r="BI71">
        <v>190499039001.12439</v>
      </c>
      <c r="BJ71">
        <v>195010792573.62756</v>
      </c>
      <c r="BK71">
        <v>197525050990.57346</v>
      </c>
      <c r="BL71">
        <v>197548961601.14575</v>
      </c>
      <c r="BM71">
        <v>182164624659.42801</v>
      </c>
      <c r="BN71">
        <v>189879754187.30142</v>
      </c>
      <c r="BO71" s="188">
        <v>195476780141.87552</v>
      </c>
    </row>
    <row r="72" spans="1:67">
      <c r="A72" t="s">
        <v>620</v>
      </c>
      <c r="B72" t="s">
        <v>621</v>
      </c>
      <c r="C72" t="s">
        <v>486</v>
      </c>
      <c r="D72" t="s">
        <v>487</v>
      </c>
      <c r="AI72">
        <v>359977596837.52948</v>
      </c>
      <c r="AJ72">
        <v>364028801245.21594</v>
      </c>
      <c r="AK72">
        <v>380311296933.77087</v>
      </c>
      <c r="AL72">
        <v>391343332021.99188</v>
      </c>
      <c r="AM72">
        <v>406892076439.20532</v>
      </c>
      <c r="AN72">
        <v>425781873327.04022</v>
      </c>
      <c r="AO72">
        <v>447022983802.60577</v>
      </c>
      <c r="AP72">
        <v>471575071842.88593</v>
      </c>
      <c r="AQ72">
        <v>497867728000.9458</v>
      </c>
      <c r="AR72">
        <v>528005846133.81384</v>
      </c>
      <c r="AS72">
        <v>561639838777.50574</v>
      </c>
      <c r="AT72">
        <v>581495222238.36108</v>
      </c>
      <c r="AU72">
        <v>595394144462.03601</v>
      </c>
      <c r="AV72">
        <v>614407786974.54736</v>
      </c>
      <c r="AW72">
        <v>639549793602.66089</v>
      </c>
      <c r="AX72">
        <v>668148826142.1416</v>
      </c>
      <c r="AY72">
        <v>713875850697.02466</v>
      </c>
      <c r="AZ72">
        <v>764474139036.10583</v>
      </c>
      <c r="BA72">
        <v>819182076214.70947</v>
      </c>
      <c r="BB72">
        <v>857467368086.41479</v>
      </c>
      <c r="BC72">
        <v>901603227348.70471</v>
      </c>
      <c r="BD72">
        <v>917512664989.76306</v>
      </c>
      <c r="BE72">
        <v>937938330090.21606</v>
      </c>
      <c r="BF72">
        <v>958436653898.24341</v>
      </c>
      <c r="BG72">
        <v>986383822150.17053</v>
      </c>
      <c r="BH72">
        <v>1029508711035.9088</v>
      </c>
      <c r="BI72">
        <v>1074257784048.5123</v>
      </c>
      <c r="BJ72">
        <v>1119174876108.7244</v>
      </c>
      <c r="BK72">
        <v>1178839304390.0205</v>
      </c>
      <c r="BL72">
        <v>1244289559733.9973</v>
      </c>
      <c r="BM72">
        <v>1288463890164.9417</v>
      </c>
      <c r="BN72">
        <v>1330862675782.9998</v>
      </c>
      <c r="BO72" s="188">
        <v>1418537854129.6553</v>
      </c>
    </row>
    <row r="73" spans="1:67">
      <c r="A73" t="s">
        <v>622</v>
      </c>
      <c r="B73" t="s">
        <v>623</v>
      </c>
      <c r="C73" t="s">
        <v>486</v>
      </c>
      <c r="D73" t="s">
        <v>487</v>
      </c>
      <c r="AI73">
        <v>10173821741675.436</v>
      </c>
      <c r="AJ73">
        <v>10449794648068.629</v>
      </c>
      <c r="AK73">
        <v>10596807116077.129</v>
      </c>
      <c r="AL73">
        <v>10523817052969.271</v>
      </c>
      <c r="AM73">
        <v>10781027986010.25</v>
      </c>
      <c r="AN73">
        <v>11043954123576.135</v>
      </c>
      <c r="AO73">
        <v>11233845951153.277</v>
      </c>
      <c r="AP73">
        <v>11541210962998.99</v>
      </c>
      <c r="AQ73">
        <v>11892616445235.787</v>
      </c>
      <c r="AR73">
        <v>12241960822978.555</v>
      </c>
      <c r="AS73">
        <v>12716208260529.637</v>
      </c>
      <c r="AT73">
        <v>13001424247961.488</v>
      </c>
      <c r="AU73">
        <v>13130667169113.402</v>
      </c>
      <c r="AV73">
        <v>13231185633410.096</v>
      </c>
      <c r="AW73">
        <v>13537885073362.461</v>
      </c>
      <c r="AX73">
        <v>13771189620492.504</v>
      </c>
      <c r="AY73">
        <v>14222012112223.188</v>
      </c>
      <c r="AZ73">
        <v>14653743224295.451</v>
      </c>
      <c r="BA73">
        <v>14714976766033.828</v>
      </c>
      <c r="BB73">
        <v>14042411712239.139</v>
      </c>
      <c r="BC73">
        <v>14337046328042.189</v>
      </c>
      <c r="BD73">
        <v>14564473709469.186</v>
      </c>
      <c r="BE73">
        <v>14428047912207.014</v>
      </c>
      <c r="BF73">
        <v>14389293341996.301</v>
      </c>
      <c r="BG73">
        <v>14589768700429.602</v>
      </c>
      <c r="BH73">
        <v>14889104674644.332</v>
      </c>
      <c r="BI73">
        <v>15168605619399.789</v>
      </c>
      <c r="BJ73">
        <v>15565749952154.369</v>
      </c>
      <c r="BK73">
        <v>15845381350263.813</v>
      </c>
      <c r="BL73">
        <v>16097894728468.686</v>
      </c>
      <c r="BM73">
        <v>15088851991271.041</v>
      </c>
      <c r="BN73">
        <v>15903660364275.797</v>
      </c>
      <c r="BO73" s="188">
        <v>16462720909707.018</v>
      </c>
    </row>
    <row r="74" spans="1:67">
      <c r="A74" t="s">
        <v>624</v>
      </c>
      <c r="B74" t="s">
        <v>625</v>
      </c>
      <c r="C74" t="s">
        <v>486</v>
      </c>
      <c r="D74" t="s">
        <v>487</v>
      </c>
    </row>
    <row r="75" spans="1:67">
      <c r="A75" t="s">
        <v>626</v>
      </c>
      <c r="B75" t="s">
        <v>627</v>
      </c>
      <c r="C75" t="s">
        <v>486</v>
      </c>
      <c r="D75" t="s">
        <v>487</v>
      </c>
      <c r="AI75">
        <v>1070531260212.7312</v>
      </c>
      <c r="AJ75">
        <v>1097786992357.4458</v>
      </c>
      <c r="AK75">
        <v>1107987797228.0776</v>
      </c>
      <c r="AL75">
        <v>1096558994742.2368</v>
      </c>
      <c r="AM75">
        <v>1122692137456.1035</v>
      </c>
      <c r="AN75">
        <v>1153650306301.1753</v>
      </c>
      <c r="AO75">
        <v>1184343883398.4729</v>
      </c>
      <c r="AP75">
        <v>1228194152048.4722</v>
      </c>
      <c r="AQ75">
        <v>1282149958363.4766</v>
      </c>
      <c r="AR75">
        <v>1339725586635.0039</v>
      </c>
      <c r="AS75">
        <v>1410006838302.657</v>
      </c>
      <c r="AT75">
        <v>1465462446238.2769</v>
      </c>
      <c r="AU75">
        <v>1505483468430.4858</v>
      </c>
      <c r="AV75">
        <v>1550376026713.7161</v>
      </c>
      <c r="AW75">
        <v>1598790138533.6438</v>
      </c>
      <c r="AX75">
        <v>1657179300444.71</v>
      </c>
      <c r="AY75">
        <v>1725168159302.3354</v>
      </c>
      <c r="AZ75">
        <v>1787355959474.8528</v>
      </c>
      <c r="BA75">
        <v>1803211005178.5005</v>
      </c>
      <c r="BB75">
        <v>1735354244852.4436</v>
      </c>
      <c r="BC75">
        <v>1738181475619.5542</v>
      </c>
      <c r="BD75">
        <v>1724025990291.5769</v>
      </c>
      <c r="BE75">
        <v>1673013403698.231</v>
      </c>
      <c r="BF75">
        <v>1649535306148.4482</v>
      </c>
      <c r="BG75">
        <v>1672559113626.2507</v>
      </c>
      <c r="BH75">
        <v>1736760610926.3396</v>
      </c>
      <c r="BI75">
        <v>1789519475668.7156</v>
      </c>
      <c r="BJ75">
        <v>1842771293467.9211</v>
      </c>
      <c r="BK75">
        <v>1884868840138.0823</v>
      </c>
      <c r="BL75">
        <v>1922264001275.938</v>
      </c>
      <c r="BM75">
        <v>1704559177419.9165</v>
      </c>
      <c r="BN75">
        <v>1798643940093.168</v>
      </c>
      <c r="BO75" s="188">
        <v>1896701324459.6929</v>
      </c>
    </row>
    <row r="76" spans="1:67">
      <c r="A76" t="s">
        <v>628</v>
      </c>
      <c r="B76" t="s">
        <v>629</v>
      </c>
      <c r="C76" t="s">
        <v>486</v>
      </c>
      <c r="D76" t="s">
        <v>487</v>
      </c>
      <c r="AN76">
        <v>18289381481.662609</v>
      </c>
      <c r="AO76">
        <v>19193428258.664299</v>
      </c>
      <c r="AP76">
        <v>21698173476.334225</v>
      </c>
      <c r="AQ76">
        <v>22639836344.120975</v>
      </c>
      <c r="AR76">
        <v>22543611344.208687</v>
      </c>
      <c r="AS76">
        <v>24817728446.343533</v>
      </c>
      <c r="AT76">
        <v>26307704018.776073</v>
      </c>
      <c r="AU76">
        <v>28089095451.937553</v>
      </c>
      <c r="AV76">
        <v>30223941194.377037</v>
      </c>
      <c r="AW76">
        <v>32280380501.794216</v>
      </c>
      <c r="AX76">
        <v>35355547376.458984</v>
      </c>
      <c r="AY76">
        <v>38808222831.418839</v>
      </c>
      <c r="AZ76">
        <v>41749552573.308273</v>
      </c>
      <c r="BA76">
        <v>39606965135.416809</v>
      </c>
      <c r="BB76">
        <v>33812840409.084381</v>
      </c>
      <c r="BC76">
        <v>34639315872.607918</v>
      </c>
      <c r="BD76">
        <v>37155198682.814583</v>
      </c>
      <c r="BE76">
        <v>38354642990.087471</v>
      </c>
      <c r="BF76">
        <v>38914018086.751816</v>
      </c>
      <c r="BG76">
        <v>40085861824.88649</v>
      </c>
      <c r="BH76">
        <v>40828660880.231117</v>
      </c>
      <c r="BI76">
        <v>42117035737.151482</v>
      </c>
      <c r="BJ76">
        <v>44556473262.691895</v>
      </c>
      <c r="BK76">
        <v>46242579702.418518</v>
      </c>
      <c r="BL76">
        <v>47971916545.301674</v>
      </c>
      <c r="BM76">
        <v>47707590681.771637</v>
      </c>
      <c r="BN76">
        <v>51530620772.993111</v>
      </c>
      <c r="BO76" s="188">
        <v>50867209717.329323</v>
      </c>
    </row>
    <row r="77" spans="1:67">
      <c r="A77" t="s">
        <v>630</v>
      </c>
      <c r="B77" t="s">
        <v>631</v>
      </c>
      <c r="C77" t="s">
        <v>486</v>
      </c>
      <c r="D77" t="s">
        <v>487</v>
      </c>
      <c r="AI77">
        <v>36730641303.12925</v>
      </c>
      <c r="AJ77">
        <v>34108999236.337837</v>
      </c>
      <c r="AK77">
        <v>31150903048.923027</v>
      </c>
      <c r="AL77">
        <v>35245014518.828247</v>
      </c>
      <c r="AM77">
        <v>36369317998.962929</v>
      </c>
      <c r="AN77">
        <v>38597852110.458031</v>
      </c>
      <c r="AO77">
        <v>43394088288.072319</v>
      </c>
      <c r="AP77">
        <v>44754018593.807373</v>
      </c>
      <c r="AQ77">
        <v>43206362362.903748</v>
      </c>
      <c r="AR77">
        <v>45436737792.050407</v>
      </c>
      <c r="AS77">
        <v>48196209693.787949</v>
      </c>
      <c r="AT77">
        <v>52197124695.351021</v>
      </c>
      <c r="AU77">
        <v>52987767961.066719</v>
      </c>
      <c r="AV77">
        <v>51842511686.738686</v>
      </c>
      <c r="AW77">
        <v>58878890054.164917</v>
      </c>
      <c r="AX77">
        <v>65837648261.651695</v>
      </c>
      <c r="AY77">
        <v>72970977757.393768</v>
      </c>
      <c r="AZ77">
        <v>81330654830.830872</v>
      </c>
      <c r="BA77">
        <v>90105030164.110535</v>
      </c>
      <c r="BB77">
        <v>98036573378.223221</v>
      </c>
      <c r="BC77">
        <v>110340691113.09369</v>
      </c>
      <c r="BD77">
        <v>122674900424.81546</v>
      </c>
      <c r="BE77">
        <v>133283594734.98283</v>
      </c>
      <c r="BF77">
        <v>147388024659.87677</v>
      </c>
      <c r="BG77">
        <v>162506340914.72815</v>
      </c>
      <c r="BH77">
        <v>179394752299.82568</v>
      </c>
      <c r="BI77">
        <v>196317925147.112</v>
      </c>
      <c r="BJ77">
        <v>215094143811.29831</v>
      </c>
      <c r="BK77">
        <v>229755278555.77457</v>
      </c>
      <c r="BL77">
        <v>248972206952.33701</v>
      </c>
      <c r="BM77">
        <v>264058754731.24948</v>
      </c>
      <c r="BN77">
        <v>278955710491.3797</v>
      </c>
      <c r="BO77" s="188">
        <v>293788053498.94232</v>
      </c>
    </row>
    <row r="78" spans="1:67">
      <c r="A78" t="s">
        <v>632</v>
      </c>
      <c r="B78" t="s">
        <v>633</v>
      </c>
      <c r="C78" t="s">
        <v>486</v>
      </c>
      <c r="D78" t="s">
        <v>487</v>
      </c>
      <c r="AI78">
        <v>11993952492359.057</v>
      </c>
      <c r="AJ78">
        <v>12162701101017.285</v>
      </c>
      <c r="AK78">
        <v>12283019266256.432</v>
      </c>
      <c r="AL78">
        <v>12220908311406.758</v>
      </c>
      <c r="AM78">
        <v>12547225084458.426</v>
      </c>
      <c r="AN78">
        <v>12897990139980.641</v>
      </c>
      <c r="AO78">
        <v>13158596823371.057</v>
      </c>
      <c r="AP78">
        <v>13496270391949.123</v>
      </c>
      <c r="AQ78">
        <v>13897234945606.313</v>
      </c>
      <c r="AR78">
        <v>14293943623336.609</v>
      </c>
      <c r="AS78">
        <v>14852051412687.426</v>
      </c>
      <c r="AT78">
        <v>15188390427900.824</v>
      </c>
      <c r="AU78">
        <v>15380124478438.707</v>
      </c>
      <c r="AV78">
        <v>15548143695490.25</v>
      </c>
      <c r="AW78">
        <v>15978956944902.83</v>
      </c>
      <c r="AX78">
        <v>16311487230893.609</v>
      </c>
      <c r="AY78">
        <v>16908776085266.129</v>
      </c>
      <c r="AZ78">
        <v>17472377990829.072</v>
      </c>
      <c r="BA78">
        <v>17625312431245.48</v>
      </c>
      <c r="BB78">
        <v>16871684629925.059</v>
      </c>
      <c r="BC78">
        <v>17217266268146.363</v>
      </c>
      <c r="BD78">
        <v>17540376351506.75</v>
      </c>
      <c r="BE78">
        <v>17417479668179.371</v>
      </c>
      <c r="BF78">
        <v>17399373839030.984</v>
      </c>
      <c r="BG78">
        <v>17691795695573.164</v>
      </c>
      <c r="BH78">
        <v>18114637954135.273</v>
      </c>
      <c r="BI78">
        <v>18482555432866.043</v>
      </c>
      <c r="BJ78">
        <v>19036968467483.477</v>
      </c>
      <c r="BK78">
        <v>19468541835462.242</v>
      </c>
      <c r="BL78">
        <v>19849600743704.031</v>
      </c>
      <c r="BM78">
        <v>18720173812361.508</v>
      </c>
      <c r="BN78">
        <v>19758992058175.805</v>
      </c>
      <c r="BO78" s="188">
        <v>20477359657813.547</v>
      </c>
    </row>
    <row r="79" spans="1:67">
      <c r="A79" t="s">
        <v>634</v>
      </c>
      <c r="B79" t="s">
        <v>635</v>
      </c>
      <c r="C79" t="s">
        <v>486</v>
      </c>
      <c r="D79" t="s">
        <v>487</v>
      </c>
      <c r="AI79">
        <v>2349485924890.333</v>
      </c>
      <c r="AJ79">
        <v>2148244565226.3975</v>
      </c>
      <c r="AK79">
        <v>2081047127046.6189</v>
      </c>
      <c r="AL79">
        <v>1966475664089.1489</v>
      </c>
      <c r="AM79">
        <v>1781173200645.3352</v>
      </c>
      <c r="AN79">
        <v>1728944011459.5984</v>
      </c>
      <c r="AO79">
        <v>1741706969686.2219</v>
      </c>
      <c r="AP79">
        <v>1804502869757.6489</v>
      </c>
      <c r="AQ79">
        <v>1885199902859.4751</v>
      </c>
      <c r="AR79">
        <v>1944137467709.9758</v>
      </c>
      <c r="AS79">
        <v>2055585365334.4778</v>
      </c>
      <c r="AT79">
        <v>2161339036037.1362</v>
      </c>
      <c r="AU79">
        <v>2264560221823.5264</v>
      </c>
      <c r="AV79">
        <v>2319445328608.5405</v>
      </c>
      <c r="AW79">
        <v>2589123529467.439</v>
      </c>
      <c r="AX79">
        <v>2735891695464.7266</v>
      </c>
      <c r="AY79">
        <v>2911354640638.9478</v>
      </c>
      <c r="AZ79">
        <v>3104595578408.2227</v>
      </c>
      <c r="BA79">
        <v>3254485865076.0269</v>
      </c>
      <c r="BB79">
        <v>3262014840220.5322</v>
      </c>
      <c r="BC79">
        <v>3480427831575.1577</v>
      </c>
      <c r="BD79">
        <v>3513426915503.6226</v>
      </c>
      <c r="BE79">
        <v>3740018895260.2197</v>
      </c>
      <c r="BF79">
        <v>3869164567107.5776</v>
      </c>
      <c r="BG79">
        <v>3909958139998.0718</v>
      </c>
      <c r="BH79">
        <v>3959032499680.7002</v>
      </c>
      <c r="BI79">
        <v>4089065637671.2861</v>
      </c>
      <c r="BJ79">
        <v>4215287655807.832</v>
      </c>
      <c r="BK79">
        <v>4342226012412.4663</v>
      </c>
      <c r="BL79">
        <v>4450186986047.1729</v>
      </c>
      <c r="BM79">
        <v>4268473084458.5952</v>
      </c>
      <c r="BN79">
        <v>4340742116249.5444</v>
      </c>
      <c r="BO79" s="188">
        <v>4274464282577.2598</v>
      </c>
    </row>
    <row r="80" spans="1:67">
      <c r="A80" t="s">
        <v>636</v>
      </c>
      <c r="B80" t="s">
        <v>637</v>
      </c>
      <c r="C80" t="s">
        <v>486</v>
      </c>
      <c r="D80" t="s">
        <v>487</v>
      </c>
      <c r="AI80">
        <v>164249961948.47339</v>
      </c>
      <c r="AJ80">
        <v>154581670334.27777</v>
      </c>
      <c r="AK80">
        <v>149488729772.79398</v>
      </c>
      <c r="AL80">
        <v>148499117325.99957</v>
      </c>
      <c r="AM80">
        <v>154384215194.36252</v>
      </c>
      <c r="AN80">
        <v>160894392943.52237</v>
      </c>
      <c r="AO80">
        <v>166794679668.80185</v>
      </c>
      <c r="AP80">
        <v>177359113841.07455</v>
      </c>
      <c r="AQ80">
        <v>187037920817.75082</v>
      </c>
      <c r="AR80">
        <v>195229388190.21313</v>
      </c>
      <c r="AS80">
        <v>206500688395.91043</v>
      </c>
      <c r="AT80">
        <v>211890395854.07166</v>
      </c>
      <c r="AU80">
        <v>215507680547.43109</v>
      </c>
      <c r="AV80">
        <v>219825989406.17035</v>
      </c>
      <c r="AW80">
        <v>228601643583.11572</v>
      </c>
      <c r="AX80">
        <v>234956427642.28308</v>
      </c>
      <c r="AY80">
        <v>244419085501.3006</v>
      </c>
      <c r="AZ80">
        <v>257371675330.30032</v>
      </c>
      <c r="BA80">
        <v>259389456552.98499</v>
      </c>
      <c r="BB80">
        <v>238445191238.65625</v>
      </c>
      <c r="BC80">
        <v>246041956444.15472</v>
      </c>
      <c r="BD80">
        <v>252310280856.25854</v>
      </c>
      <c r="BE80">
        <v>248784129304.39847</v>
      </c>
      <c r="BF80">
        <v>246540851975.18329</v>
      </c>
      <c r="BG80">
        <v>245641204296.2793</v>
      </c>
      <c r="BH80">
        <v>246976655331.3277</v>
      </c>
      <c r="BI80">
        <v>253920299689.41403</v>
      </c>
      <c r="BJ80">
        <v>262026475788.42178</v>
      </c>
      <c r="BK80">
        <v>265012838732.93951</v>
      </c>
      <c r="BL80">
        <v>268258580618.64767</v>
      </c>
      <c r="BM80">
        <v>261941184514.96725</v>
      </c>
      <c r="BN80">
        <v>269921176264.20663</v>
      </c>
      <c r="BO80" s="188">
        <v>275545726817.77014</v>
      </c>
    </row>
    <row r="81" spans="1:67">
      <c r="A81" t="s">
        <v>638</v>
      </c>
      <c r="B81" t="s">
        <v>639</v>
      </c>
      <c r="C81" t="s">
        <v>486</v>
      </c>
      <c r="D81" t="s">
        <v>487</v>
      </c>
      <c r="AI81">
        <v>6157497944.7979755</v>
      </c>
      <c r="AJ81">
        <v>5991245270.6652517</v>
      </c>
      <c r="AK81">
        <v>6356711346.6012335</v>
      </c>
      <c r="AL81">
        <v>6492111359.217556</v>
      </c>
      <c r="AM81">
        <v>6823209013.122447</v>
      </c>
      <c r="AN81">
        <v>6993789138.7271738</v>
      </c>
      <c r="AO81">
        <v>7329491047.4740334</v>
      </c>
      <c r="AP81">
        <v>7168242290.701231</v>
      </c>
      <c r="AQ81">
        <v>7261429472.8476925</v>
      </c>
      <c r="AR81">
        <v>7900435173.459157</v>
      </c>
      <c r="AS81">
        <v>7766127900.6488895</v>
      </c>
      <c r="AT81">
        <v>7921450470.0588198</v>
      </c>
      <c r="AU81">
        <v>8174936814.8954744</v>
      </c>
      <c r="AV81">
        <v>8256686129.4787521</v>
      </c>
      <c r="AW81">
        <v>8694290469.9516487</v>
      </c>
      <c r="AX81">
        <v>8755150538.2299538</v>
      </c>
      <c r="AY81">
        <v>8917338289.9195347</v>
      </c>
      <c r="AZ81">
        <v>8841482567.4149685</v>
      </c>
      <c r="BA81">
        <v>8932796888.3564968</v>
      </c>
      <c r="BB81">
        <v>8808984955.1373558</v>
      </c>
      <c r="BC81">
        <v>9069261604.275713</v>
      </c>
      <c r="BD81">
        <v>9314598102.3465004</v>
      </c>
      <c r="BE81">
        <v>9446056364.9698944</v>
      </c>
      <c r="BF81">
        <v>9893253406.3956242</v>
      </c>
      <c r="BG81">
        <v>10447623286.263201</v>
      </c>
      <c r="BH81">
        <v>10917891748.489786</v>
      </c>
      <c r="BI81">
        <v>11184905364.192125</v>
      </c>
      <c r="BJ81">
        <v>11783674123.989296</v>
      </c>
      <c r="BK81">
        <v>12232909168.461739</v>
      </c>
      <c r="BL81">
        <v>12161720156.098858</v>
      </c>
      <c r="BM81">
        <v>10094199161.622576</v>
      </c>
      <c r="BN81">
        <v>9578223330.9914474</v>
      </c>
      <c r="BO81" s="188">
        <v>11122697573.767912</v>
      </c>
    </row>
    <row r="82" spans="1:67">
      <c r="A82" t="s">
        <v>640</v>
      </c>
      <c r="B82" t="s">
        <v>641</v>
      </c>
      <c r="C82" t="s">
        <v>486</v>
      </c>
      <c r="D82" t="s">
        <v>487</v>
      </c>
      <c r="AI82">
        <v>1964407999761.7874</v>
      </c>
      <c r="AJ82">
        <v>1984998449952.6973</v>
      </c>
      <c r="AK82">
        <v>2016745377298.0239</v>
      </c>
      <c r="AL82">
        <v>2004066777707.343</v>
      </c>
      <c r="AM82">
        <v>2051329529863.8074</v>
      </c>
      <c r="AN82">
        <v>2094544791698.1636</v>
      </c>
      <c r="AO82">
        <v>2124140577072.5376</v>
      </c>
      <c r="AP82">
        <v>2173766799653.8235</v>
      </c>
      <c r="AQ82">
        <v>2251775886794.8223</v>
      </c>
      <c r="AR82">
        <v>2328817556993.8691</v>
      </c>
      <c r="AS82">
        <v>2420192654831.5571</v>
      </c>
      <c r="AT82">
        <v>2468202534897.6313</v>
      </c>
      <c r="AU82">
        <v>2496229751724.52</v>
      </c>
      <c r="AV82">
        <v>2516777735437.3896</v>
      </c>
      <c r="AW82">
        <v>2587996327114.7715</v>
      </c>
      <c r="AX82">
        <v>2631040399116.7944</v>
      </c>
      <c r="AY82">
        <v>2695483092567.3335</v>
      </c>
      <c r="AZ82">
        <v>2760841448046.8062</v>
      </c>
      <c r="BA82">
        <v>2767880101784.0313</v>
      </c>
      <c r="BB82">
        <v>2688350220063.2729</v>
      </c>
      <c r="BC82">
        <v>2740757930694.5938</v>
      </c>
      <c r="BD82">
        <v>2800854547180.793</v>
      </c>
      <c r="BE82">
        <v>2809624996095.1411</v>
      </c>
      <c r="BF82">
        <v>2825817614408.6934</v>
      </c>
      <c r="BG82">
        <v>2852837603528.5991</v>
      </c>
      <c r="BH82">
        <v>2884587185274.8242</v>
      </c>
      <c r="BI82">
        <v>2916186811083.7925</v>
      </c>
      <c r="BJ82">
        <v>2983008898740.3208</v>
      </c>
      <c r="BK82">
        <v>3038643985600.2676</v>
      </c>
      <c r="BL82">
        <v>3094645337796.6333</v>
      </c>
      <c r="BM82">
        <v>2853739994865.1523</v>
      </c>
      <c r="BN82">
        <v>3048267725339.0493</v>
      </c>
      <c r="BO82" s="188">
        <v>3126376341360.792</v>
      </c>
    </row>
    <row r="83" spans="1:67">
      <c r="A83" t="s">
        <v>642</v>
      </c>
      <c r="B83" t="s">
        <v>643</v>
      </c>
      <c r="C83" t="s">
        <v>486</v>
      </c>
      <c r="D83" t="s">
        <v>487</v>
      </c>
    </row>
    <row r="84" spans="1:67">
      <c r="A84" t="s">
        <v>644</v>
      </c>
      <c r="B84" t="s">
        <v>645</v>
      </c>
      <c r="C84" t="s">
        <v>486</v>
      </c>
      <c r="D84" t="s">
        <v>487</v>
      </c>
      <c r="AI84">
        <v>288449137.2899434</v>
      </c>
      <c r="AJ84">
        <v>309873238.98316848</v>
      </c>
      <c r="AK84">
        <v>322293008.08069026</v>
      </c>
      <c r="AL84">
        <v>348529770.29920506</v>
      </c>
      <c r="AM84">
        <v>346666804.93457675</v>
      </c>
      <c r="AN84">
        <v>370983626.09772837</v>
      </c>
      <c r="AO84">
        <v>359177548.84073788</v>
      </c>
      <c r="AP84">
        <v>337408022.31948799</v>
      </c>
      <c r="AQ84">
        <v>347025891.50860888</v>
      </c>
      <c r="AR84">
        <v>351795548.5833984</v>
      </c>
      <c r="AS84">
        <v>368801006.92595261</v>
      </c>
      <c r="AT84">
        <v>376795146.55268627</v>
      </c>
      <c r="AU84">
        <v>378856207.23442</v>
      </c>
      <c r="AV84">
        <v>384812262.75225031</v>
      </c>
      <c r="AW84">
        <v>372959456.11403036</v>
      </c>
      <c r="AX84">
        <v>380574792.78328955</v>
      </c>
      <c r="AY84">
        <v>380266316.76832986</v>
      </c>
      <c r="AZ84">
        <v>373283922.58170313</v>
      </c>
      <c r="BA84">
        <v>364293406.97912085</v>
      </c>
      <c r="BB84">
        <v>368275495.44601375</v>
      </c>
      <c r="BC84">
        <v>376596275.00001222</v>
      </c>
      <c r="BD84">
        <v>388604328.7519511</v>
      </c>
      <c r="BE84">
        <v>381349786.37497491</v>
      </c>
      <c r="BF84">
        <v>367316999.76591253</v>
      </c>
      <c r="BG84">
        <v>358847493.47697127</v>
      </c>
      <c r="BH84">
        <v>375433008.37691557</v>
      </c>
      <c r="BI84">
        <v>378812582.79546493</v>
      </c>
      <c r="BJ84">
        <v>388973040.64703381</v>
      </c>
      <c r="BK84">
        <v>389796316.09108579</v>
      </c>
      <c r="BL84">
        <v>394375640.20445573</v>
      </c>
      <c r="BM84">
        <v>387413272.89549875</v>
      </c>
      <c r="BN84">
        <v>375061812.52801341</v>
      </c>
      <c r="BO84" s="188">
        <v>372738024.07869631</v>
      </c>
    </row>
    <row r="85" spans="1:67">
      <c r="A85" t="s">
        <v>646</v>
      </c>
      <c r="B85" t="s">
        <v>647</v>
      </c>
      <c r="C85" t="s">
        <v>486</v>
      </c>
      <c r="D85" t="s">
        <v>487</v>
      </c>
      <c r="AI85">
        <v>17260994662.426239</v>
      </c>
      <c r="AJ85">
        <v>18316073562.369522</v>
      </c>
      <c r="AK85">
        <v>17750080211.648369</v>
      </c>
      <c r="AL85">
        <v>18450596891.147873</v>
      </c>
      <c r="AM85">
        <v>19135622320.433903</v>
      </c>
      <c r="AN85">
        <v>20087399043.222111</v>
      </c>
      <c r="AO85">
        <v>20815577105.438137</v>
      </c>
      <c r="AP85">
        <v>22010051395.104053</v>
      </c>
      <c r="AQ85">
        <v>22775524355.080547</v>
      </c>
      <c r="AR85">
        <v>20741072673.194992</v>
      </c>
      <c r="AS85">
        <v>20350525244.255074</v>
      </c>
      <c r="AT85">
        <v>20785056460.817715</v>
      </c>
      <c r="AU85">
        <v>20733294776.129799</v>
      </c>
      <c r="AV85">
        <v>21199240332.007462</v>
      </c>
      <c r="AW85">
        <v>21345418222.164097</v>
      </c>
      <c r="AX85">
        <v>21916665016.091759</v>
      </c>
      <c r="AY85">
        <v>21301556639.46093</v>
      </c>
      <c r="AZ85">
        <v>22581377173.340034</v>
      </c>
      <c r="BA85">
        <v>21834287970.018944</v>
      </c>
      <c r="BB85">
        <v>21862744842.034256</v>
      </c>
      <c r="BC85">
        <v>23412788815.202354</v>
      </c>
      <c r="BD85">
        <v>25073166048.597191</v>
      </c>
      <c r="BE85">
        <v>26389777283.462547</v>
      </c>
      <c r="BF85">
        <v>27877817392.141186</v>
      </c>
      <c r="BG85">
        <v>29080735299.559811</v>
      </c>
      <c r="BH85">
        <v>30208747765.178936</v>
      </c>
      <c r="BI85">
        <v>30840546266.537457</v>
      </c>
      <c r="BJ85">
        <v>30986311650.755707</v>
      </c>
      <c r="BK85">
        <v>31245951093.862434</v>
      </c>
      <c r="BL85">
        <v>32471045092.284611</v>
      </c>
      <c r="BM85">
        <v>31874304868.664024</v>
      </c>
      <c r="BN85">
        <v>32342206058.614777</v>
      </c>
      <c r="BO85" s="188">
        <v>33324420053.10162</v>
      </c>
    </row>
    <row r="86" spans="1:67">
      <c r="A86" t="s">
        <v>648</v>
      </c>
      <c r="B86" t="s">
        <v>649</v>
      </c>
      <c r="C86" t="s">
        <v>486</v>
      </c>
      <c r="D86" t="s">
        <v>487</v>
      </c>
      <c r="AI86">
        <v>1792315487238.2893</v>
      </c>
      <c r="AJ86">
        <v>1772544066241.7332</v>
      </c>
      <c r="AK86">
        <v>1779653422340.3735</v>
      </c>
      <c r="AL86">
        <v>1823963785162.6917</v>
      </c>
      <c r="AM86">
        <v>1894113599421.9243</v>
      </c>
      <c r="AN86">
        <v>1942066305610.0273</v>
      </c>
      <c r="AO86">
        <v>1979115411126.6641</v>
      </c>
      <c r="AP86">
        <v>2068651920273.4163</v>
      </c>
      <c r="AQ86">
        <v>2133965205432.5559</v>
      </c>
      <c r="AR86">
        <v>2198284420663.0339</v>
      </c>
      <c r="AS86">
        <v>2288252584451.4429</v>
      </c>
      <c r="AT86">
        <v>2337619990488.7407</v>
      </c>
      <c r="AU86">
        <v>2379013754097.4893</v>
      </c>
      <c r="AV86">
        <v>2453311621951.728</v>
      </c>
      <c r="AW86">
        <v>2510841079841.6821</v>
      </c>
      <c r="AX86">
        <v>2577838797876.5205</v>
      </c>
      <c r="AY86">
        <v>2633530564422.1069</v>
      </c>
      <c r="AZ86">
        <v>2701040079156.2788</v>
      </c>
      <c r="BA86">
        <v>2696871177356.1572</v>
      </c>
      <c r="BB86">
        <v>2575229191247.7788</v>
      </c>
      <c r="BC86">
        <v>2637809137809.1147</v>
      </c>
      <c r="BD86">
        <v>2665970676055.8193</v>
      </c>
      <c r="BE86">
        <v>2704586108449.7241</v>
      </c>
      <c r="BF86">
        <v>2753805880474.1831</v>
      </c>
      <c r="BG86">
        <v>2841919479550.7339</v>
      </c>
      <c r="BH86">
        <v>2909929545102.1807</v>
      </c>
      <c r="BI86">
        <v>2972935520334.5425</v>
      </c>
      <c r="BJ86">
        <v>3045581294798.0063</v>
      </c>
      <c r="BK86">
        <v>3097509096126.4331</v>
      </c>
      <c r="BL86">
        <v>3147202702424.2729</v>
      </c>
      <c r="BM86">
        <v>2800039227021.6865</v>
      </c>
      <c r="BN86">
        <v>3012771394507.168</v>
      </c>
      <c r="BO86" s="188">
        <v>3136343870179.3096</v>
      </c>
    </row>
    <row r="87" spans="1:67">
      <c r="A87" t="s">
        <v>650</v>
      </c>
      <c r="B87" t="s">
        <v>651</v>
      </c>
      <c r="C87" t="s">
        <v>486</v>
      </c>
      <c r="D87" t="s">
        <v>487</v>
      </c>
      <c r="AI87">
        <v>53472492794.321358</v>
      </c>
      <c r="AJ87">
        <v>42189796425.525444</v>
      </c>
      <c r="AK87">
        <v>23246578059.752235</v>
      </c>
      <c r="AL87">
        <v>16435330229.669403</v>
      </c>
      <c r="AM87">
        <v>14726056876.550253</v>
      </c>
      <c r="AN87">
        <v>15108933872.964592</v>
      </c>
      <c r="AO87">
        <v>16801134770.055077</v>
      </c>
      <c r="AP87">
        <v>18568453062.244606</v>
      </c>
      <c r="AQ87">
        <v>19144985466.023628</v>
      </c>
      <c r="AR87">
        <v>19694304310.133362</v>
      </c>
      <c r="AS87">
        <v>20056352793.957558</v>
      </c>
      <c r="AT87">
        <v>21020151455.649967</v>
      </c>
      <c r="AU87">
        <v>22170760241.696461</v>
      </c>
      <c r="AV87">
        <v>24622563246.756718</v>
      </c>
      <c r="AW87">
        <v>26049316774.307343</v>
      </c>
      <c r="AX87">
        <v>28547335298.92252</v>
      </c>
      <c r="AY87">
        <v>31236428810.081623</v>
      </c>
      <c r="AZ87">
        <v>35165644643.577194</v>
      </c>
      <c r="BA87">
        <v>36016150958.646072</v>
      </c>
      <c r="BB87">
        <v>34701376458.649391</v>
      </c>
      <c r="BC87">
        <v>36870034735.715851</v>
      </c>
      <c r="BD87">
        <v>39598417257.174004</v>
      </c>
      <c r="BE87">
        <v>42120443741.462036</v>
      </c>
      <c r="BF87">
        <v>43645753624.942062</v>
      </c>
      <c r="BG87">
        <v>45580100614.070908</v>
      </c>
      <c r="BH87">
        <v>46957625778.730591</v>
      </c>
      <c r="BI87">
        <v>48322420424.540581</v>
      </c>
      <c r="BJ87">
        <v>50662483514.40094</v>
      </c>
      <c r="BK87">
        <v>53116027002.788284</v>
      </c>
      <c r="BL87">
        <v>55762453626.52182</v>
      </c>
      <c r="BM87">
        <v>51992666508.587502</v>
      </c>
      <c r="BN87">
        <v>57433978362.122742</v>
      </c>
      <c r="BO87" s="188">
        <v>63239818383.153763</v>
      </c>
    </row>
    <row r="88" spans="1:67">
      <c r="A88" t="s">
        <v>652</v>
      </c>
      <c r="B88" t="s">
        <v>653</v>
      </c>
      <c r="C88" t="s">
        <v>486</v>
      </c>
      <c r="D88" t="s">
        <v>487</v>
      </c>
      <c r="AI88">
        <v>35522479053.397079</v>
      </c>
      <c r="AJ88">
        <v>37398714729.385727</v>
      </c>
      <c r="AK88">
        <v>38849567604.412598</v>
      </c>
      <c r="AL88">
        <v>40733771848.373222</v>
      </c>
      <c r="AM88">
        <v>42077986213.248894</v>
      </c>
      <c r="AN88">
        <v>43808409301.161812</v>
      </c>
      <c r="AO88">
        <v>45824674322.154305</v>
      </c>
      <c r="AP88">
        <v>47747641452.517479</v>
      </c>
      <c r="AQ88">
        <v>49991967191.062241</v>
      </c>
      <c r="AR88">
        <v>52191612160.45047</v>
      </c>
      <c r="AS88">
        <v>54122701852.998497</v>
      </c>
      <c r="AT88">
        <v>56287609996.43837</v>
      </c>
      <c r="AU88">
        <v>58820552198.051598</v>
      </c>
      <c r="AV88">
        <v>61879220990.641022</v>
      </c>
      <c r="AW88">
        <v>65344457360.408218</v>
      </c>
      <c r="AX88">
        <v>69199782839.883759</v>
      </c>
      <c r="AY88">
        <v>73628508465.302902</v>
      </c>
      <c r="AZ88">
        <v>76829006537.55806</v>
      </c>
      <c r="BA88">
        <v>83858706162.051941</v>
      </c>
      <c r="BB88">
        <v>87921230323.838272</v>
      </c>
      <c r="BC88">
        <v>94866754253.979309</v>
      </c>
      <c r="BD88">
        <v>108192804460.66942</v>
      </c>
      <c r="BE88">
        <v>118246933931.96992</v>
      </c>
      <c r="BF88">
        <v>126893770557.32225</v>
      </c>
      <c r="BG88">
        <v>130518161396.71745</v>
      </c>
      <c r="BH88">
        <v>133286137492.55049</v>
      </c>
      <c r="BI88">
        <v>137782499689.91891</v>
      </c>
      <c r="BJ88">
        <v>148982694254.13974</v>
      </c>
      <c r="BK88">
        <v>158219737029.54962</v>
      </c>
      <c r="BL88">
        <v>168516321194.95758</v>
      </c>
      <c r="BM88">
        <v>169382396791.38806</v>
      </c>
      <c r="BN88">
        <v>178455327397.31509</v>
      </c>
      <c r="BO88" s="188">
        <v>184236755816.28003</v>
      </c>
    </row>
    <row r="89" spans="1:67">
      <c r="A89" t="s">
        <v>654</v>
      </c>
      <c r="B89" t="s">
        <v>655</v>
      </c>
      <c r="C89" t="s">
        <v>486</v>
      </c>
      <c r="D89" t="s">
        <v>487</v>
      </c>
    </row>
    <row r="90" spans="1:67">
      <c r="A90" t="s">
        <v>656</v>
      </c>
      <c r="B90" t="s">
        <v>657</v>
      </c>
      <c r="C90" t="s">
        <v>486</v>
      </c>
      <c r="D90" t="s">
        <v>487</v>
      </c>
      <c r="AI90">
        <v>9576957950.8244495</v>
      </c>
      <c r="AJ90">
        <v>9827244372.955349</v>
      </c>
      <c r="AK90">
        <v>10148688357.496298</v>
      </c>
      <c r="AL90">
        <v>10660602867.34446</v>
      </c>
      <c r="AM90">
        <v>11083839366.470306</v>
      </c>
      <c r="AN90">
        <v>11594546462.720284</v>
      </c>
      <c r="AO90">
        <v>12111845858.948839</v>
      </c>
      <c r="AP90">
        <v>12739433682.879227</v>
      </c>
      <c r="AQ90">
        <v>13203674091.887291</v>
      </c>
      <c r="AR90">
        <v>13706998680.98415</v>
      </c>
      <c r="AS90">
        <v>14050093159.141474</v>
      </c>
      <c r="AT90">
        <v>14564094246.359613</v>
      </c>
      <c r="AU90">
        <v>15316272836.385628</v>
      </c>
      <c r="AV90">
        <v>15507512012.035885</v>
      </c>
      <c r="AW90">
        <v>15870405985.377901</v>
      </c>
      <c r="AX90">
        <v>16346085309.381618</v>
      </c>
      <c r="AY90">
        <v>16540538686.308498</v>
      </c>
      <c r="AZ90">
        <v>17668185133.103668</v>
      </c>
      <c r="BA90">
        <v>18398414079.621407</v>
      </c>
      <c r="BB90">
        <v>18191865746.908848</v>
      </c>
      <c r="BC90">
        <v>19067505766.891403</v>
      </c>
      <c r="BD90">
        <v>20137595503.102306</v>
      </c>
      <c r="BE90">
        <v>21328791923.260174</v>
      </c>
      <c r="BF90">
        <v>22170359311.827358</v>
      </c>
      <c r="BG90">
        <v>22989898419.939186</v>
      </c>
      <c r="BH90">
        <v>23869471373.503654</v>
      </c>
      <c r="BI90">
        <v>26452297884.627258</v>
      </c>
      <c r="BJ90">
        <v>29176885980.003761</v>
      </c>
      <c r="BK90">
        <v>31032095919.699825</v>
      </c>
      <c r="BL90">
        <v>32775142205.42321</v>
      </c>
      <c r="BM90">
        <v>34387766505.870995</v>
      </c>
      <c r="BN90">
        <v>35728889399.599983</v>
      </c>
      <c r="BO90" s="188">
        <v>37408147201.381172</v>
      </c>
    </row>
    <row r="91" spans="1:67">
      <c r="A91" t="s">
        <v>658</v>
      </c>
      <c r="B91" t="s">
        <v>659</v>
      </c>
      <c r="C91" t="s">
        <v>486</v>
      </c>
      <c r="D91" t="s">
        <v>487</v>
      </c>
      <c r="AI91">
        <v>2164645785.6570125</v>
      </c>
      <c r="AJ91">
        <v>2231902179.2749171</v>
      </c>
      <c r="AK91">
        <v>2307311208.0370317</v>
      </c>
      <c r="AL91">
        <v>2376809760.6454234</v>
      </c>
      <c r="AM91">
        <v>2380478270.4841843</v>
      </c>
      <c r="AN91">
        <v>2401470476.2339969</v>
      </c>
      <c r="AO91">
        <v>2454868268.2654314</v>
      </c>
      <c r="AP91">
        <v>2575156791.5620317</v>
      </c>
      <c r="AQ91">
        <v>2665287245.8425341</v>
      </c>
      <c r="AR91">
        <v>2835865604.2587061</v>
      </c>
      <c r="AS91">
        <v>2991838218.6277509</v>
      </c>
      <c r="AT91">
        <v>3165364842.5853209</v>
      </c>
      <c r="AU91">
        <v>3062490480.4626818</v>
      </c>
      <c r="AV91">
        <v>3272883564.8862433</v>
      </c>
      <c r="AW91">
        <v>3503621856.2318778</v>
      </c>
      <c r="AX91">
        <v>3421226152.3138256</v>
      </c>
      <c r="AY91">
        <v>3402218470.6229868</v>
      </c>
      <c r="AZ91">
        <v>3505756467.5014243</v>
      </c>
      <c r="BA91">
        <v>3725073280.3584061</v>
      </c>
      <c r="BB91">
        <v>3973376395.4919863</v>
      </c>
      <c r="BC91">
        <v>4208136815.9203262</v>
      </c>
      <c r="BD91">
        <v>3865996599.2678061</v>
      </c>
      <c r="BE91">
        <v>4068635488.0783181</v>
      </c>
      <c r="BF91">
        <v>4185517978.5720005</v>
      </c>
      <c r="BG91">
        <v>4126611731.2119155</v>
      </c>
      <c r="BH91">
        <v>4294072680.8690009</v>
      </c>
      <c r="BI91">
        <v>4377521956.8962717</v>
      </c>
      <c r="BJ91">
        <v>4588632823.2290659</v>
      </c>
      <c r="BK91">
        <v>4920615375.7547245</v>
      </c>
      <c r="BL91">
        <v>5226778680.2307873</v>
      </c>
      <c r="BM91">
        <v>5257694411.6896591</v>
      </c>
      <c r="BN91">
        <v>5481960951.0734444</v>
      </c>
      <c r="BO91" s="188">
        <v>5751877770.501482</v>
      </c>
    </row>
    <row r="92" spans="1:67">
      <c r="A92" t="s">
        <v>660</v>
      </c>
      <c r="B92" t="s">
        <v>661</v>
      </c>
      <c r="C92" t="s">
        <v>486</v>
      </c>
      <c r="D92" t="s">
        <v>487</v>
      </c>
      <c r="AI92">
        <v>1945323523.2220707</v>
      </c>
      <c r="AJ92">
        <v>2044535023.3496342</v>
      </c>
      <c r="AK92">
        <v>2067024908.0174401</v>
      </c>
      <c r="AL92">
        <v>2110432431.0792451</v>
      </c>
      <c r="AM92">
        <v>2177966269.3053551</v>
      </c>
      <c r="AN92">
        <v>2273796785.3297534</v>
      </c>
      <c r="AO92">
        <v>2537557212.3434391</v>
      </c>
      <c r="AP92">
        <v>2702498431.1457629</v>
      </c>
      <c r="AQ92">
        <v>1943096919.8075988</v>
      </c>
      <c r="AR92">
        <v>1963024105.6054432</v>
      </c>
      <c r="AS92">
        <v>2069557175.8252182</v>
      </c>
      <c r="AT92">
        <v>2114857853.8811204</v>
      </c>
      <c r="AU92">
        <v>2094022749.6191685</v>
      </c>
      <c r="AV92">
        <v>2105927482.0403607</v>
      </c>
      <c r="AW92">
        <v>2164080605.4474955</v>
      </c>
      <c r="AX92">
        <v>2256402425.0322952</v>
      </c>
      <c r="AY92">
        <v>2308510834.8939009</v>
      </c>
      <c r="AZ92">
        <v>2383836515.1353364</v>
      </c>
      <c r="BA92">
        <v>2460204322.3849425</v>
      </c>
      <c r="BB92">
        <v>2543087989.9151268</v>
      </c>
      <c r="BC92">
        <v>2660349037.0941329</v>
      </c>
      <c r="BD92">
        <v>2875432396.8984413</v>
      </c>
      <c r="BE92">
        <v>2826185354.7206597</v>
      </c>
      <c r="BF92">
        <v>2918203244.2268162</v>
      </c>
      <c r="BG92">
        <v>2946351087.3544917</v>
      </c>
      <c r="BH92">
        <v>3127082706.7897873</v>
      </c>
      <c r="BI92">
        <v>3322925818.849432</v>
      </c>
      <c r="BJ92">
        <v>3519615667.2134504</v>
      </c>
      <c r="BK92">
        <v>3564798265.3413391</v>
      </c>
      <c r="BL92">
        <v>3725214186.9791608</v>
      </c>
      <c r="BM92">
        <v>3635809046.5208216</v>
      </c>
      <c r="BN92">
        <v>3773969878.6402435</v>
      </c>
      <c r="BO92" s="188">
        <v>3906060695.9768186</v>
      </c>
    </row>
    <row r="93" spans="1:67">
      <c r="A93" t="s">
        <v>662</v>
      </c>
      <c r="B93" t="s">
        <v>663</v>
      </c>
      <c r="C93" t="s">
        <v>486</v>
      </c>
      <c r="D93" t="s">
        <v>487</v>
      </c>
      <c r="AI93">
        <v>435949278.52467841</v>
      </c>
      <c r="AJ93">
        <v>431492835.51514959</v>
      </c>
      <c r="AK93">
        <v>581416402.11737645</v>
      </c>
      <c r="AL93">
        <v>645565312.39811504</v>
      </c>
      <c r="AM93">
        <v>753173532.63693309</v>
      </c>
      <c r="AN93">
        <v>884875442.91641438</v>
      </c>
      <c r="AO93">
        <v>1474025488.2246923</v>
      </c>
      <c r="AP93">
        <v>3684665195.4832101</v>
      </c>
      <c r="AQ93">
        <v>4560675271.3015757</v>
      </c>
      <c r="AR93">
        <v>5731127677.1441898</v>
      </c>
      <c r="AS93">
        <v>6774982661.3120899</v>
      </c>
      <c r="AT93">
        <v>11068958232.12112</v>
      </c>
      <c r="AU93">
        <v>13223291202.344723</v>
      </c>
      <c r="AV93">
        <v>15068634589.696114</v>
      </c>
      <c r="AW93">
        <v>20794523888.309574</v>
      </c>
      <c r="AX93">
        <v>24277336436.671383</v>
      </c>
      <c r="AY93">
        <v>26147885206.190994</v>
      </c>
      <c r="AZ93">
        <v>30143834810.937458</v>
      </c>
      <c r="BA93">
        <v>35509168865.922356</v>
      </c>
      <c r="BB93">
        <v>35986183518.720909</v>
      </c>
      <c r="BC93">
        <v>32774713205.945358</v>
      </c>
      <c r="BD93">
        <v>34912910465.419563</v>
      </c>
      <c r="BE93">
        <v>37815175969.579712</v>
      </c>
      <c r="BF93">
        <v>36252199683.135094</v>
      </c>
      <c r="BG93">
        <v>36402670347.607399</v>
      </c>
      <c r="BH93">
        <v>33086372099.672752</v>
      </c>
      <c r="BI93">
        <v>30169339488.368195</v>
      </c>
      <c r="BJ93">
        <v>28459489607.002769</v>
      </c>
      <c r="BK93">
        <v>26684600996.320358</v>
      </c>
      <c r="BL93">
        <v>25221797766.636677</v>
      </c>
      <c r="BM93">
        <v>24152019925.464535</v>
      </c>
      <c r="BN93">
        <v>23923690855.095394</v>
      </c>
      <c r="BO93" s="188">
        <v>24676281913.853531</v>
      </c>
    </row>
    <row r="94" spans="1:67">
      <c r="A94" t="s">
        <v>664</v>
      </c>
      <c r="B94" t="s">
        <v>665</v>
      </c>
      <c r="C94" t="s">
        <v>486</v>
      </c>
      <c r="D94" t="s">
        <v>487</v>
      </c>
      <c r="AI94">
        <v>247403159125.76428</v>
      </c>
      <c r="AJ94">
        <v>255072655602.20425</v>
      </c>
      <c r="AK94">
        <v>256858164725.45453</v>
      </c>
      <c r="AL94">
        <v>252748433618.23209</v>
      </c>
      <c r="AM94">
        <v>257803402949.47089</v>
      </c>
      <c r="AN94">
        <v>263216551884.7926</v>
      </c>
      <c r="AO94">
        <v>270750148628.0173</v>
      </c>
      <c r="AP94">
        <v>282891124139.56061</v>
      </c>
      <c r="AQ94">
        <v>293909464758.27673</v>
      </c>
      <c r="AR94">
        <v>302940117246.71814</v>
      </c>
      <c r="AS94">
        <v>314814675253.47748</v>
      </c>
      <c r="AT94">
        <v>327821596950.35748</v>
      </c>
      <c r="AU94">
        <v>340681617449.25171</v>
      </c>
      <c r="AV94">
        <v>360422520994.21075</v>
      </c>
      <c r="AW94">
        <v>378663476683.11981</v>
      </c>
      <c r="AX94">
        <v>380932209324.76697</v>
      </c>
      <c r="AY94">
        <v>402464149600.49231</v>
      </c>
      <c r="AZ94">
        <v>415639807238.59778</v>
      </c>
      <c r="BA94">
        <v>414246697563.19897</v>
      </c>
      <c r="BB94">
        <v>396431050353.08624</v>
      </c>
      <c r="BC94">
        <v>374713694216.34155</v>
      </c>
      <c r="BD94">
        <v>336682821679.69427</v>
      </c>
      <c r="BE94">
        <v>312823130975.42505</v>
      </c>
      <c r="BF94">
        <v>304952509690.63367</v>
      </c>
      <c r="BG94">
        <v>306403156419.92468</v>
      </c>
      <c r="BH94">
        <v>305802337733.10089</v>
      </c>
      <c r="BI94">
        <v>304312550410.31415</v>
      </c>
      <c r="BJ94">
        <v>307636097252.19592</v>
      </c>
      <c r="BK94">
        <v>312768785993.50171</v>
      </c>
      <c r="BL94">
        <v>318662418917.77399</v>
      </c>
      <c r="BM94">
        <v>289969915647.69635</v>
      </c>
      <c r="BN94">
        <v>314427212160.26776</v>
      </c>
      <c r="BO94" s="188">
        <v>333021520333.01996</v>
      </c>
    </row>
    <row r="95" spans="1:67">
      <c r="A95" t="s">
        <v>666</v>
      </c>
      <c r="B95" t="s">
        <v>667</v>
      </c>
      <c r="C95" t="s">
        <v>486</v>
      </c>
      <c r="D95" t="s">
        <v>487</v>
      </c>
      <c r="AI95">
        <v>849027655.35108697</v>
      </c>
      <c r="AJ95">
        <v>860791322.49132001</v>
      </c>
      <c r="AK95">
        <v>853464707.85481012</v>
      </c>
      <c r="AL95">
        <v>836746908.17528033</v>
      </c>
      <c r="AM95">
        <v>850917686.01325941</v>
      </c>
      <c r="AN95">
        <v>869037766.68045104</v>
      </c>
      <c r="AO95">
        <v>907607702.53670561</v>
      </c>
      <c r="AP95">
        <v>953128717.93163788</v>
      </c>
      <c r="AQ95">
        <v>1065154730.3105738</v>
      </c>
      <c r="AR95">
        <v>1138632964.0869563</v>
      </c>
      <c r="AS95">
        <v>1194288798.3820019</v>
      </c>
      <c r="AT95">
        <v>1170117586.9052272</v>
      </c>
      <c r="AU95">
        <v>1210338314.0432231</v>
      </c>
      <c r="AV95">
        <v>1324884410.5066419</v>
      </c>
      <c r="AW95">
        <v>1316306442.2030575</v>
      </c>
      <c r="AX95">
        <v>1491061764.4781141</v>
      </c>
      <c r="AY95">
        <v>1431488952.6623375</v>
      </c>
      <c r="AZ95">
        <v>1519145476.4962757</v>
      </c>
      <c r="BA95">
        <v>1533540027.4204352</v>
      </c>
      <c r="BB95">
        <v>1432122710.8229949</v>
      </c>
      <c r="BC95">
        <v>1424802470.1909745</v>
      </c>
      <c r="BD95">
        <v>1435698982.6275678</v>
      </c>
      <c r="BE95">
        <v>1419118982.8546178</v>
      </c>
      <c r="BF95">
        <v>1452483861.1162477</v>
      </c>
      <c r="BG95">
        <v>1559127026.7039084</v>
      </c>
      <c r="BH95">
        <v>1659616242.7190928</v>
      </c>
      <c r="BI95">
        <v>1721679317.3840621</v>
      </c>
      <c r="BJ95">
        <v>1798099078.351284</v>
      </c>
      <c r="BK95">
        <v>1876522097.8723087</v>
      </c>
      <c r="BL95">
        <v>1889216990.1469746</v>
      </c>
      <c r="BM95">
        <v>1629324545.1934102</v>
      </c>
      <c r="BN95">
        <v>1705698777.5571365</v>
      </c>
      <c r="BO95" s="188">
        <v>1804629321.8316514</v>
      </c>
    </row>
    <row r="96" spans="1:67">
      <c r="A96" t="s">
        <v>668</v>
      </c>
      <c r="B96" t="s">
        <v>669</v>
      </c>
      <c r="C96" t="s">
        <v>486</v>
      </c>
      <c r="D96" t="s">
        <v>487</v>
      </c>
    </row>
    <row r="97" spans="1:67">
      <c r="A97" t="s">
        <v>670</v>
      </c>
      <c r="B97" t="s">
        <v>671</v>
      </c>
      <c r="C97" t="s">
        <v>486</v>
      </c>
      <c r="D97" t="s">
        <v>487</v>
      </c>
      <c r="AI97">
        <v>50328329214.473953</v>
      </c>
      <c r="AJ97">
        <v>52169464688.892616</v>
      </c>
      <c r="AK97">
        <v>54693600165.148216</v>
      </c>
      <c r="AL97">
        <v>56841490009.126328</v>
      </c>
      <c r="AM97">
        <v>59134328778.804802</v>
      </c>
      <c r="AN97">
        <v>62060619128.474213</v>
      </c>
      <c r="AO97">
        <v>63896235639.05658</v>
      </c>
      <c r="AP97">
        <v>66684724834.953682</v>
      </c>
      <c r="AQ97">
        <v>70014645109.980148</v>
      </c>
      <c r="AR97">
        <v>72708152048.702271</v>
      </c>
      <c r="AS97">
        <v>75332093803.051224</v>
      </c>
      <c r="AT97">
        <v>77089271289.199448</v>
      </c>
      <c r="AU97">
        <v>80048949726.164078</v>
      </c>
      <c r="AV97">
        <v>82098505158.436508</v>
      </c>
      <c r="AW97">
        <v>84674687973.98288</v>
      </c>
      <c r="AX97">
        <v>87448653551.422943</v>
      </c>
      <c r="AY97">
        <v>92128378862.435959</v>
      </c>
      <c r="AZ97">
        <v>97967216348.543854</v>
      </c>
      <c r="BA97">
        <v>101193790131.3941</v>
      </c>
      <c r="BB97">
        <v>101676381400.52385</v>
      </c>
      <c r="BC97">
        <v>104608906608.96115</v>
      </c>
      <c r="BD97">
        <v>108964724071.41315</v>
      </c>
      <c r="BE97">
        <v>112206107054.98236</v>
      </c>
      <c r="BF97">
        <v>116351919840.69557</v>
      </c>
      <c r="BG97">
        <v>121522573075.63483</v>
      </c>
      <c r="BH97">
        <v>126495484346.14639</v>
      </c>
      <c r="BI97">
        <v>129882783658.34233</v>
      </c>
      <c r="BJ97">
        <v>133882980507.72977</v>
      </c>
      <c r="BK97">
        <v>138444204157.74734</v>
      </c>
      <c r="BL97">
        <v>144006750976.87421</v>
      </c>
      <c r="BM97">
        <v>141426354928.77353</v>
      </c>
      <c r="BN97">
        <v>152743868921.16885</v>
      </c>
      <c r="BO97" s="188">
        <v>159033867811.59174</v>
      </c>
    </row>
    <row r="98" spans="1:67">
      <c r="A98" t="s">
        <v>672</v>
      </c>
      <c r="B98" t="s">
        <v>673</v>
      </c>
      <c r="C98" t="s">
        <v>486</v>
      </c>
      <c r="D98" t="s">
        <v>487</v>
      </c>
    </row>
    <row r="99" spans="1:67">
      <c r="A99" t="s">
        <v>674</v>
      </c>
      <c r="B99" t="s">
        <v>675</v>
      </c>
      <c r="C99" t="s">
        <v>486</v>
      </c>
      <c r="D99" t="s">
        <v>487</v>
      </c>
      <c r="AI99">
        <v>3599894765.4120107</v>
      </c>
      <c r="AJ99">
        <v>3817971573.1124959</v>
      </c>
      <c r="AK99">
        <v>4114165446.7175865</v>
      </c>
      <c r="AL99">
        <v>4450502812.1449594</v>
      </c>
      <c r="AM99">
        <v>4830238545.1218376</v>
      </c>
      <c r="AN99">
        <v>5073269416.1493979</v>
      </c>
      <c r="AO99">
        <v>5476874254.4660864</v>
      </c>
      <c r="AP99">
        <v>5815381538.0257359</v>
      </c>
      <c r="AQ99">
        <v>5717735205.3997812</v>
      </c>
      <c r="AR99">
        <v>5886988847.1796055</v>
      </c>
      <c r="AS99">
        <v>5806701863.5350409</v>
      </c>
      <c r="AT99">
        <v>5939066890.2006006</v>
      </c>
      <c r="AU99">
        <v>6006334363.0899172</v>
      </c>
      <c r="AV99">
        <v>5968360792.3422937</v>
      </c>
      <c r="AW99">
        <v>6061667286.7421083</v>
      </c>
      <c r="AX99">
        <v>5943406728.4267435</v>
      </c>
      <c r="AY99">
        <v>6248280275.5417356</v>
      </c>
      <c r="AZ99">
        <v>6697608871.1291647</v>
      </c>
      <c r="BA99">
        <v>6815166875.7000599</v>
      </c>
      <c r="BB99">
        <v>7061297204.8095703</v>
      </c>
      <c r="BC99">
        <v>7353524865.930027</v>
      </c>
      <c r="BD99">
        <v>7735632516.5288496</v>
      </c>
      <c r="BE99">
        <v>8143790063.6853466</v>
      </c>
      <c r="BF99">
        <v>8441323821.9585543</v>
      </c>
      <c r="BG99">
        <v>8583646882.5566053</v>
      </c>
      <c r="BH99">
        <v>8642661275.4735985</v>
      </c>
      <c r="BI99">
        <v>8971766802.2028122</v>
      </c>
      <c r="BJ99">
        <v>9306806134.435564</v>
      </c>
      <c r="BK99">
        <v>9720122659.6000938</v>
      </c>
      <c r="BL99">
        <v>10240404610.915983</v>
      </c>
      <c r="BM99">
        <v>14692887062.195417</v>
      </c>
      <c r="BN99">
        <v>17640281815.374466</v>
      </c>
      <c r="BO99" s="188">
        <v>27836403513.280903</v>
      </c>
    </row>
    <row r="100" spans="1:67">
      <c r="A100" t="s">
        <v>676</v>
      </c>
      <c r="B100" t="s">
        <v>677</v>
      </c>
      <c r="C100" t="s">
        <v>486</v>
      </c>
      <c r="D100" t="s">
        <v>487</v>
      </c>
      <c r="AI100">
        <v>32692703679037.371</v>
      </c>
      <c r="AJ100">
        <v>33195060333174.723</v>
      </c>
      <c r="AK100">
        <v>33908597994471.273</v>
      </c>
      <c r="AL100">
        <v>34360153095208.68</v>
      </c>
      <c r="AM100">
        <v>35497106417199.109</v>
      </c>
      <c r="AN100">
        <v>36542942503591.594</v>
      </c>
      <c r="AO100">
        <v>37649902293002.734</v>
      </c>
      <c r="AP100">
        <v>38944595052255.391</v>
      </c>
      <c r="AQ100">
        <v>40016849400949.297</v>
      </c>
      <c r="AR100">
        <v>41353279038763.898</v>
      </c>
      <c r="AS100">
        <v>43086458479055.984</v>
      </c>
      <c r="AT100">
        <v>43737464252326.164</v>
      </c>
      <c r="AU100">
        <v>44424961494052.188</v>
      </c>
      <c r="AV100">
        <v>45451429927132.086</v>
      </c>
      <c r="AW100">
        <v>47068621197148.609</v>
      </c>
      <c r="AX100">
        <v>48458466835705.086</v>
      </c>
      <c r="AY100">
        <v>50032569041842.664</v>
      </c>
      <c r="AZ100">
        <v>51467520764482.531</v>
      </c>
      <c r="BA100">
        <v>51847421471306.031</v>
      </c>
      <c r="BB100">
        <v>50154147532733.742</v>
      </c>
      <c r="BC100">
        <v>51707320972321.305</v>
      </c>
      <c r="BD100">
        <v>52822129637467.094</v>
      </c>
      <c r="BE100">
        <v>53554538205628.102</v>
      </c>
      <c r="BF100">
        <v>54343637741149.281</v>
      </c>
      <c r="BG100">
        <v>55509083399879.125</v>
      </c>
      <c r="BH100">
        <v>56854773625894.836</v>
      </c>
      <c r="BI100">
        <v>57933382931820.359</v>
      </c>
      <c r="BJ100">
        <v>59339442303610.836</v>
      </c>
      <c r="BK100">
        <v>60766556476216.758</v>
      </c>
      <c r="BL100">
        <v>61839419336858.461</v>
      </c>
      <c r="BM100">
        <v>59167898744976.328</v>
      </c>
      <c r="BN100">
        <v>62338810101374.18</v>
      </c>
      <c r="BO100" s="188">
        <v>64197360263902.641</v>
      </c>
    </row>
    <row r="101" spans="1:67">
      <c r="A101" t="s">
        <v>678</v>
      </c>
      <c r="B101" t="s">
        <v>679</v>
      </c>
      <c r="C101" t="s">
        <v>486</v>
      </c>
      <c r="D101" t="s">
        <v>487</v>
      </c>
      <c r="AI101">
        <v>164276497261.61588</v>
      </c>
      <c r="AJ101">
        <v>173643465031.10626</v>
      </c>
      <c r="AK101">
        <v>184469961985.62946</v>
      </c>
      <c r="AL101">
        <v>195909355659.81393</v>
      </c>
      <c r="AM101">
        <v>207734739240.75903</v>
      </c>
      <c r="AN101">
        <v>212665849541.3613</v>
      </c>
      <c r="AO101">
        <v>221722256071.03342</v>
      </c>
      <c r="AP101">
        <v>233029571976.55957</v>
      </c>
      <c r="AQ101">
        <v>219321420579.40503</v>
      </c>
      <c r="AR101">
        <v>224819021897.16699</v>
      </c>
      <c r="AS101">
        <v>242047953766.72369</v>
      </c>
      <c r="AT101">
        <v>243405359365.64938</v>
      </c>
      <c r="AU101">
        <v>247437844189.71609</v>
      </c>
      <c r="AV101">
        <v>255000266464.2706</v>
      </c>
      <c r="AW101">
        <v>277185451523.41034</v>
      </c>
      <c r="AX101">
        <v>297664334598.26135</v>
      </c>
      <c r="AY101">
        <v>318597962517.02417</v>
      </c>
      <c r="AZ101">
        <v>339194799885.85907</v>
      </c>
      <c r="BA101">
        <v>346412361053.52893</v>
      </c>
      <c r="BB101">
        <v>337893888185.63098</v>
      </c>
      <c r="BC101">
        <v>360761500916.67517</v>
      </c>
      <c r="BD101">
        <v>378131201923.92053</v>
      </c>
      <c r="BE101">
        <v>384560642164.15564</v>
      </c>
      <c r="BF101">
        <v>396487994128.18945</v>
      </c>
      <c r="BG101">
        <v>407440515933.65338</v>
      </c>
      <c r="BH101">
        <v>417169572345.0708</v>
      </c>
      <c r="BI101">
        <v>426244758439.9693</v>
      </c>
      <c r="BJ101">
        <v>442425449123.25293</v>
      </c>
      <c r="BK101">
        <v>455020950081.49847</v>
      </c>
      <c r="BL101">
        <v>447411035683.3136</v>
      </c>
      <c r="BM101">
        <v>418128882201.80072</v>
      </c>
      <c r="BN101">
        <v>445063590030.01477</v>
      </c>
      <c r="BO101" s="188">
        <v>429591711531.76361</v>
      </c>
    </row>
    <row r="102" spans="1:67">
      <c r="A102" t="s">
        <v>680</v>
      </c>
      <c r="B102" t="s">
        <v>681</v>
      </c>
      <c r="C102" t="s">
        <v>486</v>
      </c>
      <c r="D102" t="s">
        <v>487</v>
      </c>
      <c r="AI102">
        <v>19771799006.997913</v>
      </c>
      <c r="AJ102">
        <v>19115512017.172581</v>
      </c>
      <c r="AK102">
        <v>20276528553.197575</v>
      </c>
      <c r="AL102">
        <v>21593634710.416191</v>
      </c>
      <c r="AM102">
        <v>21639392377.851658</v>
      </c>
      <c r="AN102">
        <v>22978720276.52932</v>
      </c>
      <c r="AO102">
        <v>23408600728.100002</v>
      </c>
      <c r="AP102">
        <v>24484947633.343601</v>
      </c>
      <c r="AQ102">
        <v>25364014311.530449</v>
      </c>
      <c r="AR102">
        <v>25177423664.934566</v>
      </c>
      <c r="AS102">
        <v>27013182175.280704</v>
      </c>
      <c r="AT102">
        <v>27748803335.158943</v>
      </c>
      <c r="AU102">
        <v>28790587164.800575</v>
      </c>
      <c r="AV102">
        <v>30099706118.478661</v>
      </c>
      <c r="AW102">
        <v>31975610994.059902</v>
      </c>
      <c r="AX102">
        <v>33910327064.147316</v>
      </c>
      <c r="AY102">
        <v>36137300831.653633</v>
      </c>
      <c r="AZ102">
        <v>38373595236.359901</v>
      </c>
      <c r="BA102">
        <v>39997412334.628517</v>
      </c>
      <c r="BB102">
        <v>39024824105.069084</v>
      </c>
      <c r="BC102">
        <v>40480895061.557159</v>
      </c>
      <c r="BD102">
        <v>42033616973.357712</v>
      </c>
      <c r="BE102">
        <v>43769053767.659348</v>
      </c>
      <c r="BF102">
        <v>44990893058.86187</v>
      </c>
      <c r="BG102">
        <v>46366750814.229774</v>
      </c>
      <c r="BH102">
        <v>48147271125.422447</v>
      </c>
      <c r="BI102">
        <v>50021631004.076523</v>
      </c>
      <c r="BJ102">
        <v>52444135530.233864</v>
      </c>
      <c r="BK102">
        <v>54460609798.368614</v>
      </c>
      <c r="BL102">
        <v>55905485859.089378</v>
      </c>
      <c r="BM102">
        <v>50893693122.096344</v>
      </c>
      <c r="BN102">
        <v>57272757483.993195</v>
      </c>
      <c r="BO102" s="188">
        <v>59562493585.688286</v>
      </c>
    </row>
    <row r="103" spans="1:67">
      <c r="A103" t="s">
        <v>682</v>
      </c>
      <c r="B103" t="s">
        <v>683</v>
      </c>
      <c r="C103" t="s">
        <v>486</v>
      </c>
      <c r="D103" t="s">
        <v>487</v>
      </c>
      <c r="AI103">
        <v>657554771474.35669</v>
      </c>
      <c r="AJ103">
        <v>663262957655.19568</v>
      </c>
      <c r="AK103">
        <v>660260177835.28076</v>
      </c>
      <c r="AL103">
        <v>666807689909.20105</v>
      </c>
      <c r="AM103">
        <v>667320569975.29333</v>
      </c>
      <c r="AN103">
        <v>701177062860.06055</v>
      </c>
      <c r="AO103">
        <v>737620653790.50403</v>
      </c>
      <c r="AP103">
        <v>781263436462.55408</v>
      </c>
      <c r="AQ103">
        <v>807898066723.96033</v>
      </c>
      <c r="AR103">
        <v>833349750346.90088</v>
      </c>
      <c r="AS103">
        <v>858643902593.04272</v>
      </c>
      <c r="AT103">
        <v>893573234235.85303</v>
      </c>
      <c r="AU103">
        <v>923582674484.01257</v>
      </c>
      <c r="AV103">
        <v>962009662642.7583</v>
      </c>
      <c r="AW103">
        <v>1016285328811.881</v>
      </c>
      <c r="AX103">
        <v>1074053429096.0222</v>
      </c>
      <c r="AY103">
        <v>1138224417248.4636</v>
      </c>
      <c r="AZ103">
        <v>1202168007304.6951</v>
      </c>
      <c r="BA103">
        <v>1270055315823.876</v>
      </c>
      <c r="BB103">
        <v>1315299546217.791</v>
      </c>
      <c r="BC103">
        <v>1395949338541.7815</v>
      </c>
      <c r="BD103">
        <v>1454229610829.6914</v>
      </c>
      <c r="BE103">
        <v>1500027258720.6067</v>
      </c>
      <c r="BF103">
        <v>1584984916295.9871</v>
      </c>
      <c r="BG103">
        <v>1676874011838.1426</v>
      </c>
      <c r="BH103">
        <v>1753008294801.093</v>
      </c>
      <c r="BI103">
        <v>1833364260728.9897</v>
      </c>
      <c r="BJ103">
        <v>1923761842258.0022</v>
      </c>
      <c r="BK103">
        <v>2002079246567.8459</v>
      </c>
      <c r="BL103">
        <v>2088384984606.5549</v>
      </c>
      <c r="BM103">
        <v>2092514508676.0269</v>
      </c>
      <c r="BN103">
        <v>2170618077113.344</v>
      </c>
      <c r="BO103" s="188">
        <v>2271044483956.5337</v>
      </c>
    </row>
    <row r="104" spans="1:67">
      <c r="A104" t="s">
        <v>684</v>
      </c>
      <c r="B104" t="s">
        <v>685</v>
      </c>
      <c r="C104" t="s">
        <v>486</v>
      </c>
      <c r="D104" t="s">
        <v>487</v>
      </c>
      <c r="AN104">
        <v>69686494825.364258</v>
      </c>
      <c r="AO104">
        <v>73896572701.437546</v>
      </c>
      <c r="AP104">
        <v>78462290081.603073</v>
      </c>
      <c r="AQ104">
        <v>80228425592.683334</v>
      </c>
      <c r="AR104">
        <v>79554273294.612747</v>
      </c>
      <c r="AS104">
        <v>81908123716.474609</v>
      </c>
      <c r="AT104">
        <v>84457482539.077179</v>
      </c>
      <c r="AU104">
        <v>89375454945.686279</v>
      </c>
      <c r="AV104">
        <v>94376327237.802139</v>
      </c>
      <c r="AW104">
        <v>98323762300.098099</v>
      </c>
      <c r="AX104">
        <v>102560238177.56625</v>
      </c>
      <c r="AY104">
        <v>107604210953.5605</v>
      </c>
      <c r="AZ104">
        <v>112942367448.41978</v>
      </c>
      <c r="BA104">
        <v>115203320067.07886</v>
      </c>
      <c r="BB104">
        <v>106916232876.99324</v>
      </c>
      <c r="BC104">
        <v>105607813956.13881</v>
      </c>
      <c r="BD104">
        <v>105516343037.50848</v>
      </c>
      <c r="BE104">
        <v>103056058937.84523</v>
      </c>
      <c r="BF104">
        <v>102646073424.79993</v>
      </c>
      <c r="BG104">
        <v>102205351642.50803</v>
      </c>
      <c r="BH104">
        <v>104783269334.12939</v>
      </c>
      <c r="BI104">
        <v>108512882566.92728</v>
      </c>
      <c r="BJ104">
        <v>112215849767.73164</v>
      </c>
      <c r="BK104">
        <v>115358652363.9431</v>
      </c>
      <c r="BL104">
        <v>119305078241.12663</v>
      </c>
      <c r="BM104">
        <v>109068293286.49132</v>
      </c>
      <c r="BN104">
        <v>123325924089.39108</v>
      </c>
      <c r="BO104" s="188">
        <v>131134103084.06165</v>
      </c>
    </row>
    <row r="105" spans="1:67">
      <c r="A105" t="s">
        <v>686</v>
      </c>
      <c r="B105" t="s">
        <v>687</v>
      </c>
      <c r="C105" t="s">
        <v>486</v>
      </c>
      <c r="D105" t="s">
        <v>487</v>
      </c>
      <c r="AI105">
        <v>25019940444.715443</v>
      </c>
      <c r="AJ105">
        <v>25490451614.68718</v>
      </c>
      <c r="AK105">
        <v>24136925732.301971</v>
      </c>
      <c r="AL105">
        <v>22827184698.660927</v>
      </c>
      <c r="AM105">
        <v>20099192477.07729</v>
      </c>
      <c r="AN105">
        <v>22088551755.940067</v>
      </c>
      <c r="AO105">
        <v>23003188615.716938</v>
      </c>
      <c r="AP105">
        <v>23625359062.729343</v>
      </c>
      <c r="AQ105">
        <v>24140826674.765984</v>
      </c>
      <c r="AR105">
        <v>24795102949.43346</v>
      </c>
      <c r="AS105">
        <v>25010835038.528938</v>
      </c>
      <c r="AT105">
        <v>24925110930.850693</v>
      </c>
      <c r="AU105">
        <v>25187278266.16811</v>
      </c>
      <c r="AV105">
        <v>26063991943.069923</v>
      </c>
      <c r="AW105">
        <v>25720505863.413673</v>
      </c>
      <c r="AX105">
        <v>26510684396.888481</v>
      </c>
      <c r="AY105">
        <v>26979592286.986576</v>
      </c>
      <c r="AZ105">
        <v>28249394875.685932</v>
      </c>
      <c r="BA105">
        <v>29000272918.37376</v>
      </c>
      <c r="BB105">
        <v>30708498889.348713</v>
      </c>
      <c r="BC105">
        <v>28973004532.550591</v>
      </c>
      <c r="BD105">
        <v>30450110173.761894</v>
      </c>
      <c r="BE105">
        <v>30603098958.192356</v>
      </c>
      <c r="BF105">
        <v>31926616920.550976</v>
      </c>
      <c r="BG105">
        <v>32848904255.172192</v>
      </c>
      <c r="BH105">
        <v>33308788915.456039</v>
      </c>
      <c r="BI105">
        <v>33912500081.875404</v>
      </c>
      <c r="BJ105">
        <v>34763795853.955368</v>
      </c>
      <c r="BK105">
        <v>35343590249.52813</v>
      </c>
      <c r="BL105">
        <v>34734585907.874435</v>
      </c>
      <c r="BM105">
        <v>33586432269.801304</v>
      </c>
      <c r="BN105">
        <v>32982467647.328018</v>
      </c>
      <c r="BO105" s="188">
        <v>32427707826.815022</v>
      </c>
    </row>
    <row r="106" spans="1:67">
      <c r="A106" t="s">
        <v>688</v>
      </c>
      <c r="B106" t="s">
        <v>689</v>
      </c>
      <c r="C106" t="s">
        <v>486</v>
      </c>
      <c r="D106" t="s">
        <v>487</v>
      </c>
      <c r="AJ106">
        <v>170403225449.18298</v>
      </c>
      <c r="AK106">
        <v>165181763305.09259</v>
      </c>
      <c r="AL106">
        <v>164230137096.89499</v>
      </c>
      <c r="AM106">
        <v>169070253065.16156</v>
      </c>
      <c r="AN106">
        <v>171588597557.28186</v>
      </c>
      <c r="AO106">
        <v>171730009378.84726</v>
      </c>
      <c r="AP106">
        <v>177127693416.72702</v>
      </c>
      <c r="AQ106">
        <v>184035681432.84467</v>
      </c>
      <c r="AR106">
        <v>189687466653.57672</v>
      </c>
      <c r="AS106">
        <v>198183937667.14194</v>
      </c>
      <c r="AT106">
        <v>206258125754.44897</v>
      </c>
      <c r="AU106">
        <v>216037414521.87204</v>
      </c>
      <c r="AV106">
        <v>224839318333.97482</v>
      </c>
      <c r="AW106">
        <v>236091673382.27982</v>
      </c>
      <c r="AX106">
        <v>246230105251.6261</v>
      </c>
      <c r="AY106">
        <v>255946509884.27158</v>
      </c>
      <c r="AZ106">
        <v>256656435814.40869</v>
      </c>
      <c r="BA106">
        <v>259233120210.27036</v>
      </c>
      <c r="BB106">
        <v>242129263152.41782</v>
      </c>
      <c r="BC106">
        <v>244735189135.84116</v>
      </c>
      <c r="BD106">
        <v>249303997362.22528</v>
      </c>
      <c r="BE106">
        <v>246187133909.65021</v>
      </c>
      <c r="BF106">
        <v>250624711407.75351</v>
      </c>
      <c r="BG106">
        <v>261231675020.56931</v>
      </c>
      <c r="BH106">
        <v>270916358651.76343</v>
      </c>
      <c r="BI106">
        <v>276879232833.96893</v>
      </c>
      <c r="BJ106">
        <v>288707447254.4939</v>
      </c>
      <c r="BK106">
        <v>304188946322.6308</v>
      </c>
      <c r="BL106">
        <v>318985383333.04327</v>
      </c>
      <c r="BM106">
        <v>304517639122.72113</v>
      </c>
      <c r="BN106">
        <v>326442910193.30798</v>
      </c>
      <c r="BO106" s="188">
        <v>341387159012.38861</v>
      </c>
    </row>
    <row r="107" spans="1:67">
      <c r="A107" t="s">
        <v>690</v>
      </c>
      <c r="B107" t="s">
        <v>691</v>
      </c>
      <c r="C107" t="s">
        <v>486</v>
      </c>
      <c r="D107" t="s">
        <v>487</v>
      </c>
      <c r="AI107">
        <v>17696812640559.602</v>
      </c>
      <c r="AJ107">
        <v>17769865666421.648</v>
      </c>
      <c r="AK107">
        <v>17849785229154.652</v>
      </c>
      <c r="AL107">
        <v>18297979677222.063</v>
      </c>
      <c r="AM107">
        <v>18714396845043.777</v>
      </c>
      <c r="AN107">
        <v>19387815669576.559</v>
      </c>
      <c r="AO107">
        <v>20381637716609.188</v>
      </c>
      <c r="AP107">
        <v>21348084352153.641</v>
      </c>
      <c r="AQ107">
        <v>21751385194574.605</v>
      </c>
      <c r="AR107">
        <v>22577709305975.219</v>
      </c>
      <c r="AS107">
        <v>23884131718838.055</v>
      </c>
      <c r="AT107">
        <v>24736789753176.945</v>
      </c>
      <c r="AU107">
        <v>25845326201268.609</v>
      </c>
      <c r="AV107">
        <v>27381693692051.23</v>
      </c>
      <c r="AW107">
        <v>29436092008420.398</v>
      </c>
      <c r="AX107">
        <v>31461358445558.977</v>
      </c>
      <c r="AY107">
        <v>33942999800331.926</v>
      </c>
      <c r="AZ107">
        <v>36809230474420.734</v>
      </c>
      <c r="BA107">
        <v>38796961704465.406</v>
      </c>
      <c r="BB107">
        <v>39640661762345.078</v>
      </c>
      <c r="BC107">
        <v>42558806108222.828</v>
      </c>
      <c r="BD107">
        <v>45067446759800.469</v>
      </c>
      <c r="BE107">
        <v>47398526879722.688</v>
      </c>
      <c r="BF107">
        <v>49724043224055.602</v>
      </c>
      <c r="BG107">
        <v>51982444313275.938</v>
      </c>
      <c r="BH107">
        <v>54179756010863.516</v>
      </c>
      <c r="BI107">
        <v>56663596180059.828</v>
      </c>
      <c r="BJ107">
        <v>59563785788975.742</v>
      </c>
      <c r="BK107">
        <v>62425858708642.078</v>
      </c>
      <c r="BL107">
        <v>64774464482781.195</v>
      </c>
      <c r="BM107">
        <v>63503130778157.125</v>
      </c>
      <c r="BN107">
        <v>68075008249306.203</v>
      </c>
      <c r="BO107" s="188">
        <v>70543969189613.859</v>
      </c>
    </row>
    <row r="108" spans="1:67">
      <c r="A108" t="s">
        <v>692</v>
      </c>
      <c r="B108" t="s">
        <v>693</v>
      </c>
      <c r="C108" t="s">
        <v>486</v>
      </c>
      <c r="D108" t="s">
        <v>487</v>
      </c>
      <c r="AI108">
        <v>19626534181529.281</v>
      </c>
      <c r="AJ108">
        <v>19735944084143</v>
      </c>
      <c r="AK108">
        <v>19855630007768.102</v>
      </c>
      <c r="AL108">
        <v>20326190453865.301</v>
      </c>
      <c r="AM108">
        <v>20761767897624.934</v>
      </c>
      <c r="AN108">
        <v>21512552246555.227</v>
      </c>
      <c r="AO108">
        <v>22607371725939.789</v>
      </c>
      <c r="AP108">
        <v>23659383486799.965</v>
      </c>
      <c r="AQ108">
        <v>24139044987282.258</v>
      </c>
      <c r="AR108">
        <v>25044540020354.031</v>
      </c>
      <c r="AS108">
        <v>26452863822645.047</v>
      </c>
      <c r="AT108">
        <v>27414757018787.578</v>
      </c>
      <c r="AU108">
        <v>28654973602866.648</v>
      </c>
      <c r="AV108">
        <v>30336439373366.629</v>
      </c>
      <c r="AW108">
        <v>32589860116666.688</v>
      </c>
      <c r="AX108">
        <v>34811608339466.184</v>
      </c>
      <c r="AY108">
        <v>37505810784273.375</v>
      </c>
      <c r="AZ108">
        <v>40594010891953.406</v>
      </c>
      <c r="BA108">
        <v>42772124664219.445</v>
      </c>
      <c r="BB108">
        <v>43802431525927.563</v>
      </c>
      <c r="BC108">
        <v>46967783671438.039</v>
      </c>
      <c r="BD108">
        <v>49694722221329.57</v>
      </c>
      <c r="BE108">
        <v>52234415695361.906</v>
      </c>
      <c r="BF108">
        <v>54830958733522.148</v>
      </c>
      <c r="BG108">
        <v>57388487443099.617</v>
      </c>
      <c r="BH108">
        <v>59831421638749.891</v>
      </c>
      <c r="BI108">
        <v>62551955561516.469</v>
      </c>
      <c r="BJ108">
        <v>65716809084861.758</v>
      </c>
      <c r="BK108">
        <v>68869592679761.344</v>
      </c>
      <c r="BL108">
        <v>71486435066506.297</v>
      </c>
      <c r="BM108">
        <v>70205048078169.008</v>
      </c>
      <c r="BN108">
        <v>75054162128141.422</v>
      </c>
      <c r="BO108" s="188">
        <v>77841211356518.609</v>
      </c>
    </row>
    <row r="109" spans="1:67">
      <c r="A109" t="s">
        <v>694</v>
      </c>
      <c r="B109" t="s">
        <v>695</v>
      </c>
      <c r="C109" t="s">
        <v>486</v>
      </c>
      <c r="D109" t="s">
        <v>487</v>
      </c>
      <c r="AI109">
        <v>1937594615719.8894</v>
      </c>
      <c r="AJ109">
        <v>1974751526640.7903</v>
      </c>
      <c r="AK109">
        <v>2015392908074.9021</v>
      </c>
      <c r="AL109">
        <v>2037241707693.7249</v>
      </c>
      <c r="AM109">
        <v>2056103523846.2917</v>
      </c>
      <c r="AN109">
        <v>2133853428439.7498</v>
      </c>
      <c r="AO109">
        <v>2235121524959.8174</v>
      </c>
      <c r="AP109">
        <v>2320635606420.3994</v>
      </c>
      <c r="AQ109">
        <v>2397995940110.4375</v>
      </c>
      <c r="AR109">
        <v>2477269074019.2104</v>
      </c>
      <c r="AS109">
        <v>2578516469335.2969</v>
      </c>
      <c r="AT109">
        <v>2688594736189.0601</v>
      </c>
      <c r="AU109">
        <v>2821078293693.2524</v>
      </c>
      <c r="AV109">
        <v>2966441870938.2153</v>
      </c>
      <c r="AW109">
        <v>3165913529553.9492</v>
      </c>
      <c r="AX109">
        <v>3362843460985.5542</v>
      </c>
      <c r="AY109">
        <v>3575420838883.1147</v>
      </c>
      <c r="AZ109">
        <v>3796964361361.1025</v>
      </c>
      <c r="BA109">
        <v>3987740297467.439</v>
      </c>
      <c r="BB109">
        <v>4176219811208.4878</v>
      </c>
      <c r="BC109">
        <v>4423546774590.9619</v>
      </c>
      <c r="BD109">
        <v>4642039412556.4268</v>
      </c>
      <c r="BE109">
        <v>4850925792228.1377</v>
      </c>
      <c r="BF109">
        <v>5123229319938.9404</v>
      </c>
      <c r="BG109">
        <v>5423984700532.6895</v>
      </c>
      <c r="BH109">
        <v>5670591428464.707</v>
      </c>
      <c r="BI109">
        <v>5907857077706.6416</v>
      </c>
      <c r="BJ109">
        <v>6173034232106.7695</v>
      </c>
      <c r="BK109">
        <v>6464641159122.6357</v>
      </c>
      <c r="BL109">
        <v>6734005040846.832</v>
      </c>
      <c r="BM109">
        <v>6725125603872.9463</v>
      </c>
      <c r="BN109">
        <v>7001590586351.6924</v>
      </c>
      <c r="BO109" s="188">
        <v>7321817704364.3125</v>
      </c>
    </row>
    <row r="110" spans="1:67">
      <c r="A110" t="s">
        <v>696</v>
      </c>
      <c r="B110" t="s">
        <v>697</v>
      </c>
      <c r="C110" t="s">
        <v>486</v>
      </c>
      <c r="D110" t="s">
        <v>487</v>
      </c>
      <c r="AI110">
        <v>925513052959.43884</v>
      </c>
      <c r="AJ110">
        <v>946629190313.17688</v>
      </c>
      <c r="AK110">
        <v>979566509739.74536</v>
      </c>
      <c r="AL110">
        <v>978744812673.43542</v>
      </c>
      <c r="AM110">
        <v>990991288823.72937</v>
      </c>
      <c r="AN110">
        <v>1016447003211.3409</v>
      </c>
      <c r="AO110">
        <v>1062906607586.5474</v>
      </c>
      <c r="AP110">
        <v>1082700358491.0875</v>
      </c>
      <c r="AQ110">
        <v>1112487007830.1597</v>
      </c>
      <c r="AR110">
        <v>1139852605277.8328</v>
      </c>
      <c r="AS110">
        <v>1183218819381.1995</v>
      </c>
      <c r="AT110">
        <v>1233486949106.0095</v>
      </c>
      <c r="AU110">
        <v>1309752813007.2722</v>
      </c>
      <c r="AV110">
        <v>1379226145698.5918</v>
      </c>
      <c r="AW110">
        <v>1483199785119.9456</v>
      </c>
      <c r="AX110">
        <v>1573364236634.1555</v>
      </c>
      <c r="AY110">
        <v>1665596477268.9519</v>
      </c>
      <c r="AZ110">
        <v>1760029029272.0601</v>
      </c>
      <c r="BA110">
        <v>1825375127806.6941</v>
      </c>
      <c r="BB110">
        <v>1922069940251.5042</v>
      </c>
      <c r="BC110">
        <v>2024807757636.8774</v>
      </c>
      <c r="BD110">
        <v>2113615730506.7168</v>
      </c>
      <c r="BE110">
        <v>2206174473322.7119</v>
      </c>
      <c r="BF110">
        <v>2324621331314.8145</v>
      </c>
      <c r="BG110">
        <v>2455261823831.73</v>
      </c>
      <c r="BH110">
        <v>2554130952891.583</v>
      </c>
      <c r="BI110">
        <v>2615101614599.5635</v>
      </c>
      <c r="BJ110">
        <v>2690529933815.0029</v>
      </c>
      <c r="BK110">
        <v>2804588897821.6572</v>
      </c>
      <c r="BL110">
        <v>2884162334171.313</v>
      </c>
      <c r="BM110">
        <v>2847879861846.1191</v>
      </c>
      <c r="BN110">
        <v>3001377499918.5806</v>
      </c>
      <c r="BO110" s="188">
        <v>3146421488456.187</v>
      </c>
    </row>
    <row r="111" spans="1:67">
      <c r="A111" t="s">
        <v>698</v>
      </c>
      <c r="B111" t="s">
        <v>699</v>
      </c>
      <c r="C111" t="s">
        <v>486</v>
      </c>
      <c r="D111" t="s">
        <v>487</v>
      </c>
      <c r="AI111">
        <v>823312134708.35547</v>
      </c>
      <c r="AJ111">
        <v>879098261926.20239</v>
      </c>
      <c r="AK111">
        <v>936217728784.17151</v>
      </c>
      <c r="AL111">
        <v>997038253342.02759</v>
      </c>
      <c r="AM111">
        <v>1072214649455.2379</v>
      </c>
      <c r="AN111">
        <v>1160350772973.9949</v>
      </c>
      <c r="AO111">
        <v>1251069167151.137</v>
      </c>
      <c r="AP111">
        <v>1309867902385.7856</v>
      </c>
      <c r="AQ111">
        <v>1137925138526.7837</v>
      </c>
      <c r="AR111">
        <v>1146927561091.2866</v>
      </c>
      <c r="AS111">
        <v>1203357174106.1865</v>
      </c>
      <c r="AT111">
        <v>1247201088984.8989</v>
      </c>
      <c r="AU111">
        <v>1303318595058.283</v>
      </c>
      <c r="AV111">
        <v>1365622034733.5176</v>
      </c>
      <c r="AW111">
        <v>1434324757866.3352</v>
      </c>
      <c r="AX111">
        <v>1515974717436.4185</v>
      </c>
      <c r="AY111">
        <v>1599367755718.4709</v>
      </c>
      <c r="AZ111">
        <v>1700847995305.0352</v>
      </c>
      <c r="BA111">
        <v>1803131952430.7737</v>
      </c>
      <c r="BB111">
        <v>1886596607760.4006</v>
      </c>
      <c r="BC111">
        <v>2004015629604.0007</v>
      </c>
      <c r="BD111">
        <v>2127659069439.3501</v>
      </c>
      <c r="BE111">
        <v>2255957989050.8857</v>
      </c>
      <c r="BF111">
        <v>2381327523213.4771</v>
      </c>
      <c r="BG111">
        <v>2500552696432.0195</v>
      </c>
      <c r="BH111">
        <v>2622487705196.9175</v>
      </c>
      <c r="BI111">
        <v>2754479325709.9487</v>
      </c>
      <c r="BJ111">
        <v>2894125530220.3696</v>
      </c>
      <c r="BK111">
        <v>3043876022674.5259</v>
      </c>
      <c r="BL111">
        <v>3196656916889.1904</v>
      </c>
      <c r="BM111">
        <v>3130629590127.3765</v>
      </c>
      <c r="BN111">
        <v>3246558536869.5771</v>
      </c>
      <c r="BO111" s="188">
        <v>3418905181206.3936</v>
      </c>
    </row>
    <row r="112" spans="1:67">
      <c r="A112" t="s">
        <v>700</v>
      </c>
      <c r="B112" t="s">
        <v>701</v>
      </c>
      <c r="C112" t="s">
        <v>486</v>
      </c>
      <c r="D112" t="s">
        <v>487</v>
      </c>
      <c r="AI112">
        <v>1011903420383.684</v>
      </c>
      <c r="AJ112">
        <v>1027579394471.8206</v>
      </c>
      <c r="AK112">
        <v>1033828437528.7408</v>
      </c>
      <c r="AL112">
        <v>1057704994303.6067</v>
      </c>
      <c r="AM112">
        <v>1064035115432.1555</v>
      </c>
      <c r="AN112">
        <v>1117337193500.7188</v>
      </c>
      <c r="AO112">
        <v>1172292544352.5464</v>
      </c>
      <c r="AP112">
        <v>1239777637666.927</v>
      </c>
      <c r="AQ112">
        <v>1287945024868.6733</v>
      </c>
      <c r="AR112">
        <v>1340727467693.7681</v>
      </c>
      <c r="AS112">
        <v>1399015783847.646</v>
      </c>
      <c r="AT112">
        <v>1459004687426.376</v>
      </c>
      <c r="AU112">
        <v>1514148118838.2268</v>
      </c>
      <c r="AV112">
        <v>1590061963933.8164</v>
      </c>
      <c r="AW112">
        <v>1685061948565.9548</v>
      </c>
      <c r="AX112">
        <v>1792102119950.9807</v>
      </c>
      <c r="AY112">
        <v>1913056629483.7434</v>
      </c>
      <c r="AZ112">
        <v>2040906412055.6138</v>
      </c>
      <c r="BA112">
        <v>2167952924964.3994</v>
      </c>
      <c r="BB112">
        <v>2259428271267.562</v>
      </c>
      <c r="BC112">
        <v>2404940541232.7808</v>
      </c>
      <c r="BD112">
        <v>2535548162411.2368</v>
      </c>
      <c r="BE112">
        <v>2652336827896.5845</v>
      </c>
      <c r="BF112">
        <v>2806916262670.0576</v>
      </c>
      <c r="BG112">
        <v>2977805045153.2539</v>
      </c>
      <c r="BH112">
        <v>3126582550538.8496</v>
      </c>
      <c r="BI112">
        <v>3305555995240.4072</v>
      </c>
      <c r="BJ112">
        <v>3497940459674.1445</v>
      </c>
      <c r="BK112">
        <v>3676858184622.2271</v>
      </c>
      <c r="BL112">
        <v>3869180732281.5674</v>
      </c>
      <c r="BM112">
        <v>3898153964924.2515</v>
      </c>
      <c r="BN112">
        <v>4020191370113.688</v>
      </c>
      <c r="BO112" s="188">
        <v>4195754759428.4502</v>
      </c>
    </row>
    <row r="113" spans="1:67">
      <c r="A113" t="s">
        <v>702</v>
      </c>
      <c r="B113" t="s">
        <v>703</v>
      </c>
      <c r="C113" t="s">
        <v>486</v>
      </c>
      <c r="D113" t="s">
        <v>487</v>
      </c>
    </row>
    <row r="114" spans="1:67">
      <c r="A114" t="s">
        <v>704</v>
      </c>
      <c r="B114" t="s">
        <v>705</v>
      </c>
      <c r="C114" t="s">
        <v>486</v>
      </c>
      <c r="D114" t="s">
        <v>487</v>
      </c>
      <c r="AI114">
        <v>1583371286866.2986</v>
      </c>
      <c r="AJ114">
        <v>1600104852332.8547</v>
      </c>
      <c r="AK114">
        <v>1687828937099.707</v>
      </c>
      <c r="AL114">
        <v>1768013912871.8511</v>
      </c>
      <c r="AM114">
        <v>1885744616829.9988</v>
      </c>
      <c r="AN114">
        <v>2028580188961.1323</v>
      </c>
      <c r="AO114">
        <v>2181728301661.9038</v>
      </c>
      <c r="AP114">
        <v>2270084389293.1611</v>
      </c>
      <c r="AQ114">
        <v>2410475847412.5293</v>
      </c>
      <c r="AR114">
        <v>2623700648732.9131</v>
      </c>
      <c r="AS114">
        <v>2724476758631.9858</v>
      </c>
      <c r="AT114">
        <v>2855904598336.3638</v>
      </c>
      <c r="AU114">
        <v>2964542504459.1152</v>
      </c>
      <c r="AV114">
        <v>3197566854313.9092</v>
      </c>
      <c r="AW114">
        <v>3450908049335.1826</v>
      </c>
      <c r="AX114">
        <v>3724338354435.9331</v>
      </c>
      <c r="AY114">
        <v>4024547309301.9014</v>
      </c>
      <c r="AZ114">
        <v>4332860435872.936</v>
      </c>
      <c r="BA114">
        <v>4466602754869.2949</v>
      </c>
      <c r="BB114">
        <v>4817762098070.3965</v>
      </c>
      <c r="BC114">
        <v>5227155513074.5967</v>
      </c>
      <c r="BD114">
        <v>5501127199128.2295</v>
      </c>
      <c r="BE114">
        <v>5801290084908.2363</v>
      </c>
      <c r="BF114">
        <v>6171766642358.1367</v>
      </c>
      <c r="BG114">
        <v>6629108597811.8066</v>
      </c>
      <c r="BH114">
        <v>7159188945023.4727</v>
      </c>
      <c r="BI114">
        <v>7750273455775.0498</v>
      </c>
      <c r="BJ114">
        <v>8276934253114.3262</v>
      </c>
      <c r="BK114">
        <v>8811115285731.8633</v>
      </c>
      <c r="BL114">
        <v>9152232057791.666</v>
      </c>
      <c r="BM114">
        <v>8618560535655.3721</v>
      </c>
      <c r="BN114">
        <v>9398564215779.0332</v>
      </c>
      <c r="BO114" s="188">
        <v>10056741113685.605</v>
      </c>
    </row>
    <row r="115" spans="1:67">
      <c r="A115" t="s">
        <v>706</v>
      </c>
      <c r="B115" t="s">
        <v>707</v>
      </c>
      <c r="C115" t="s">
        <v>486</v>
      </c>
      <c r="D115" t="s">
        <v>487</v>
      </c>
    </row>
    <row r="116" spans="1:67">
      <c r="A116" t="s">
        <v>708</v>
      </c>
      <c r="B116" t="s">
        <v>709</v>
      </c>
      <c r="C116" t="s">
        <v>486</v>
      </c>
      <c r="D116" t="s">
        <v>487</v>
      </c>
      <c r="AI116">
        <v>94109943097.081116</v>
      </c>
      <c r="AJ116">
        <v>95925925544.257004</v>
      </c>
      <c r="AK116">
        <v>99132992154.783279</v>
      </c>
      <c r="AL116">
        <v>101802256516.63306</v>
      </c>
      <c r="AM116">
        <v>107661818342.35461</v>
      </c>
      <c r="AN116">
        <v>118034412332.77245</v>
      </c>
      <c r="AO116">
        <v>126744908548.59695</v>
      </c>
      <c r="AP116">
        <v>140714434504.29858</v>
      </c>
      <c r="AQ116">
        <v>153049633940.74014</v>
      </c>
      <c r="AR116">
        <v>169165586313.08881</v>
      </c>
      <c r="AS116">
        <v>185073113907.98904</v>
      </c>
      <c r="AT116">
        <v>194892761887.41754</v>
      </c>
      <c r="AU116">
        <v>206390198753.21106</v>
      </c>
      <c r="AV116">
        <v>212610465154.20355</v>
      </c>
      <c r="AW116">
        <v>227042761618.00122</v>
      </c>
      <c r="AX116">
        <v>240074521565.02921</v>
      </c>
      <c r="AY116">
        <v>252049086927.88657</v>
      </c>
      <c r="AZ116">
        <v>265433191231.98645</v>
      </c>
      <c r="BA116">
        <v>253530979827.46213</v>
      </c>
      <c r="BB116">
        <v>240611591878.01245</v>
      </c>
      <c r="BC116">
        <v>244661016487.31369</v>
      </c>
      <c r="BD116">
        <v>246701073804.54657</v>
      </c>
      <c r="BE116">
        <v>246687401604.71344</v>
      </c>
      <c r="BF116">
        <v>249464336142.56006</v>
      </c>
      <c r="BG116">
        <v>271041381216.39221</v>
      </c>
      <c r="BH116">
        <v>337095372914.35394</v>
      </c>
      <c r="BI116">
        <v>343859711086.74786</v>
      </c>
      <c r="BJ116">
        <v>374825455529.61145</v>
      </c>
      <c r="BK116">
        <v>406788851395.71869</v>
      </c>
      <c r="BL116">
        <v>428921977882.82703</v>
      </c>
      <c r="BM116">
        <v>455448820761.83337</v>
      </c>
      <c r="BN116">
        <v>517336331977.2179</v>
      </c>
      <c r="BO116" s="188">
        <v>579259319641.37256</v>
      </c>
    </row>
    <row r="117" spans="1:67">
      <c r="A117" t="s">
        <v>710</v>
      </c>
      <c r="B117" t="s">
        <v>711</v>
      </c>
      <c r="C117" t="s">
        <v>486</v>
      </c>
      <c r="D117" t="s">
        <v>487</v>
      </c>
      <c r="AI117">
        <v>526817288332.10687</v>
      </c>
      <c r="AJ117">
        <v>593808156736.69617</v>
      </c>
      <c r="AK117">
        <v>613391842382.86462</v>
      </c>
      <c r="AL117">
        <v>604368777950.6394</v>
      </c>
      <c r="AM117">
        <v>594104866886.57703</v>
      </c>
      <c r="AN117">
        <v>608369589427.31506</v>
      </c>
      <c r="AO117">
        <v>647004258493.97302</v>
      </c>
      <c r="AP117">
        <v>655741399305.36865</v>
      </c>
      <c r="AQ117">
        <v>669380897659.03723</v>
      </c>
      <c r="AR117">
        <v>682786563677.76111</v>
      </c>
      <c r="AS117">
        <v>722699039858.49377</v>
      </c>
      <c r="AT117">
        <v>739987249080.44067</v>
      </c>
      <c r="AU117">
        <v>799769555625.58325</v>
      </c>
      <c r="AV117">
        <v>868864034026.04138</v>
      </c>
      <c r="AW117">
        <v>906543764989.16296</v>
      </c>
      <c r="AX117">
        <v>935460735057.84741</v>
      </c>
      <c r="AY117">
        <v>982231856565.37891</v>
      </c>
      <c r="AZ117">
        <v>1062340462263.3588</v>
      </c>
      <c r="BA117">
        <v>1065005412933.3657</v>
      </c>
      <c r="BB117">
        <v>1075734122589.1549</v>
      </c>
      <c r="BC117">
        <v>1138104523307.1655</v>
      </c>
      <c r="BD117">
        <v>1168215558606.5835</v>
      </c>
      <c r="BE117">
        <v>1124440519319.9985</v>
      </c>
      <c r="BF117">
        <v>1107326768444.0105</v>
      </c>
      <c r="BG117">
        <v>1162524517108.6755</v>
      </c>
      <c r="BH117">
        <v>1145959880347.8533</v>
      </c>
      <c r="BI117">
        <v>1246977236689.0144</v>
      </c>
      <c r="BJ117">
        <v>1281375169176.8723</v>
      </c>
      <c r="BK117">
        <v>1252494720571.4412</v>
      </c>
      <c r="BL117">
        <v>1219200822468.6052</v>
      </c>
      <c r="BM117">
        <v>1259803726754.5525</v>
      </c>
      <c r="BN117">
        <v>1319263662511.4236</v>
      </c>
      <c r="BO117" s="188">
        <v>1355532412428.4043</v>
      </c>
    </row>
    <row r="118" spans="1:67">
      <c r="A118" t="s">
        <v>712</v>
      </c>
      <c r="B118" t="s">
        <v>713</v>
      </c>
      <c r="C118" t="s">
        <v>486</v>
      </c>
      <c r="D118" t="s">
        <v>487</v>
      </c>
      <c r="AI118">
        <v>131545608736.11133</v>
      </c>
      <c r="AJ118">
        <v>47294451990.015892</v>
      </c>
      <c r="AK118">
        <v>62708759666.739227</v>
      </c>
      <c r="AL118">
        <v>81703136045.814041</v>
      </c>
      <c r="AM118">
        <v>84852409936.604614</v>
      </c>
      <c r="AN118">
        <v>86651299268.447388</v>
      </c>
      <c r="AO118">
        <v>96200953218.778976</v>
      </c>
      <c r="AP118">
        <v>116632050218.73869</v>
      </c>
      <c r="AQ118">
        <v>157286594920.79269</v>
      </c>
      <c r="AR118">
        <v>184941142437.50403</v>
      </c>
      <c r="AS118">
        <v>216236264275.53644</v>
      </c>
      <c r="AT118">
        <v>220045223016.11859</v>
      </c>
      <c r="AU118">
        <v>202004881798.63696</v>
      </c>
      <c r="AV118">
        <v>127953623818.27988</v>
      </c>
      <c r="AW118">
        <v>196257563934.0864</v>
      </c>
      <c r="AX118">
        <v>199538773778.89792</v>
      </c>
      <c r="AY118">
        <v>210805327175.4545</v>
      </c>
      <c r="AZ118">
        <v>214780213696.35208</v>
      </c>
      <c r="BA118">
        <v>232452559717.12888</v>
      </c>
      <c r="BB118">
        <v>240307826962.62387</v>
      </c>
      <c r="BC118">
        <v>255693691410.82404</v>
      </c>
      <c r="BD118">
        <v>274989542194.44794</v>
      </c>
      <c r="BE118">
        <v>313313267727.50214</v>
      </c>
      <c r="BF118">
        <v>337214593387.2406</v>
      </c>
      <c r="BG118">
        <v>337878962485.98273</v>
      </c>
      <c r="BH118">
        <v>353836526432.46747</v>
      </c>
      <c r="BI118">
        <v>402621288208.15448</v>
      </c>
      <c r="BJ118">
        <v>395294585902.04865</v>
      </c>
      <c r="BK118">
        <v>405706056270.42145</v>
      </c>
      <c r="BL118">
        <v>428075838564.98114</v>
      </c>
      <c r="BM118">
        <v>376549235595.29663</v>
      </c>
      <c r="BN118">
        <v>382511491200.30206</v>
      </c>
      <c r="BO118" s="188">
        <v>409320747067.00964</v>
      </c>
    </row>
    <row r="119" spans="1:67">
      <c r="A119" t="s">
        <v>714</v>
      </c>
      <c r="B119" t="s">
        <v>715</v>
      </c>
      <c r="C119" t="s">
        <v>486</v>
      </c>
      <c r="D119" t="s">
        <v>487</v>
      </c>
      <c r="AN119">
        <v>9004625965.7755184</v>
      </c>
      <c r="AO119">
        <v>9415878362.160635</v>
      </c>
      <c r="AP119">
        <v>9959326367.6273365</v>
      </c>
      <c r="AQ119">
        <v>10692611744.373917</v>
      </c>
      <c r="AR119">
        <v>11124050451.272087</v>
      </c>
      <c r="AS119">
        <v>11678589124.046999</v>
      </c>
      <c r="AT119">
        <v>12147309012.968252</v>
      </c>
      <c r="AU119">
        <v>12215275524.846241</v>
      </c>
      <c r="AV119">
        <v>12477010813.939533</v>
      </c>
      <c r="AW119">
        <v>13450517044.241495</v>
      </c>
      <c r="AX119">
        <v>14274285751.138197</v>
      </c>
      <c r="AY119">
        <v>15175991395.166401</v>
      </c>
      <c r="AZ119">
        <v>16459100235.828373</v>
      </c>
      <c r="BA119">
        <v>16822763466.109154</v>
      </c>
      <c r="BB119">
        <v>15533498911.293642</v>
      </c>
      <c r="BC119">
        <v>15093469850.649256</v>
      </c>
      <c r="BD119">
        <v>15372061971.106237</v>
      </c>
      <c r="BE119">
        <v>15535564849.548922</v>
      </c>
      <c r="BF119">
        <v>16242815274.835976</v>
      </c>
      <c r="BG119">
        <v>16516866493.418831</v>
      </c>
      <c r="BH119">
        <v>17249664316.709408</v>
      </c>
      <c r="BI119">
        <v>18337029182.156651</v>
      </c>
      <c r="BJ119">
        <v>19106258173.12228</v>
      </c>
      <c r="BK119">
        <v>20040396188.051846</v>
      </c>
      <c r="BL119">
        <v>20402157612.748112</v>
      </c>
      <c r="BM119">
        <v>18924659466.183029</v>
      </c>
      <c r="BN119">
        <v>19744741040.27137</v>
      </c>
      <c r="BO119" s="188">
        <v>21017203972.256615</v>
      </c>
    </row>
    <row r="120" spans="1:67">
      <c r="A120" t="s">
        <v>716</v>
      </c>
      <c r="B120" t="s">
        <v>717</v>
      </c>
      <c r="C120" t="s">
        <v>486</v>
      </c>
      <c r="D120" t="s">
        <v>487</v>
      </c>
      <c r="AN120">
        <v>149112952304.40671</v>
      </c>
      <c r="AO120">
        <v>157952802233.17331</v>
      </c>
      <c r="AP120">
        <v>163939927937.69867</v>
      </c>
      <c r="AQ120">
        <v>170686965951.3927</v>
      </c>
      <c r="AR120">
        <v>176371682599.98831</v>
      </c>
      <c r="AS120">
        <v>191666026921.28934</v>
      </c>
      <c r="AT120">
        <v>192306326850.6832</v>
      </c>
      <c r="AU120">
        <v>192086672779.72888</v>
      </c>
      <c r="AV120">
        <v>194764193813.82117</v>
      </c>
      <c r="AW120">
        <v>204082623224.85764</v>
      </c>
      <c r="AX120">
        <v>212519555234.37616</v>
      </c>
      <c r="AY120">
        <v>224383816351.74438</v>
      </c>
      <c r="AZ120">
        <v>237921371210.29581</v>
      </c>
      <c r="BA120">
        <v>245656583658.57587</v>
      </c>
      <c r="BB120">
        <v>247826027047.0007</v>
      </c>
      <c r="BC120">
        <v>261874082856.26907</v>
      </c>
      <c r="BD120">
        <v>276437264807.61792</v>
      </c>
      <c r="BE120">
        <v>283590504316.22803</v>
      </c>
      <c r="BF120">
        <v>296112447535.9679</v>
      </c>
      <c r="BG120">
        <v>307717470100.30646</v>
      </c>
      <c r="BH120">
        <v>315366791867.84735</v>
      </c>
      <c r="BI120">
        <v>329626669996.25085</v>
      </c>
      <c r="BJ120">
        <v>343723470819.2406</v>
      </c>
      <c r="BK120">
        <v>357714122484.26355</v>
      </c>
      <c r="BL120">
        <v>372581215020.76892</v>
      </c>
      <c r="BM120">
        <v>365661304061.92725</v>
      </c>
      <c r="BN120">
        <v>397152020275.82953</v>
      </c>
      <c r="BO120" s="188">
        <v>422826581615.05768</v>
      </c>
    </row>
    <row r="121" spans="1:67">
      <c r="A121" t="s">
        <v>718</v>
      </c>
      <c r="B121" t="s">
        <v>719</v>
      </c>
      <c r="C121" t="s">
        <v>486</v>
      </c>
      <c r="D121" t="s">
        <v>487</v>
      </c>
      <c r="AI121">
        <v>2075111958974.2942</v>
      </c>
      <c r="AJ121">
        <v>2107036468228.0479</v>
      </c>
      <c r="AK121">
        <v>2124614956279.9246</v>
      </c>
      <c r="AL121">
        <v>2106496117473.5356</v>
      </c>
      <c r="AM121">
        <v>2151807346894.4844</v>
      </c>
      <c r="AN121">
        <v>2213926512372.7803</v>
      </c>
      <c r="AO121">
        <v>2241972196957.1333</v>
      </c>
      <c r="AP121">
        <v>2283005046386.1289</v>
      </c>
      <c r="AQ121">
        <v>2324341481904.6782</v>
      </c>
      <c r="AR121">
        <v>2362128942879.25</v>
      </c>
      <c r="AS121">
        <v>2451581706371.5713</v>
      </c>
      <c r="AT121">
        <v>2499421174463.0898</v>
      </c>
      <c r="AU121">
        <v>2505768279550.374</v>
      </c>
      <c r="AV121">
        <v>2509241948206.3784</v>
      </c>
      <c r="AW121">
        <v>2544963369995.6235</v>
      </c>
      <c r="AX121">
        <v>2565777326796.9165</v>
      </c>
      <c r="AY121">
        <v>2611721153731.9722</v>
      </c>
      <c r="AZ121">
        <v>2650559353331.6719</v>
      </c>
      <c r="BA121">
        <v>2625060632005.4453</v>
      </c>
      <c r="BB121">
        <v>2486432828349.6157</v>
      </c>
      <c r="BC121">
        <v>2529032778541.4673</v>
      </c>
      <c r="BD121">
        <v>2546921470741.5229</v>
      </c>
      <c r="BE121">
        <v>2471000141707.7036</v>
      </c>
      <c r="BF121">
        <v>2425507411807.4663</v>
      </c>
      <c r="BG121">
        <v>2425397110830.3765</v>
      </c>
      <c r="BH121">
        <v>2444274082066.1235</v>
      </c>
      <c r="BI121">
        <v>2475889856374.8066</v>
      </c>
      <c r="BJ121">
        <v>2517184209191.2534</v>
      </c>
      <c r="BK121">
        <v>2540488576005.3911</v>
      </c>
      <c r="BL121">
        <v>2552764174037.9927</v>
      </c>
      <c r="BM121">
        <v>2323548259884.6973</v>
      </c>
      <c r="BN121">
        <v>2485889149370.1724</v>
      </c>
      <c r="BO121" s="188">
        <v>2577237701677.5601</v>
      </c>
    </row>
    <row r="122" spans="1:67">
      <c r="A122" t="s">
        <v>720</v>
      </c>
      <c r="B122" t="s">
        <v>721</v>
      </c>
      <c r="C122" t="s">
        <v>486</v>
      </c>
      <c r="D122" t="s">
        <v>487</v>
      </c>
      <c r="AI122">
        <v>20792726120.993179</v>
      </c>
      <c r="AJ122">
        <v>21798727854.034992</v>
      </c>
      <c r="AK122">
        <v>22225011242.214153</v>
      </c>
      <c r="AL122">
        <v>24317963346.440197</v>
      </c>
      <c r="AM122">
        <v>24654375571.608047</v>
      </c>
      <c r="AN122">
        <v>25233742806.385551</v>
      </c>
      <c r="AO122">
        <v>25205044166.343758</v>
      </c>
      <c r="AP122">
        <v>24917590751.817348</v>
      </c>
      <c r="AQ122">
        <v>24335876253.99633</v>
      </c>
      <c r="AR122">
        <v>24590836870.724564</v>
      </c>
      <c r="AS122">
        <v>24806917426.781258</v>
      </c>
      <c r="AT122">
        <v>25140552993.16291</v>
      </c>
      <c r="AU122">
        <v>25642682981.384861</v>
      </c>
      <c r="AV122">
        <v>26582825178.794796</v>
      </c>
      <c r="AW122">
        <v>26934708707.916676</v>
      </c>
      <c r="AX122">
        <v>27175450578.400833</v>
      </c>
      <c r="AY122">
        <v>27963300954.984203</v>
      </c>
      <c r="AZ122">
        <v>28363722571.790016</v>
      </c>
      <c r="BA122">
        <v>28133483825.258049</v>
      </c>
      <c r="BB122">
        <v>26910999029.894062</v>
      </c>
      <c r="BC122">
        <v>26518866158.48811</v>
      </c>
      <c r="BD122">
        <v>26977742324.896515</v>
      </c>
      <c r="BE122">
        <v>26812197175.247921</v>
      </c>
      <c r="BF122">
        <v>26951000169.74918</v>
      </c>
      <c r="BG122">
        <v>27136914194.4561</v>
      </c>
      <c r="BH122">
        <v>27386977364.983521</v>
      </c>
      <c r="BI122">
        <v>27763609394.363953</v>
      </c>
      <c r="BJ122">
        <v>28040446746.571812</v>
      </c>
      <c r="BK122">
        <v>28570389789.952591</v>
      </c>
      <c r="BL122">
        <v>28825320993.512817</v>
      </c>
      <c r="BM122">
        <v>25971614215.155048</v>
      </c>
      <c r="BN122">
        <v>27166308469.052181</v>
      </c>
      <c r="BO122" s="188">
        <v>28307293424.752373</v>
      </c>
    </row>
    <row r="123" spans="1:67">
      <c r="A123" t="s">
        <v>722</v>
      </c>
      <c r="B123" t="s">
        <v>723</v>
      </c>
      <c r="C123" t="s">
        <v>486</v>
      </c>
      <c r="D123" t="s">
        <v>487</v>
      </c>
      <c r="AI123">
        <v>28288911271.185154</v>
      </c>
      <c r="AJ123">
        <v>28743947197.508625</v>
      </c>
      <c r="AK123">
        <v>32868639251.066235</v>
      </c>
      <c r="AL123">
        <v>34343451735.039825</v>
      </c>
      <c r="AM123">
        <v>36050828435.902039</v>
      </c>
      <c r="AN123">
        <v>38286295043.139778</v>
      </c>
      <c r="AO123">
        <v>39085337977.22554</v>
      </c>
      <c r="AP123">
        <v>40378466762.582916</v>
      </c>
      <c r="AQ123">
        <v>41594735911.234184</v>
      </c>
      <c r="AR123">
        <v>43004602293.649612</v>
      </c>
      <c r="AS123">
        <v>44830453819.720192</v>
      </c>
      <c r="AT123">
        <v>47192999716.760254</v>
      </c>
      <c r="AU123">
        <v>49922552175.269615</v>
      </c>
      <c r="AV123">
        <v>52000162831.997444</v>
      </c>
      <c r="AW123">
        <v>56455128188.195396</v>
      </c>
      <c r="AX123">
        <v>61054298731.605019</v>
      </c>
      <c r="AY123">
        <v>65995408034.18293</v>
      </c>
      <c r="AZ123">
        <v>71391304755.604248</v>
      </c>
      <c r="BA123">
        <v>76546032795.542999</v>
      </c>
      <c r="BB123">
        <v>80391483555.365356</v>
      </c>
      <c r="BC123">
        <v>82252413127.177475</v>
      </c>
      <c r="BD123">
        <v>84503809635.308258</v>
      </c>
      <c r="BE123">
        <v>86556709695.835449</v>
      </c>
      <c r="BF123">
        <v>88815794268.849213</v>
      </c>
      <c r="BG123">
        <v>91821390111.451523</v>
      </c>
      <c r="BH123">
        <v>94113737553.856216</v>
      </c>
      <c r="BI123">
        <v>95990535684.716812</v>
      </c>
      <c r="BJ123">
        <v>98364955803.89946</v>
      </c>
      <c r="BK123">
        <v>100252650754.25232</v>
      </c>
      <c r="BL123">
        <v>102008315009.55974</v>
      </c>
      <c r="BM123">
        <v>100369412413.5809</v>
      </c>
      <c r="BN123">
        <v>102600623726.89442</v>
      </c>
      <c r="BO123" s="188">
        <v>105169534433.99734</v>
      </c>
    </row>
    <row r="124" spans="1:67">
      <c r="A124" t="s">
        <v>724</v>
      </c>
      <c r="B124" t="s">
        <v>725</v>
      </c>
      <c r="C124" t="s">
        <v>486</v>
      </c>
      <c r="D124" t="s">
        <v>487</v>
      </c>
      <c r="AI124">
        <v>4055806495896.0078</v>
      </c>
      <c r="AJ124">
        <v>4198707047520.2363</v>
      </c>
      <c r="AK124">
        <v>4236520018157.498</v>
      </c>
      <c r="AL124">
        <v>4217065082955.4429</v>
      </c>
      <c r="AM124">
        <v>4262752056513.4399</v>
      </c>
      <c r="AN124">
        <v>4374905046770.4795</v>
      </c>
      <c r="AO124">
        <v>4512008926993.957</v>
      </c>
      <c r="AP124">
        <v>4556282054981.9922</v>
      </c>
      <c r="AQ124">
        <v>4498402214615.7568</v>
      </c>
      <c r="AR124">
        <v>4483380702001.1816</v>
      </c>
      <c r="AS124">
        <v>4607330376800.6328</v>
      </c>
      <c r="AT124">
        <v>4625119437239.3135</v>
      </c>
      <c r="AU124">
        <v>4627060252951.3711</v>
      </c>
      <c r="AV124">
        <v>4698091434761.4824</v>
      </c>
      <c r="AW124">
        <v>4800797148955.0811</v>
      </c>
      <c r="AX124">
        <v>4887398770601.1719</v>
      </c>
      <c r="AY124">
        <v>4954470993866.834</v>
      </c>
      <c r="AZ124">
        <v>5027993827924.1426</v>
      </c>
      <c r="BA124">
        <v>4966436652531.5703</v>
      </c>
      <c r="BB124">
        <v>4683685675291.748</v>
      </c>
      <c r="BC124">
        <v>4875619269863.2793</v>
      </c>
      <c r="BD124">
        <v>4876780131592.5078</v>
      </c>
      <c r="BE124">
        <v>4943823715180.7891</v>
      </c>
      <c r="BF124">
        <v>5042952333233.2041</v>
      </c>
      <c r="BG124">
        <v>5057889836119.8242</v>
      </c>
      <c r="BH124">
        <v>5136824615194.4668</v>
      </c>
      <c r="BI124">
        <v>5175547373033.959</v>
      </c>
      <c r="BJ124">
        <v>5262254961496.8623</v>
      </c>
      <c r="BK124">
        <v>5296111837550.7295</v>
      </c>
      <c r="BL124">
        <v>5274812506894.3018</v>
      </c>
      <c r="BM124">
        <v>5049124184458.2451</v>
      </c>
      <c r="BN124">
        <v>5157301032356.7676</v>
      </c>
      <c r="BO124" s="188">
        <v>5210350313212.8301</v>
      </c>
    </row>
    <row r="125" spans="1:67">
      <c r="A125" t="s">
        <v>726</v>
      </c>
      <c r="B125" t="s">
        <v>727</v>
      </c>
      <c r="C125" t="s">
        <v>486</v>
      </c>
      <c r="D125" t="s">
        <v>487</v>
      </c>
      <c r="AI125">
        <v>220299761047.02887</v>
      </c>
      <c r="AJ125">
        <v>196066787328.12698</v>
      </c>
      <c r="AK125">
        <v>185675247601.82501</v>
      </c>
      <c r="AL125">
        <v>168593124818.68219</v>
      </c>
      <c r="AM125">
        <v>147350391094.366</v>
      </c>
      <c r="AN125">
        <v>135267659022.88573</v>
      </c>
      <c r="AO125">
        <v>135943997320.80495</v>
      </c>
      <c r="AP125">
        <v>138255045274.5723</v>
      </c>
      <c r="AQ125">
        <v>135628199415.15065</v>
      </c>
      <c r="AR125">
        <v>139290160796.43283</v>
      </c>
      <c r="AS125">
        <v>152940596557.46622</v>
      </c>
      <c r="AT125">
        <v>173587577090.33185</v>
      </c>
      <c r="AU125">
        <v>190599159644.50461</v>
      </c>
      <c r="AV125">
        <v>208324881492.08701</v>
      </c>
      <c r="AW125">
        <v>228324070118.17834</v>
      </c>
      <c r="AX125">
        <v>250471504917.87628</v>
      </c>
      <c r="AY125">
        <v>277271955944.08905</v>
      </c>
      <c r="AZ125">
        <v>301949160023.0965</v>
      </c>
      <c r="BA125">
        <v>311913482304.49548</v>
      </c>
      <c r="BB125">
        <v>315656444090.36761</v>
      </c>
      <c r="BC125">
        <v>338699364509.47589</v>
      </c>
      <c r="BD125">
        <v>363763117485.49353</v>
      </c>
      <c r="BE125">
        <v>381223747124.77081</v>
      </c>
      <c r="BF125">
        <v>404097171949.41925</v>
      </c>
      <c r="BG125">
        <v>421069253173.84229</v>
      </c>
      <c r="BH125">
        <v>426122084210.95166</v>
      </c>
      <c r="BI125">
        <v>430809427136.85309</v>
      </c>
      <c r="BJ125">
        <v>448472613650.92255</v>
      </c>
      <c r="BK125">
        <v>466859990810.0329</v>
      </c>
      <c r="BL125">
        <v>487868690396.88037</v>
      </c>
      <c r="BM125">
        <v>475671973135.55591</v>
      </c>
      <c r="BN125">
        <v>496125867981.1405</v>
      </c>
      <c r="BO125" s="188">
        <v>512001895754.97955</v>
      </c>
    </row>
    <row r="126" spans="1:67">
      <c r="A126" t="s">
        <v>728</v>
      </c>
      <c r="B126" t="s">
        <v>729</v>
      </c>
      <c r="C126" t="s">
        <v>486</v>
      </c>
      <c r="D126" t="s">
        <v>487</v>
      </c>
      <c r="AI126">
        <v>84666479254.143326</v>
      </c>
      <c r="AJ126">
        <v>85884276842.153839</v>
      </c>
      <c r="AK126">
        <v>85197637237.378006</v>
      </c>
      <c r="AL126">
        <v>85498552954.470856</v>
      </c>
      <c r="AM126">
        <v>87749545619.630844</v>
      </c>
      <c r="AN126">
        <v>91615980599.180008</v>
      </c>
      <c r="AO126">
        <v>95415148059.12648</v>
      </c>
      <c r="AP126">
        <v>95868276430.464386</v>
      </c>
      <c r="AQ126">
        <v>99022547617.094788</v>
      </c>
      <c r="AR126">
        <v>101305402136.55966</v>
      </c>
      <c r="AS126">
        <v>101912925963.81152</v>
      </c>
      <c r="AT126">
        <v>105765139274.57211</v>
      </c>
      <c r="AU126">
        <v>106343526018.29861</v>
      </c>
      <c r="AV126">
        <v>109462023913.22993</v>
      </c>
      <c r="AW126">
        <v>115049293754.96352</v>
      </c>
      <c r="AX126">
        <v>121844871364.23805</v>
      </c>
      <c r="AY126">
        <v>129731273718.31937</v>
      </c>
      <c r="AZ126">
        <v>138618812707.92468</v>
      </c>
      <c r="BA126">
        <v>138940800290.90982</v>
      </c>
      <c r="BB126">
        <v>143535488936.8309</v>
      </c>
      <c r="BC126">
        <v>155102258423.61188</v>
      </c>
      <c r="BD126">
        <v>163045209671.54504</v>
      </c>
      <c r="BE126">
        <v>170494222928.1459</v>
      </c>
      <c r="BF126">
        <v>176969335033.0564</v>
      </c>
      <c r="BG126">
        <v>185853392091.79199</v>
      </c>
      <c r="BH126">
        <v>195086070317.09286</v>
      </c>
      <c r="BI126">
        <v>203306055187.48169</v>
      </c>
      <c r="BJ126">
        <v>211108856550.06934</v>
      </c>
      <c r="BK126">
        <v>223032171628.64236</v>
      </c>
      <c r="BL126">
        <v>234438391189.46024</v>
      </c>
      <c r="BM126">
        <v>233798922199.70609</v>
      </c>
      <c r="BN126">
        <v>251545404778.04468</v>
      </c>
      <c r="BO126" s="188">
        <v>263736892044.1069</v>
      </c>
    </row>
    <row r="127" spans="1:67">
      <c r="A127" t="s">
        <v>730</v>
      </c>
      <c r="B127" t="s">
        <v>731</v>
      </c>
      <c r="C127" t="s">
        <v>486</v>
      </c>
      <c r="D127" t="s">
        <v>487</v>
      </c>
      <c r="AI127">
        <v>22651204110.699066</v>
      </c>
      <c r="AJ127">
        <v>20851809393.064781</v>
      </c>
      <c r="AK127">
        <v>17966369827.081345</v>
      </c>
      <c r="AL127">
        <v>15188889745.966166</v>
      </c>
      <c r="AM127">
        <v>12138177115.041025</v>
      </c>
      <c r="AN127">
        <v>11479824005.152073</v>
      </c>
      <c r="AO127">
        <v>12293112413.234564</v>
      </c>
      <c r="AP127">
        <v>13512005720.465973</v>
      </c>
      <c r="AQ127">
        <v>13798708222.692219</v>
      </c>
      <c r="AR127">
        <v>14303159933.911728</v>
      </c>
      <c r="AS127">
        <v>15081729078.29101</v>
      </c>
      <c r="AT127">
        <v>15884321603.742371</v>
      </c>
      <c r="AU127">
        <v>15881569708.251904</v>
      </c>
      <c r="AV127">
        <v>16998090623.643955</v>
      </c>
      <c r="AW127">
        <v>18192514565.974197</v>
      </c>
      <c r="AX127">
        <v>18160583898.983273</v>
      </c>
      <c r="AY127">
        <v>18724088428.930271</v>
      </c>
      <c r="AZ127">
        <v>20323663854.199013</v>
      </c>
      <c r="BA127">
        <v>22031180060.533424</v>
      </c>
      <c r="BB127">
        <v>22667064815.511894</v>
      </c>
      <c r="BC127">
        <v>22560174508.385418</v>
      </c>
      <c r="BD127">
        <v>23903920386.609676</v>
      </c>
      <c r="BE127">
        <v>23882849032.739456</v>
      </c>
      <c r="BF127">
        <v>26489774123.728161</v>
      </c>
      <c r="BG127">
        <v>27555732866.34584</v>
      </c>
      <c r="BH127">
        <v>28623744973.221542</v>
      </c>
      <c r="BI127">
        <v>29864829313.355667</v>
      </c>
      <c r="BJ127">
        <v>31280403475.279987</v>
      </c>
      <c r="BK127">
        <v>32455892924.557339</v>
      </c>
      <c r="BL127">
        <v>33949067064.725773</v>
      </c>
      <c r="BM127">
        <v>31097900737.666698</v>
      </c>
      <c r="BN127">
        <v>33015906813.712132</v>
      </c>
      <c r="BO127" s="188">
        <v>35334352735.817696</v>
      </c>
    </row>
    <row r="128" spans="1:67">
      <c r="A128" t="s">
        <v>732</v>
      </c>
      <c r="B128" t="s">
        <v>733</v>
      </c>
      <c r="C128" t="s">
        <v>486</v>
      </c>
      <c r="D128" t="s">
        <v>487</v>
      </c>
      <c r="AL128">
        <v>17586546192.911888</v>
      </c>
      <c r="AM128">
        <v>11464908856.077372</v>
      </c>
      <c r="AN128">
        <v>12600332539.177767</v>
      </c>
      <c r="AO128">
        <v>13343437857.526001</v>
      </c>
      <c r="AP128">
        <v>13878058850.603687</v>
      </c>
      <c r="AQ128">
        <v>14527778509.72876</v>
      </c>
      <c r="AR128">
        <v>16373588139.744591</v>
      </c>
      <c r="AS128">
        <v>18009895822.020912</v>
      </c>
      <c r="AT128">
        <v>19477411669.534187</v>
      </c>
      <c r="AU128">
        <v>20758818799.983528</v>
      </c>
      <c r="AV128">
        <v>22524542245.992855</v>
      </c>
      <c r="AW128">
        <v>24853699018.792793</v>
      </c>
      <c r="AX128">
        <v>28146835740.038223</v>
      </c>
      <c r="AY128">
        <v>31178554968.105061</v>
      </c>
      <c r="AZ128">
        <v>34362687939.113045</v>
      </c>
      <c r="BA128">
        <v>36662093824.951904</v>
      </c>
      <c r="BB128">
        <v>36693878745.503067</v>
      </c>
      <c r="BC128">
        <v>38881963567.454628</v>
      </c>
      <c r="BD128">
        <v>41630751178.192001</v>
      </c>
      <c r="BE128">
        <v>44675351848.304955</v>
      </c>
      <c r="BF128">
        <v>47961967887.868599</v>
      </c>
      <c r="BG128">
        <v>51387685545.575127</v>
      </c>
      <c r="BH128">
        <v>54967247822.204994</v>
      </c>
      <c r="BI128">
        <v>58778299696.082794</v>
      </c>
      <c r="BJ128">
        <v>62890960721.928314</v>
      </c>
      <c r="BK128">
        <v>67588392994.156425</v>
      </c>
      <c r="BL128">
        <v>72356150509.808105</v>
      </c>
      <c r="BM128">
        <v>70115999220.012772</v>
      </c>
      <c r="BN128">
        <v>72237982362.012375</v>
      </c>
      <c r="BO128" s="188">
        <v>75967239306.238815</v>
      </c>
    </row>
    <row r="129" spans="1:67">
      <c r="A129" t="s">
        <v>734</v>
      </c>
      <c r="B129" t="s">
        <v>735</v>
      </c>
      <c r="C129" t="s">
        <v>486</v>
      </c>
      <c r="D129" t="s">
        <v>487</v>
      </c>
      <c r="AI129">
        <v>153649034.64578372</v>
      </c>
      <c r="AJ129">
        <v>153649034.64578372</v>
      </c>
      <c r="AK129">
        <v>154996833.19530815</v>
      </c>
      <c r="AL129">
        <v>156344631.74483255</v>
      </c>
      <c r="AM129">
        <v>159040228.8438814</v>
      </c>
      <c r="AN129">
        <v>159040228.8438814</v>
      </c>
      <c r="AO129">
        <v>161735825.94293022</v>
      </c>
      <c r="AP129">
        <v>164431423.0419791</v>
      </c>
      <c r="AQ129">
        <v>175213811.43817443</v>
      </c>
      <c r="AR129">
        <v>172518214.3391256</v>
      </c>
      <c r="AS129">
        <v>183300602.73532093</v>
      </c>
      <c r="AT129">
        <v>180605005.6362721</v>
      </c>
      <c r="AU129">
        <v>187445352.83481842</v>
      </c>
      <c r="AV129">
        <v>191206115.12755641</v>
      </c>
      <c r="AW129">
        <v>188090678.78033072</v>
      </c>
      <c r="AX129">
        <v>197404236.31725436</v>
      </c>
      <c r="AY129">
        <v>197306925.26197869</v>
      </c>
      <c r="AZ129">
        <v>201322017.14101192</v>
      </c>
      <c r="BA129">
        <v>197111494.47229767</v>
      </c>
      <c r="BB129">
        <v>198693944.74929428</v>
      </c>
      <c r="BC129">
        <v>196468055.44475472</v>
      </c>
      <c r="BD129">
        <v>199930954.25804779</v>
      </c>
      <c r="BE129">
        <v>210199696.62701938</v>
      </c>
      <c r="BF129">
        <v>218947313.55299771</v>
      </c>
      <c r="BG129">
        <v>216547019.11614966</v>
      </c>
      <c r="BH129">
        <v>237909760.90596667</v>
      </c>
      <c r="BI129">
        <v>236772084.15031311</v>
      </c>
      <c r="BJ129">
        <v>237212544.71629769</v>
      </c>
      <c r="BK129">
        <v>249342731.66201743</v>
      </c>
      <c r="BL129">
        <v>243951537.46391976</v>
      </c>
      <c r="BM129">
        <v>239908141.81534654</v>
      </c>
      <c r="BN129">
        <v>258777321.50868836</v>
      </c>
      <c r="BO129" s="188">
        <v>262820717.15726164</v>
      </c>
    </row>
    <row r="130" spans="1:67">
      <c r="A130" t="s">
        <v>736</v>
      </c>
      <c r="B130" t="s">
        <v>737</v>
      </c>
      <c r="C130" t="s">
        <v>486</v>
      </c>
      <c r="D130" t="s">
        <v>487</v>
      </c>
      <c r="AI130">
        <v>576164438.30440378</v>
      </c>
      <c r="AJ130">
        <v>565420762.65866101</v>
      </c>
      <c r="AK130">
        <v>589558427.02010512</v>
      </c>
      <c r="AL130">
        <v>629659893.00386906</v>
      </c>
      <c r="AM130">
        <v>663042691.50888312</v>
      </c>
      <c r="AN130">
        <v>698735225.46972561</v>
      </c>
      <c r="AO130">
        <v>739561192.92354822</v>
      </c>
      <c r="AP130">
        <v>790028603.01738346</v>
      </c>
      <c r="AQ130">
        <v>786183172.13784099</v>
      </c>
      <c r="AR130">
        <v>811497377.3480984</v>
      </c>
      <c r="AS130">
        <v>892994504.24932098</v>
      </c>
      <c r="AT130">
        <v>939907522.51568842</v>
      </c>
      <c r="AU130">
        <v>952762779.36903834</v>
      </c>
      <c r="AV130">
        <v>915286857.17420518</v>
      </c>
      <c r="AW130">
        <v>951864892.93178606</v>
      </c>
      <c r="AX130">
        <v>1044508196.2954508</v>
      </c>
      <c r="AY130">
        <v>1077414186.1406827</v>
      </c>
      <c r="AZ130">
        <v>1083885160.8091559</v>
      </c>
      <c r="BA130">
        <v>1205047566.6552458</v>
      </c>
      <c r="BB130">
        <v>1164325320.5657263</v>
      </c>
      <c r="BC130">
        <v>1164837363.5277705</v>
      </c>
      <c r="BD130">
        <v>1183668209.4290407</v>
      </c>
      <c r="BE130">
        <v>1177444927.5708437</v>
      </c>
      <c r="BF130">
        <v>1244674948.6001406</v>
      </c>
      <c r="BG130">
        <v>1339039716.9952269</v>
      </c>
      <c r="BH130">
        <v>1348600659.4718995</v>
      </c>
      <c r="BI130">
        <v>1401600728.5508118</v>
      </c>
      <c r="BJ130">
        <v>1401705997.9951792</v>
      </c>
      <c r="BK130">
        <v>1430469325.5885367</v>
      </c>
      <c r="BL130">
        <v>1488361327.6704097</v>
      </c>
      <c r="BM130">
        <v>1272094542.6977482</v>
      </c>
      <c r="BN130">
        <v>1260898827.6732507</v>
      </c>
      <c r="BO130" s="188">
        <v>1374379722.1638432</v>
      </c>
    </row>
    <row r="131" spans="1:67">
      <c r="A131" t="s">
        <v>738</v>
      </c>
      <c r="B131" t="s">
        <v>739</v>
      </c>
      <c r="C131" t="s">
        <v>486</v>
      </c>
      <c r="D131" t="s">
        <v>487</v>
      </c>
      <c r="AI131">
        <v>542570624549.05219</v>
      </c>
      <c r="AJ131">
        <v>601049190991.00269</v>
      </c>
      <c r="AK131">
        <v>638306083382.98999</v>
      </c>
      <c r="AL131">
        <v>682205419129.48132</v>
      </c>
      <c r="AM131">
        <v>745436763166.87207</v>
      </c>
      <c r="AN131">
        <v>817107268226.50183</v>
      </c>
      <c r="AO131">
        <v>881582778617.49268</v>
      </c>
      <c r="AP131">
        <v>935981306155.87183</v>
      </c>
      <c r="AQ131">
        <v>887970630220.55432</v>
      </c>
      <c r="AR131">
        <v>989793711154.32764</v>
      </c>
      <c r="AS131">
        <v>1079477269584.1978</v>
      </c>
      <c r="AT131">
        <v>1131857819988.0793</v>
      </c>
      <c r="AU131">
        <v>1219295451465.6426</v>
      </c>
      <c r="AV131">
        <v>1257670229835.2209</v>
      </c>
      <c r="AW131">
        <v>1323036273738.7656</v>
      </c>
      <c r="AX131">
        <v>1380039856716.0007</v>
      </c>
      <c r="AY131">
        <v>1452689661910.1091</v>
      </c>
      <c r="AZ131">
        <v>1536939102172.7527</v>
      </c>
      <c r="BA131">
        <v>1583246844825.5457</v>
      </c>
      <c r="BB131">
        <v>1595797226566.0559</v>
      </c>
      <c r="BC131">
        <v>1704388433877.5703</v>
      </c>
      <c r="BD131">
        <v>1767206529267.2654</v>
      </c>
      <c r="BE131">
        <v>1809664213833.7212</v>
      </c>
      <c r="BF131">
        <v>1866934813500.0574</v>
      </c>
      <c r="BG131">
        <v>1926722538277.2056</v>
      </c>
      <c r="BH131">
        <v>1980846164069.8931</v>
      </c>
      <c r="BI131">
        <v>2039219357482.8562</v>
      </c>
      <c r="BJ131">
        <v>2103651261121.4883</v>
      </c>
      <c r="BK131">
        <v>2164812897274.323</v>
      </c>
      <c r="BL131">
        <v>2213390819401.9678</v>
      </c>
      <c r="BM131">
        <v>2197688684965.6318</v>
      </c>
      <c r="BN131">
        <v>2288790000464.6563</v>
      </c>
      <c r="BO131" s="188">
        <v>2347395325164.833</v>
      </c>
    </row>
    <row r="132" spans="1:67">
      <c r="A132" t="s">
        <v>740</v>
      </c>
      <c r="B132" t="s">
        <v>741</v>
      </c>
      <c r="C132" t="s">
        <v>486</v>
      </c>
      <c r="D132" t="s">
        <v>487</v>
      </c>
      <c r="AK132">
        <v>67170317204.917686</v>
      </c>
      <c r="AL132">
        <v>90001822081.650879</v>
      </c>
      <c r="AM132">
        <v>97594524875.726913</v>
      </c>
      <c r="AN132">
        <v>102335951140.22206</v>
      </c>
      <c r="AO132">
        <v>102955213773.79507</v>
      </c>
      <c r="AP132">
        <v>105501631080.53232</v>
      </c>
      <c r="AQ132">
        <v>109365158549.58598</v>
      </c>
      <c r="AR132">
        <v>107408605884.10912</v>
      </c>
      <c r="AS132">
        <v>112450990823.61504</v>
      </c>
      <c r="AT132">
        <v>112690885419.63809</v>
      </c>
      <c r="AU132">
        <v>116087707792.59456</v>
      </c>
      <c r="AV132">
        <v>136201087746.96388</v>
      </c>
      <c r="AW132">
        <v>150148485091.35651</v>
      </c>
      <c r="AX132">
        <v>166077805417.52734</v>
      </c>
      <c r="AY132">
        <v>178558175498.43518</v>
      </c>
      <c r="AZ132">
        <v>189256623413.76138</v>
      </c>
      <c r="BA132">
        <v>193949727672.54541</v>
      </c>
      <c r="BB132">
        <v>180225735495.18097</v>
      </c>
      <c r="BC132">
        <v>175953909551.36423</v>
      </c>
      <c r="BD132">
        <v>192895468050.99832</v>
      </c>
      <c r="BE132">
        <v>205676371273.26544</v>
      </c>
      <c r="BF132">
        <v>208040210707.2489</v>
      </c>
      <c r="BG132">
        <v>209082236236.31589</v>
      </c>
      <c r="BH132">
        <v>210322134913.32205</v>
      </c>
      <c r="BI132">
        <v>216475883430.81863</v>
      </c>
      <c r="BJ132">
        <v>206275309887.72659</v>
      </c>
      <c r="BK132">
        <v>211296012291.93832</v>
      </c>
      <c r="BL132">
        <v>210129744234.56512</v>
      </c>
      <c r="BM132">
        <v>191522169361.50604</v>
      </c>
      <c r="BN132">
        <v>194027387563.94092</v>
      </c>
      <c r="BO132" s="188">
        <v>209894473593.58249</v>
      </c>
    </row>
    <row r="133" spans="1:67">
      <c r="A133" t="s">
        <v>742</v>
      </c>
      <c r="B133" t="s">
        <v>743</v>
      </c>
      <c r="C133" t="s">
        <v>486</v>
      </c>
      <c r="D133" t="s">
        <v>487</v>
      </c>
      <c r="AI133">
        <v>4128308748599.7017</v>
      </c>
      <c r="AJ133">
        <v>4258116840698.9111</v>
      </c>
      <c r="AK133">
        <v>4363446739556.4448</v>
      </c>
      <c r="AL133">
        <v>4568927664987.8955</v>
      </c>
      <c r="AM133">
        <v>4818357447576.8945</v>
      </c>
      <c r="AN133">
        <v>4831770165095.2061</v>
      </c>
      <c r="AO133">
        <v>5024551890297.0029</v>
      </c>
      <c r="AP133">
        <v>5287480082277.4209</v>
      </c>
      <c r="AQ133">
        <v>5423583458765.0049</v>
      </c>
      <c r="AR133">
        <v>5447107336335.1279</v>
      </c>
      <c r="AS133">
        <v>5640562086269.5869</v>
      </c>
      <c r="AT133">
        <v>5650805801354.0547</v>
      </c>
      <c r="AU133">
        <v>5677133981163.0195</v>
      </c>
      <c r="AV133">
        <v>5817491871921.9404</v>
      </c>
      <c r="AW133">
        <v>6128023064262.0098</v>
      </c>
      <c r="AX133">
        <v>6369400828939.9316</v>
      </c>
      <c r="AY133">
        <v>6693075230493.6855</v>
      </c>
      <c r="AZ133">
        <v>7049129572555.999</v>
      </c>
      <c r="BA133">
        <v>7313052238819.3633</v>
      </c>
      <c r="BB133">
        <v>7154541317139.499</v>
      </c>
      <c r="BC133">
        <v>7631385730967.2412</v>
      </c>
      <c r="BD133">
        <v>7977996437654.292</v>
      </c>
      <c r="BE133">
        <v>8175476863825.7881</v>
      </c>
      <c r="BF133">
        <v>8413273431619.6182</v>
      </c>
      <c r="BG133">
        <v>8543197166549.8525</v>
      </c>
      <c r="BH133">
        <v>8594051399755.4238</v>
      </c>
      <c r="BI133">
        <v>8589897081867.4375</v>
      </c>
      <c r="BJ133">
        <v>8765409594788.7881</v>
      </c>
      <c r="BK133">
        <v>8914600527637.0918</v>
      </c>
      <c r="BL133">
        <v>8980892041263.625</v>
      </c>
      <c r="BM133">
        <v>8408955487721.1328</v>
      </c>
      <c r="BN133">
        <v>8970967460207.998</v>
      </c>
      <c r="BO133" s="188">
        <v>9298466506283.3828</v>
      </c>
    </row>
    <row r="134" spans="1:67">
      <c r="A134" t="s">
        <v>744</v>
      </c>
      <c r="B134" t="s">
        <v>745</v>
      </c>
      <c r="C134" t="s">
        <v>486</v>
      </c>
      <c r="D134" t="s">
        <v>487</v>
      </c>
      <c r="AI134">
        <v>8366077048.5796337</v>
      </c>
      <c r="AJ134">
        <v>8725530873.1054115</v>
      </c>
      <c r="AK134">
        <v>9210657979.1321907</v>
      </c>
      <c r="AL134">
        <v>9755243341.3571148</v>
      </c>
      <c r="AM134">
        <v>10551175453.273462</v>
      </c>
      <c r="AN134">
        <v>11293055433.946632</v>
      </c>
      <c r="AO134">
        <v>12075474872.874693</v>
      </c>
      <c r="AP134">
        <v>12905312527.801926</v>
      </c>
      <c r="AQ134">
        <v>13417344751.863222</v>
      </c>
      <c r="AR134">
        <v>14397666418.451206</v>
      </c>
      <c r="AS134">
        <v>15232555754.103645</v>
      </c>
      <c r="AT134">
        <v>16108642928.031973</v>
      </c>
      <c r="AU134">
        <v>17062072213.554447</v>
      </c>
      <c r="AV134">
        <v>18097228527.819721</v>
      </c>
      <c r="AW134">
        <v>19247795207.961353</v>
      </c>
      <c r="AX134">
        <v>20615845411.904144</v>
      </c>
      <c r="AY134">
        <v>22392780009.136509</v>
      </c>
      <c r="AZ134">
        <v>24093921170.104237</v>
      </c>
      <c r="BA134">
        <v>25979247073.364388</v>
      </c>
      <c r="BB134">
        <v>27928151712.797634</v>
      </c>
      <c r="BC134">
        <v>30309558822.056187</v>
      </c>
      <c r="BD134">
        <v>32746038984.84687</v>
      </c>
      <c r="BE134">
        <v>35374268307.020081</v>
      </c>
      <c r="BF134">
        <v>38213513284.225815</v>
      </c>
      <c r="BG134">
        <v>41122311944.844856</v>
      </c>
      <c r="BH134">
        <v>44111931099.562866</v>
      </c>
      <c r="BI134">
        <v>47209839789.60862</v>
      </c>
      <c r="BJ134">
        <v>50463792572.059074</v>
      </c>
      <c r="BK134">
        <v>53616750150.258713</v>
      </c>
      <c r="BL134">
        <v>56543010338.659271</v>
      </c>
      <c r="BM134">
        <v>56827439678.138168</v>
      </c>
      <c r="BN134">
        <v>58264236818.100014</v>
      </c>
      <c r="BO134" s="188">
        <v>59841698221.704414</v>
      </c>
    </row>
    <row r="135" spans="1:67">
      <c r="A135" t="s">
        <v>746</v>
      </c>
      <c r="B135" t="s">
        <v>747</v>
      </c>
      <c r="C135" t="s">
        <v>486</v>
      </c>
      <c r="D135" t="s">
        <v>487</v>
      </c>
      <c r="AI135">
        <v>21044007195.026974</v>
      </c>
      <c r="AJ135">
        <v>31449717228.121277</v>
      </c>
      <c r="AK135">
        <v>36619530470.073151</v>
      </c>
      <c r="AL135">
        <v>40561868201.211754</v>
      </c>
      <c r="AM135">
        <v>43849505769.783035</v>
      </c>
      <c r="AN135">
        <v>46677300133.420639</v>
      </c>
      <c r="AO135">
        <v>51945270221.092468</v>
      </c>
      <c r="AP135">
        <v>52493275507.883667</v>
      </c>
      <c r="AQ135">
        <v>54417533993.050751</v>
      </c>
      <c r="AR135">
        <v>54131523795.920197</v>
      </c>
      <c r="AS135">
        <v>54857899350.885353</v>
      </c>
      <c r="AT135">
        <v>56964261258.954163</v>
      </c>
      <c r="AU135">
        <v>58914233269.831284</v>
      </c>
      <c r="AV135">
        <v>60815453471.592842</v>
      </c>
      <c r="AW135">
        <v>64877588004.634888</v>
      </c>
      <c r="AX135">
        <v>66620056840.035255</v>
      </c>
      <c r="AY135">
        <v>67652344615.167892</v>
      </c>
      <c r="AZ135">
        <v>73951199051.347397</v>
      </c>
      <c r="BA135">
        <v>80657928150.011337</v>
      </c>
      <c r="BB135">
        <v>88910972843.600433</v>
      </c>
      <c r="BC135">
        <v>96001743454.889465</v>
      </c>
      <c r="BD135">
        <v>96834404858.650116</v>
      </c>
      <c r="BE135">
        <v>99318005286.025192</v>
      </c>
      <c r="BF135">
        <v>103119772889.55574</v>
      </c>
      <c r="BG135">
        <v>105681330028.78876</v>
      </c>
      <c r="BH135">
        <v>106169916790.57727</v>
      </c>
      <c r="BI135">
        <v>107820380605.13063</v>
      </c>
      <c r="BJ135">
        <v>108794029331.90054</v>
      </c>
      <c r="BK135">
        <v>106743581998.55354</v>
      </c>
      <c r="BL135">
        <v>99362343650.837936</v>
      </c>
      <c r="BM135">
        <v>78098901778.502563</v>
      </c>
      <c r="BN135">
        <v>72631011301.374985</v>
      </c>
    </row>
    <row r="136" spans="1:67">
      <c r="A136" t="s">
        <v>748</v>
      </c>
      <c r="B136" t="s">
        <v>749</v>
      </c>
      <c r="C136" t="s">
        <v>486</v>
      </c>
      <c r="D136" t="s">
        <v>487</v>
      </c>
      <c r="AS136">
        <v>4994680900.3552742</v>
      </c>
      <c r="AT136">
        <v>5140539306.3154774</v>
      </c>
      <c r="AU136">
        <v>5333978706.0209751</v>
      </c>
      <c r="AV136">
        <v>3726043745.4107871</v>
      </c>
      <c r="AW136">
        <v>3823660386.7728572</v>
      </c>
      <c r="AX136">
        <v>4025596015.2830877</v>
      </c>
      <c r="AY136">
        <v>4349411334.584877</v>
      </c>
      <c r="AZ136">
        <v>4764139681.9993715</v>
      </c>
      <c r="BA136">
        <v>5104570388.5869961</v>
      </c>
      <c r="BB136">
        <v>5375140209.5338707</v>
      </c>
      <c r="BC136">
        <v>5703014368.7226353</v>
      </c>
      <c r="BD136">
        <v>6170705358.9383516</v>
      </c>
      <c r="BE136">
        <v>6663980095.3137207</v>
      </c>
      <c r="BF136">
        <v>7242899226.2210188</v>
      </c>
      <c r="BG136">
        <v>7293700421.6545115</v>
      </c>
      <c r="BH136">
        <v>7292346348.3914986</v>
      </c>
      <c r="BI136">
        <v>7178953380.4301281</v>
      </c>
      <c r="BJ136">
        <v>7355207879.3525858</v>
      </c>
      <c r="BK136">
        <v>7440349935.9407654</v>
      </c>
      <c r="BL136">
        <v>7256774357.9112549</v>
      </c>
      <c r="BM136">
        <v>7040341695.7316446</v>
      </c>
      <c r="BN136">
        <v>7391423318.6876097</v>
      </c>
      <c r="BO136" s="188">
        <v>7746811338.2320976</v>
      </c>
    </row>
    <row r="137" spans="1:67">
      <c r="A137" t="s">
        <v>750</v>
      </c>
      <c r="B137" t="s">
        <v>751</v>
      </c>
      <c r="C137" t="s">
        <v>486</v>
      </c>
      <c r="D137" t="s">
        <v>487</v>
      </c>
      <c r="AR137">
        <v>134888938113.99051</v>
      </c>
      <c r="AS137">
        <v>139851866897.95377</v>
      </c>
      <c r="AT137">
        <v>137386503826.98047</v>
      </c>
      <c r="AU137">
        <v>136069108306.0882</v>
      </c>
      <c r="AV137">
        <v>153779914125.95978</v>
      </c>
      <c r="AW137">
        <v>160641018743.36688</v>
      </c>
      <c r="AX137">
        <v>179710322953.84042</v>
      </c>
      <c r="AY137">
        <v>191392438179.08713</v>
      </c>
      <c r="AZ137">
        <v>203316154130.61957</v>
      </c>
      <c r="BA137">
        <v>202986683883.65524</v>
      </c>
      <c r="BB137">
        <v>194054900837.88095</v>
      </c>
      <c r="BC137">
        <v>203810521323.38776</v>
      </c>
      <c r="BD137">
        <v>101215331193.16124</v>
      </c>
      <c r="BE137">
        <v>189097312190.53351</v>
      </c>
      <c r="BF137">
        <v>155063650603.94019</v>
      </c>
      <c r="BG137">
        <v>119332634685.12242</v>
      </c>
      <c r="BH137">
        <v>118327070778.13011</v>
      </c>
      <c r="BI137">
        <v>116562883827.04701</v>
      </c>
      <c r="BJ137">
        <v>154436265462.74139</v>
      </c>
      <c r="BK137">
        <v>166700617401.43491</v>
      </c>
      <c r="BL137">
        <v>148037325396.08585</v>
      </c>
      <c r="BM137">
        <v>103941228202.0582</v>
      </c>
      <c r="BN137">
        <v>136550206068.47766</v>
      </c>
      <c r="BO137" s="188">
        <v>134861104674.65955</v>
      </c>
    </row>
    <row r="138" spans="1:67">
      <c r="A138" t="s">
        <v>752</v>
      </c>
      <c r="B138" t="s">
        <v>753</v>
      </c>
      <c r="C138" t="s">
        <v>486</v>
      </c>
      <c r="D138" t="s">
        <v>487</v>
      </c>
      <c r="AI138">
        <v>1624931864.8314672</v>
      </c>
      <c r="AJ138">
        <v>1631036376.8321905</v>
      </c>
      <c r="AK138">
        <v>1760753929.0379131</v>
      </c>
      <c r="AL138">
        <v>1771022641.6949477</v>
      </c>
      <c r="AM138">
        <v>1799333504.1062064</v>
      </c>
      <c r="AN138">
        <v>1830789917.8232796</v>
      </c>
      <c r="AO138">
        <v>1884296363.4872823</v>
      </c>
      <c r="AP138">
        <v>1871216894.4625895</v>
      </c>
      <c r="AQ138">
        <v>1988850405.9054167</v>
      </c>
      <c r="AR138">
        <v>2041964714.6795177</v>
      </c>
      <c r="AS138">
        <v>2042960142.9413149</v>
      </c>
      <c r="AT138">
        <v>1973334754.5538731</v>
      </c>
      <c r="AU138">
        <v>1981552716.8686056</v>
      </c>
      <c r="AV138">
        <v>2066058241.6607184</v>
      </c>
      <c r="AW138">
        <v>2216207141.5734429</v>
      </c>
      <c r="AX138">
        <v>2207113938.9271855</v>
      </c>
      <c r="AY138">
        <v>2343850326.158309</v>
      </c>
      <c r="AZ138">
        <v>2383499333.6303115</v>
      </c>
      <c r="BA138">
        <v>2501466389.096117</v>
      </c>
      <c r="BB138">
        <v>2430702417.7139435</v>
      </c>
      <c r="BC138">
        <v>2438734193.8136292</v>
      </c>
      <c r="BD138">
        <v>2544261398.2033982</v>
      </c>
      <c r="BE138">
        <v>2541459348.2053766</v>
      </c>
      <c r="BF138">
        <v>2490522082.1699171</v>
      </c>
      <c r="BG138">
        <v>2523596279.4679904</v>
      </c>
      <c r="BH138">
        <v>2526148146.4304743</v>
      </c>
      <c r="BI138">
        <v>2612761513.3335986</v>
      </c>
      <c r="BJ138">
        <v>2701276271.3068094</v>
      </c>
      <c r="BK138">
        <v>2779083195.3590102</v>
      </c>
      <c r="BL138">
        <v>2761019980.1931934</v>
      </c>
      <c r="BM138">
        <v>2088277797.6325288</v>
      </c>
      <c r="BN138">
        <v>2343714676.9164405</v>
      </c>
      <c r="BO138" s="188">
        <v>2704646737.1615725</v>
      </c>
    </row>
    <row r="139" spans="1:67">
      <c r="A139" t="s">
        <v>754</v>
      </c>
      <c r="B139" t="s">
        <v>755</v>
      </c>
      <c r="C139" t="s">
        <v>486</v>
      </c>
      <c r="D139" t="s">
        <v>487</v>
      </c>
      <c r="AI139">
        <v>4660177479275.8936</v>
      </c>
      <c r="AJ139">
        <v>4813599413907.459</v>
      </c>
      <c r="AK139">
        <v>4951715156347.8877</v>
      </c>
      <c r="AL139">
        <v>5186241109322.2285</v>
      </c>
      <c r="AM139">
        <v>5466873646499.9727</v>
      </c>
      <c r="AN139">
        <v>5503294554380.3916</v>
      </c>
      <c r="AO139">
        <v>5728339940985.2852</v>
      </c>
      <c r="AP139">
        <v>6035136172231.5811</v>
      </c>
      <c r="AQ139">
        <v>6200377090706.1738</v>
      </c>
      <c r="AR139">
        <v>6234730188296.1455</v>
      </c>
      <c r="AS139">
        <v>6456698807236.4863</v>
      </c>
      <c r="AT139">
        <v>6482890565856.4033</v>
      </c>
      <c r="AU139">
        <v>6519693705391.1494</v>
      </c>
      <c r="AV139">
        <v>6686090763898.6943</v>
      </c>
      <c r="AW139">
        <v>7051850161252.0127</v>
      </c>
      <c r="AX139">
        <v>7330448545541.9629</v>
      </c>
      <c r="AY139">
        <v>7700834768552.834</v>
      </c>
      <c r="AZ139">
        <v>8104960913207.7344</v>
      </c>
      <c r="BA139">
        <v>8405762778023.6162</v>
      </c>
      <c r="BB139">
        <v>8232738816369.0361</v>
      </c>
      <c r="BC139">
        <v>8765162336191.8838</v>
      </c>
      <c r="BD139">
        <v>9166370845403.8086</v>
      </c>
      <c r="BE139">
        <v>9414417078482.3262</v>
      </c>
      <c r="BF139">
        <v>9690589346007.4141</v>
      </c>
      <c r="BG139">
        <v>9843935521128.7109</v>
      </c>
      <c r="BH139">
        <v>9913278359835.4707</v>
      </c>
      <c r="BI139">
        <v>9920812019173.2832</v>
      </c>
      <c r="BJ139">
        <v>10115513014790.756</v>
      </c>
      <c r="BK139">
        <v>10291901785901.717</v>
      </c>
      <c r="BL139">
        <v>10373402287037.094</v>
      </c>
      <c r="BM139">
        <v>9700132397129.9902</v>
      </c>
      <c r="BN139">
        <v>10375427674476.393</v>
      </c>
      <c r="BO139" s="188">
        <v>10770319638177.729</v>
      </c>
    </row>
    <row r="140" spans="1:67">
      <c r="A140" t="s">
        <v>756</v>
      </c>
      <c r="B140" t="s">
        <v>757</v>
      </c>
      <c r="C140" t="s">
        <v>486</v>
      </c>
      <c r="D140" t="s">
        <v>487</v>
      </c>
      <c r="AI140">
        <v>824732959790.09265</v>
      </c>
      <c r="AJ140">
        <v>839748576934.854</v>
      </c>
      <c r="AK140">
        <v>844466806701.88586</v>
      </c>
      <c r="AL140">
        <v>847048512613.94336</v>
      </c>
      <c r="AM140">
        <v>852277388266.77271</v>
      </c>
      <c r="AN140">
        <v>901908100904.255</v>
      </c>
      <c r="AO140">
        <v>953245113895.44287</v>
      </c>
      <c r="AP140">
        <v>1007170150394.9866</v>
      </c>
      <c r="AQ140">
        <v>1045877305035.0918</v>
      </c>
      <c r="AR140">
        <v>1089909405104.3381</v>
      </c>
      <c r="AS140">
        <v>1137267588533.4473</v>
      </c>
      <c r="AT140">
        <v>1199113332209.5027</v>
      </c>
      <c r="AU140">
        <v>1257641057151.0313</v>
      </c>
      <c r="AV140">
        <v>1323845247517.3171</v>
      </c>
      <c r="AW140">
        <v>1410366339474.9856</v>
      </c>
      <c r="AX140">
        <v>1516999575572.5303</v>
      </c>
      <c r="AY140">
        <v>1627639997399.4797</v>
      </c>
      <c r="AZ140">
        <v>1752685135699.9736</v>
      </c>
      <c r="BA140">
        <v>1870139007780.2988</v>
      </c>
      <c r="BB140">
        <v>1950379223721.667</v>
      </c>
      <c r="BC140">
        <v>2071473106623.949</v>
      </c>
      <c r="BD140">
        <v>2173765023278.7686</v>
      </c>
      <c r="BE140">
        <v>2266005830585.5151</v>
      </c>
      <c r="BF140">
        <v>2394712371074.6958</v>
      </c>
      <c r="BG140">
        <v>2541351587914.4648</v>
      </c>
      <c r="BH140">
        <v>2663743266217.4639</v>
      </c>
      <c r="BI140">
        <v>2801732415053.1172</v>
      </c>
      <c r="BJ140">
        <v>2944984372608.4551</v>
      </c>
      <c r="BK140">
        <v>3091960363927.3418</v>
      </c>
      <c r="BL140">
        <v>3258365666546.0801</v>
      </c>
      <c r="BM140">
        <v>3295002731853.2607</v>
      </c>
      <c r="BN140">
        <v>3365868055521.4014</v>
      </c>
      <c r="BO140" s="188">
        <v>3532745414752.3892</v>
      </c>
    </row>
    <row r="141" spans="1:67">
      <c r="A141" t="s">
        <v>758</v>
      </c>
      <c r="B141" t="s">
        <v>759</v>
      </c>
      <c r="C141" t="s">
        <v>486</v>
      </c>
      <c r="D141" t="s">
        <v>487</v>
      </c>
      <c r="AI141">
        <v>385972419117.09497</v>
      </c>
      <c r="AJ141">
        <v>387444166983.29565</v>
      </c>
      <c r="AK141">
        <v>380709925731.43207</v>
      </c>
      <c r="AL141">
        <v>383545803372.19098</v>
      </c>
      <c r="AM141">
        <v>383159386154.21295</v>
      </c>
      <c r="AN141">
        <v>401737341994.93384</v>
      </c>
      <c r="AO141">
        <v>424268985571.87024</v>
      </c>
      <c r="AP141">
        <v>455759104737.27881</v>
      </c>
      <c r="AQ141">
        <v>468823600130.9198</v>
      </c>
      <c r="AR141">
        <v>484058105980.4859</v>
      </c>
      <c r="AS141">
        <v>498842449793.61591</v>
      </c>
      <c r="AT141">
        <v>527362029263.62598</v>
      </c>
      <c r="AU141">
        <v>548821426585.10876</v>
      </c>
      <c r="AV141">
        <v>577110997481.86902</v>
      </c>
      <c r="AW141">
        <v>614167482177.24036</v>
      </c>
      <c r="AX141">
        <v>656746056305.27234</v>
      </c>
      <c r="AY141">
        <v>701391232458.07593</v>
      </c>
      <c r="AZ141">
        <v>750466033730.89795</v>
      </c>
      <c r="BA141">
        <v>796169908111.23267</v>
      </c>
      <c r="BB141">
        <v>825020886091.0105</v>
      </c>
      <c r="BC141">
        <v>883697160040.45654</v>
      </c>
      <c r="BD141">
        <v>914582526400.38892</v>
      </c>
      <c r="BE141">
        <v>919677430800.0332</v>
      </c>
      <c r="BF141">
        <v>969211830544.37146</v>
      </c>
      <c r="BG141">
        <v>1029696250024.2761</v>
      </c>
      <c r="BH141">
        <v>1079348313237.4237</v>
      </c>
      <c r="BI141">
        <v>1130095442141.6104</v>
      </c>
      <c r="BJ141">
        <v>1177789629705.1609</v>
      </c>
      <c r="BK141">
        <v>1222076766398.4731</v>
      </c>
      <c r="BL141">
        <v>1276089331146.8354</v>
      </c>
      <c r="BM141">
        <v>1285945207141.6538</v>
      </c>
      <c r="BN141">
        <v>1310358221313.2192</v>
      </c>
      <c r="BO141" s="188">
        <v>1365258552287.7151</v>
      </c>
    </row>
    <row r="142" spans="1:67">
      <c r="A142" t="s">
        <v>760</v>
      </c>
      <c r="B142" t="s">
        <v>761</v>
      </c>
      <c r="C142" t="s">
        <v>486</v>
      </c>
      <c r="D142" t="s">
        <v>487</v>
      </c>
    </row>
    <row r="143" spans="1:67">
      <c r="A143" t="s">
        <v>762</v>
      </c>
      <c r="B143" t="s">
        <v>763</v>
      </c>
      <c r="C143" t="s">
        <v>486</v>
      </c>
      <c r="D143" t="s">
        <v>487</v>
      </c>
      <c r="AI143">
        <v>69505028644.929474</v>
      </c>
      <c r="AJ143">
        <v>72702251096.558533</v>
      </c>
      <c r="AK143">
        <v>75901143784.682861</v>
      </c>
      <c r="AL143">
        <v>81138370714.433945</v>
      </c>
      <c r="AM143">
        <v>85682053529.313934</v>
      </c>
      <c r="AN143">
        <v>90394639503.803528</v>
      </c>
      <c r="AO143">
        <v>93829606160.642319</v>
      </c>
      <c r="AP143">
        <v>99839767468.144684</v>
      </c>
      <c r="AQ143">
        <v>104530662113.65855</v>
      </c>
      <c r="AR143">
        <v>109026045570.82379</v>
      </c>
      <c r="AS143">
        <v>115567644456.24487</v>
      </c>
      <c r="AT143">
        <v>113781652678.93851</v>
      </c>
      <c r="AU143">
        <v>118292726196.84073</v>
      </c>
      <c r="AV143">
        <v>125319632432.66124</v>
      </c>
      <c r="AW143">
        <v>132143363213.05363</v>
      </c>
      <c r="AX143">
        <v>140391419001.36899</v>
      </c>
      <c r="AY143">
        <v>151157042814.46112</v>
      </c>
      <c r="AZ143">
        <v>161430924181.07462</v>
      </c>
      <c r="BA143">
        <v>171036206462.7153</v>
      </c>
      <c r="BB143">
        <v>177089027388.52347</v>
      </c>
      <c r="BC143">
        <v>191284426040.55447</v>
      </c>
      <c r="BD143">
        <v>207867796859.98782</v>
      </c>
      <c r="BE143">
        <v>225811322109.29633</v>
      </c>
      <c r="BF143">
        <v>234960624066.4592</v>
      </c>
      <c r="BG143">
        <v>249946363085.32425</v>
      </c>
      <c r="BH143">
        <v>260458995828.11487</v>
      </c>
      <c r="BI143">
        <v>273621616469.34854</v>
      </c>
      <c r="BJ143">
        <v>291299436997.47113</v>
      </c>
      <c r="BK143">
        <v>298028699426.59705</v>
      </c>
      <c r="BL143">
        <v>297371594166.2478</v>
      </c>
      <c r="BM143">
        <v>283619597758.58813</v>
      </c>
      <c r="BN143">
        <v>293580954915.26929</v>
      </c>
      <c r="BO143" s="188">
        <v>270611247567.86731</v>
      </c>
    </row>
    <row r="144" spans="1:67">
      <c r="A144" t="s">
        <v>764</v>
      </c>
      <c r="B144" t="s">
        <v>765</v>
      </c>
      <c r="C144" t="s">
        <v>486</v>
      </c>
      <c r="D144" t="s">
        <v>487</v>
      </c>
      <c r="AI144">
        <v>5812413458623.9844</v>
      </c>
      <c r="AJ144">
        <v>5886347049760.7705</v>
      </c>
      <c r="AK144">
        <v>6000609167300.0508</v>
      </c>
      <c r="AL144">
        <v>6006697619546.5801</v>
      </c>
      <c r="AM144">
        <v>6055178961666.5205</v>
      </c>
      <c r="AN144">
        <v>6283790433791.8926</v>
      </c>
      <c r="AO144">
        <v>6614762455537.4756</v>
      </c>
      <c r="AP144">
        <v>6830709103627.9502</v>
      </c>
      <c r="AQ144">
        <v>7113891563075.9932</v>
      </c>
      <c r="AR144">
        <v>7474378711696.5938</v>
      </c>
      <c r="AS144">
        <v>7811208155995.6162</v>
      </c>
      <c r="AT144">
        <v>8155134153952.2441</v>
      </c>
      <c r="AU144">
        <v>8541681921714.1738</v>
      </c>
      <c r="AV144">
        <v>9105186505657.7461</v>
      </c>
      <c r="AW144">
        <v>9739086422406.5488</v>
      </c>
      <c r="AX144">
        <v>10345503647806.266</v>
      </c>
      <c r="AY144">
        <v>11046881888167.053</v>
      </c>
      <c r="AZ144">
        <v>11828075202178.633</v>
      </c>
      <c r="BA144">
        <v>12286161064420.5</v>
      </c>
      <c r="BB144">
        <v>12816665765594.629</v>
      </c>
      <c r="BC144">
        <v>13662468970121.805</v>
      </c>
      <c r="BD144">
        <v>14293127395029.379</v>
      </c>
      <c r="BE144">
        <v>14894441856436.283</v>
      </c>
      <c r="BF144">
        <v>15616376136760.963</v>
      </c>
      <c r="BG144">
        <v>16471931061190.17</v>
      </c>
      <c r="BH144">
        <v>17306275522502.344</v>
      </c>
      <c r="BI144">
        <v>18364896238854.891</v>
      </c>
      <c r="BJ144">
        <v>19341441830230.801</v>
      </c>
      <c r="BK144">
        <v>20308925554785.43</v>
      </c>
      <c r="BL144">
        <v>21050642352931.648</v>
      </c>
      <c r="BM144">
        <v>20399804772563.656</v>
      </c>
      <c r="BN144">
        <v>21666897954073.035</v>
      </c>
      <c r="BO144" s="188">
        <v>22737690998563.215</v>
      </c>
    </row>
    <row r="145" spans="1:67">
      <c r="A145" t="s">
        <v>766</v>
      </c>
      <c r="B145" t="s">
        <v>767</v>
      </c>
      <c r="C145" t="s">
        <v>486</v>
      </c>
      <c r="D145" t="s">
        <v>487</v>
      </c>
      <c r="AI145">
        <v>18503254590111.34</v>
      </c>
      <c r="AJ145">
        <v>18668510128270.016</v>
      </c>
      <c r="AK145">
        <v>18778143746158.078</v>
      </c>
      <c r="AL145">
        <v>19211844821875.82</v>
      </c>
      <c r="AM145">
        <v>19597681035759.156</v>
      </c>
      <c r="AN145">
        <v>20277413141576.02</v>
      </c>
      <c r="AO145">
        <v>21302970809409.566</v>
      </c>
      <c r="AP145">
        <v>22303862875325.883</v>
      </c>
      <c r="AQ145">
        <v>22745276765052.219</v>
      </c>
      <c r="AR145">
        <v>23619956318933.34</v>
      </c>
      <c r="AS145">
        <v>24969764978763.578</v>
      </c>
      <c r="AT145">
        <v>25893291759466.422</v>
      </c>
      <c r="AU145">
        <v>27083455185817.371</v>
      </c>
      <c r="AV145">
        <v>28704304889861.527</v>
      </c>
      <c r="AW145">
        <v>30851639583664.027</v>
      </c>
      <c r="AX145">
        <v>32991544131302.328</v>
      </c>
      <c r="AY145">
        <v>35561662016710.539</v>
      </c>
      <c r="AZ145">
        <v>38515212132826.18</v>
      </c>
      <c r="BA145">
        <v>40581374975154.492</v>
      </c>
      <c r="BB145">
        <v>41618889980732.109</v>
      </c>
      <c r="BC145">
        <v>44728709797408.594</v>
      </c>
      <c r="BD145">
        <v>47341923221352.727</v>
      </c>
      <c r="BE145">
        <v>49809663339428.867</v>
      </c>
      <c r="BF145">
        <v>52357642070287.609</v>
      </c>
      <c r="BG145">
        <v>54827925306468.516</v>
      </c>
      <c r="BH145">
        <v>57180314622861.797</v>
      </c>
      <c r="BI145">
        <v>59826385199168.672</v>
      </c>
      <c r="BJ145">
        <v>62860662625927.477</v>
      </c>
      <c r="BK145">
        <v>65869100545955.164</v>
      </c>
      <c r="BL145">
        <v>68382278809830.719</v>
      </c>
      <c r="BM145">
        <v>67220551486630.156</v>
      </c>
      <c r="BN145">
        <v>71834248182098.828</v>
      </c>
      <c r="BO145" s="188">
        <v>74463089988007.219</v>
      </c>
    </row>
    <row r="146" spans="1:67">
      <c r="A146" t="s">
        <v>768</v>
      </c>
      <c r="B146" t="s">
        <v>769</v>
      </c>
      <c r="C146" t="s">
        <v>486</v>
      </c>
      <c r="D146" t="s">
        <v>487</v>
      </c>
      <c r="AI146">
        <v>2277384320.5293493</v>
      </c>
      <c r="AJ146">
        <v>2436040738.6137938</v>
      </c>
      <c r="AK146">
        <v>2605500622.8910341</v>
      </c>
      <c r="AL146">
        <v>2696947610.3286991</v>
      </c>
      <c r="AM146">
        <v>2858221655.7428942</v>
      </c>
      <c r="AN146">
        <v>2952283973.9537001</v>
      </c>
      <c r="AO146">
        <v>3117524363.6929302</v>
      </c>
      <c r="AP146">
        <v>3232985108.1290627</v>
      </c>
      <c r="AQ146">
        <v>3282697285.9687047</v>
      </c>
      <c r="AR146">
        <v>3298323749.0747266</v>
      </c>
      <c r="AS146">
        <v>3426151830.0558348</v>
      </c>
      <c r="AT146">
        <v>3548177043.4666357</v>
      </c>
      <c r="AU146">
        <v>3573860024.8844848</v>
      </c>
      <c r="AV146">
        <v>3736820065.5676112</v>
      </c>
      <c r="AW146">
        <v>3800061044.4976864</v>
      </c>
      <c r="AX146">
        <v>3931775814.6695561</v>
      </c>
      <c r="AY146">
        <v>4098093661.0803928</v>
      </c>
      <c r="AZ146">
        <v>4269718316.375771</v>
      </c>
      <c r="BA146">
        <v>4505493365.9207773</v>
      </c>
      <c r="BB146">
        <v>4448926237.7505255</v>
      </c>
      <c r="BC146">
        <v>4683219179.4692936</v>
      </c>
      <c r="BD146">
        <v>4899314725.252593</v>
      </c>
      <c r="BE146">
        <v>5209677577.6764622</v>
      </c>
      <c r="BF146">
        <v>5303062686.4220142</v>
      </c>
      <c r="BG146">
        <v>5393773907.2449312</v>
      </c>
      <c r="BH146">
        <v>5562467299.6868725</v>
      </c>
      <c r="BI146">
        <v>5763016498.3767319</v>
      </c>
      <c r="BJ146">
        <v>5582162959.7937174</v>
      </c>
      <c r="BK146">
        <v>5499511578.8252449</v>
      </c>
      <c r="BL146">
        <v>5457482882.4926691</v>
      </c>
      <c r="BM146">
        <v>5150804956.9779568</v>
      </c>
      <c r="BN146">
        <v>5231038007.0457096</v>
      </c>
      <c r="BO146" s="188">
        <v>5262001450.4714804</v>
      </c>
    </row>
    <row r="147" spans="1:67">
      <c r="A147" t="s">
        <v>770</v>
      </c>
      <c r="B147" t="s">
        <v>771</v>
      </c>
      <c r="C147" t="s">
        <v>486</v>
      </c>
      <c r="D147" t="s">
        <v>487</v>
      </c>
      <c r="AI147">
        <v>9797859595165.7422</v>
      </c>
      <c r="AJ147">
        <v>9798332416546.3965</v>
      </c>
      <c r="AK147">
        <v>9662566088874.9824</v>
      </c>
      <c r="AL147">
        <v>9936003981960.5723</v>
      </c>
      <c r="AM147">
        <v>10214960826623.799</v>
      </c>
      <c r="AN147">
        <v>10703868797026.029</v>
      </c>
      <c r="AO147">
        <v>11177603962464.289</v>
      </c>
      <c r="AP147">
        <v>11718246645868.863</v>
      </c>
      <c r="AQ147">
        <v>11930919899065.293</v>
      </c>
      <c r="AR147">
        <v>12462458621054.084</v>
      </c>
      <c r="AS147">
        <v>13330021703499.289</v>
      </c>
      <c r="AT147">
        <v>13994089170038.721</v>
      </c>
      <c r="AU147">
        <v>14802191697242.75</v>
      </c>
      <c r="AV147">
        <v>15798818632759.857</v>
      </c>
      <c r="AW147">
        <v>17055834145953.83</v>
      </c>
      <c r="AX147">
        <v>18323229026457.191</v>
      </c>
      <c r="AY147">
        <v>19971063716707.965</v>
      </c>
      <c r="AZ147">
        <v>21930291028984.199</v>
      </c>
      <c r="BA147">
        <v>23390839295423.293</v>
      </c>
      <c r="BB147">
        <v>24020956830753.082</v>
      </c>
      <c r="BC147">
        <v>25838372493538.09</v>
      </c>
      <c r="BD147">
        <v>27600434097532.926</v>
      </c>
      <c r="BE147">
        <v>29166709701714.484</v>
      </c>
      <c r="BF147">
        <v>30694650528832.379</v>
      </c>
      <c r="BG147">
        <v>32178111019602.43</v>
      </c>
      <c r="BH147">
        <v>33522188027903.715</v>
      </c>
      <c r="BI147">
        <v>34912413898866.586</v>
      </c>
      <c r="BJ147">
        <v>36679957354245.055</v>
      </c>
      <c r="BK147">
        <v>38596438814564.094</v>
      </c>
      <c r="BL147">
        <v>40311508169865.305</v>
      </c>
      <c r="BM147">
        <v>40193288220387.203</v>
      </c>
      <c r="BN147">
        <v>43049831832162.891</v>
      </c>
      <c r="BO147" s="188">
        <v>44368013251174.945</v>
      </c>
    </row>
    <row r="148" spans="1:67">
      <c r="A148" t="s">
        <v>772</v>
      </c>
      <c r="B148" t="s">
        <v>773</v>
      </c>
      <c r="C148" t="s">
        <v>486</v>
      </c>
      <c r="D148" t="s">
        <v>487</v>
      </c>
      <c r="AN148">
        <v>38614951870.896225</v>
      </c>
      <c r="AO148">
        <v>40606890384.364899</v>
      </c>
      <c r="AP148">
        <v>43981697192.925003</v>
      </c>
      <c r="AQ148">
        <v>47269662757.933746</v>
      </c>
      <c r="AR148">
        <v>46730045922.229889</v>
      </c>
      <c r="AS148">
        <v>48456966648.567215</v>
      </c>
      <c r="AT148">
        <v>51619321062.895027</v>
      </c>
      <c r="AU148">
        <v>55104355429.128204</v>
      </c>
      <c r="AV148">
        <v>60926657922.704391</v>
      </c>
      <c r="AW148">
        <v>64929228693.881393</v>
      </c>
      <c r="AX148">
        <v>69949795338.677963</v>
      </c>
      <c r="AY148">
        <v>75135958038.991501</v>
      </c>
      <c r="AZ148">
        <v>83481669656.960251</v>
      </c>
      <c r="BA148">
        <v>85664233657.044647</v>
      </c>
      <c r="BB148">
        <v>72952853508.431381</v>
      </c>
      <c r="BC148">
        <v>74157480683.293076</v>
      </c>
      <c r="BD148">
        <v>78635856993.306747</v>
      </c>
      <c r="BE148">
        <v>81658512980.396362</v>
      </c>
      <c r="BF148">
        <v>84557449673.470032</v>
      </c>
      <c r="BG148">
        <v>87548255021.864746</v>
      </c>
      <c r="BH148">
        <v>89320742945.650101</v>
      </c>
      <c r="BI148">
        <v>91570579072.682907</v>
      </c>
      <c r="BJ148">
        <v>95492177900.252762</v>
      </c>
      <c r="BK148">
        <v>99305476902.731064</v>
      </c>
      <c r="BL148">
        <v>103898457632.23441</v>
      </c>
      <c r="BM148">
        <v>103875523354.66098</v>
      </c>
      <c r="BN148">
        <v>110088160603.53392</v>
      </c>
      <c r="BO148" s="188">
        <v>112166399830.07823</v>
      </c>
    </row>
    <row r="149" spans="1:67">
      <c r="A149" t="s">
        <v>774</v>
      </c>
      <c r="B149" t="s">
        <v>775</v>
      </c>
      <c r="C149" t="s">
        <v>486</v>
      </c>
      <c r="D149" t="s">
        <v>487</v>
      </c>
      <c r="AI149">
        <v>27058203782.480663</v>
      </c>
      <c r="AJ149">
        <v>29397165793.367268</v>
      </c>
      <c r="AK149">
        <v>29932092041.618511</v>
      </c>
      <c r="AL149">
        <v>31189434676.490334</v>
      </c>
      <c r="AM149">
        <v>32381158084.873295</v>
      </c>
      <c r="AN149">
        <v>32844921027.399776</v>
      </c>
      <c r="AO149">
        <v>33304117487.136379</v>
      </c>
      <c r="AP149">
        <v>35109145135.081764</v>
      </c>
      <c r="AQ149">
        <v>37452509306.822136</v>
      </c>
      <c r="AR149">
        <v>40514319942.465607</v>
      </c>
      <c r="AS149">
        <v>43325256229.729813</v>
      </c>
      <c r="AT149">
        <v>44657228410.587502</v>
      </c>
      <c r="AU149">
        <v>46097610202.689522</v>
      </c>
      <c r="AV149">
        <v>47305081129.950226</v>
      </c>
      <c r="AW149">
        <v>49306980746.226212</v>
      </c>
      <c r="AX149">
        <v>50531211320.232056</v>
      </c>
      <c r="AY149">
        <v>53571530313.665741</v>
      </c>
      <c r="AZ149">
        <v>57910110485.541374</v>
      </c>
      <c r="BA149">
        <v>57736278119.688339</v>
      </c>
      <c r="BB149">
        <v>55866226614.587837</v>
      </c>
      <c r="BC149">
        <v>57967027793.848114</v>
      </c>
      <c r="BD149">
        <v>58572376708.37294</v>
      </c>
      <c r="BE149">
        <v>59538763540.578598</v>
      </c>
      <c r="BF149">
        <v>61427208385.876045</v>
      </c>
      <c r="BG149">
        <v>63038496898.925041</v>
      </c>
      <c r="BH149">
        <v>64469334920.606995</v>
      </c>
      <c r="BI149">
        <v>67678741186.303719</v>
      </c>
      <c r="BJ149">
        <v>68570197215.640625</v>
      </c>
      <c r="BK149">
        <v>69406288659.893219</v>
      </c>
      <c r="BL149">
        <v>71016462641.549438</v>
      </c>
      <c r="BM149">
        <v>70450152094.238754</v>
      </c>
      <c r="BN149">
        <v>74044839716.886719</v>
      </c>
      <c r="BO149" s="188">
        <v>75191582972.10466</v>
      </c>
    </row>
    <row r="150" spans="1:67">
      <c r="A150" t="s">
        <v>776</v>
      </c>
      <c r="B150" t="s">
        <v>777</v>
      </c>
      <c r="C150" t="s">
        <v>486</v>
      </c>
      <c r="D150" t="s">
        <v>487</v>
      </c>
      <c r="AN150">
        <v>23854415374.900837</v>
      </c>
      <c r="AO150">
        <v>24471771301.891209</v>
      </c>
      <c r="AP150">
        <v>26634320388.539913</v>
      </c>
      <c r="AQ150">
        <v>28321854357.582569</v>
      </c>
      <c r="AR150">
        <v>29102454005.005501</v>
      </c>
      <c r="AS150">
        <v>30754234009.733135</v>
      </c>
      <c r="AT150">
        <v>32698980506.523712</v>
      </c>
      <c r="AU150">
        <v>35016726314.324051</v>
      </c>
      <c r="AV150">
        <v>37966136921.071815</v>
      </c>
      <c r="AW150">
        <v>41111307125.772629</v>
      </c>
      <c r="AX150">
        <v>45518589699.182777</v>
      </c>
      <c r="AY150">
        <v>50968000468.150406</v>
      </c>
      <c r="AZ150">
        <v>56035199129.860947</v>
      </c>
      <c r="BA150">
        <v>54214547862.726936</v>
      </c>
      <c r="BB150">
        <v>46483477416.689049</v>
      </c>
      <c r="BC150">
        <v>44412374815.61039</v>
      </c>
      <c r="BD150">
        <v>45555421597.08989</v>
      </c>
      <c r="BE150">
        <v>48763546980.985283</v>
      </c>
      <c r="BF150">
        <v>49742702853.275146</v>
      </c>
      <c r="BG150">
        <v>50688894959.136475</v>
      </c>
      <c r="BH150">
        <v>52658290346.933479</v>
      </c>
      <c r="BI150">
        <v>53905562377.421677</v>
      </c>
      <c r="BJ150">
        <v>55691171159.271637</v>
      </c>
      <c r="BK150">
        <v>57914281683.917366</v>
      </c>
      <c r="BL150">
        <v>59402507231.888687</v>
      </c>
      <c r="BM150">
        <v>58093878707.016434</v>
      </c>
      <c r="BN150">
        <v>60454823292.847359</v>
      </c>
      <c r="BO150" s="188">
        <v>61649523023.372955</v>
      </c>
    </row>
    <row r="151" spans="1:67">
      <c r="A151" t="s">
        <v>778</v>
      </c>
      <c r="B151" t="s">
        <v>779</v>
      </c>
      <c r="C151" t="s">
        <v>486</v>
      </c>
      <c r="D151" t="s">
        <v>487</v>
      </c>
      <c r="AI151">
        <v>16768964625.964079</v>
      </c>
      <c r="AJ151">
        <v>17382613181.095875</v>
      </c>
      <c r="AK151">
        <v>19694340628.028419</v>
      </c>
      <c r="AL151">
        <v>20715682171.222973</v>
      </c>
      <c r="AM151">
        <v>21596724507.999168</v>
      </c>
      <c r="AN151">
        <v>22308674206.451538</v>
      </c>
      <c r="AO151">
        <v>22215141402.172634</v>
      </c>
      <c r="AP151">
        <v>22152969596.975479</v>
      </c>
      <c r="AQ151">
        <v>21140431141.24247</v>
      </c>
      <c r="AR151">
        <v>20641772916.077095</v>
      </c>
      <c r="AS151">
        <v>21827988951.520149</v>
      </c>
      <c r="AT151">
        <v>22458510090.953236</v>
      </c>
      <c r="AU151">
        <v>24459745307.210903</v>
      </c>
      <c r="AV151">
        <v>27306993908.054047</v>
      </c>
      <c r="AW151">
        <v>34579077741.911186</v>
      </c>
      <c r="AX151">
        <v>37371490443.775124</v>
      </c>
      <c r="AY151">
        <v>42375678870.35199</v>
      </c>
      <c r="AZ151">
        <v>48510147047.460022</v>
      </c>
      <c r="BA151">
        <v>50155407414.491501</v>
      </c>
      <c r="BB151">
        <v>50794548243.73069</v>
      </c>
      <c r="BC151">
        <v>63555540507.515961</v>
      </c>
      <c r="BD151">
        <v>77294042274.843521</v>
      </c>
      <c r="BE151">
        <v>84437747749.886475</v>
      </c>
      <c r="BF151">
        <v>93517215478.191864</v>
      </c>
      <c r="BG151">
        <v>91601626967.028809</v>
      </c>
      <c r="BH151">
        <v>71894081707.80806</v>
      </c>
      <c r="BI151">
        <v>71405877149.003265</v>
      </c>
      <c r="BJ151">
        <v>78534544016.299423</v>
      </c>
      <c r="BK151">
        <v>83611541312.089478</v>
      </c>
      <c r="BL151">
        <v>81511271361.88945</v>
      </c>
      <c r="BM151">
        <v>37302899720.63726</v>
      </c>
      <c r="BN151">
        <v>44490070440.021584</v>
      </c>
      <c r="BO151" s="188">
        <v>32583894648.283325</v>
      </c>
    </row>
    <row r="152" spans="1:67">
      <c r="A152" t="s">
        <v>780</v>
      </c>
      <c r="B152" t="s">
        <v>781</v>
      </c>
      <c r="C152" t="s">
        <v>486</v>
      </c>
      <c r="D152" t="s">
        <v>487</v>
      </c>
    </row>
    <row r="153" spans="1:67">
      <c r="A153" t="s">
        <v>782</v>
      </c>
      <c r="B153" t="s">
        <v>783</v>
      </c>
      <c r="C153" t="s">
        <v>486</v>
      </c>
      <c r="D153" t="s">
        <v>487</v>
      </c>
      <c r="AI153">
        <v>101964123611.26022</v>
      </c>
      <c r="AJ153">
        <v>109321944664.02979</v>
      </c>
      <c r="AK153">
        <v>107028655856.01245</v>
      </c>
      <c r="AL153">
        <v>106236010522.65988</v>
      </c>
      <c r="AM153">
        <v>117484279742.39838</v>
      </c>
      <c r="AN153">
        <v>111133728248.81461</v>
      </c>
      <c r="AO153">
        <v>124884166945.955</v>
      </c>
      <c r="AP153">
        <v>122935096810.07784</v>
      </c>
      <c r="AQ153">
        <v>131833818566.75238</v>
      </c>
      <c r="AR153">
        <v>134071119518.22243</v>
      </c>
      <c r="AS153">
        <v>137533078357.69601</v>
      </c>
      <c r="AT153">
        <v>148153142276.67703</v>
      </c>
      <c r="AU153">
        <v>153679546881.59933</v>
      </c>
      <c r="AV153">
        <v>163163268707.59427</v>
      </c>
      <c r="AW153">
        <v>170622082019.5293</v>
      </c>
      <c r="AX153">
        <v>176068764953.56284</v>
      </c>
      <c r="AY153">
        <v>189785965539.78165</v>
      </c>
      <c r="AZ153">
        <v>196316629231.53262</v>
      </c>
      <c r="BA153">
        <v>207476325289.52005</v>
      </c>
      <c r="BB153">
        <v>215247909991.47559</v>
      </c>
      <c r="BC153">
        <v>222780633511.86902</v>
      </c>
      <c r="BD153">
        <v>235088473158.10699</v>
      </c>
      <c r="BE153">
        <v>242287690167.84021</v>
      </c>
      <c r="BF153">
        <v>252275304511.39166</v>
      </c>
      <c r="BG153">
        <v>259135285790.7576</v>
      </c>
      <c r="BH153">
        <v>270393633302.94498</v>
      </c>
      <c r="BI153">
        <v>271802885729.10922</v>
      </c>
      <c r="BJ153">
        <v>285550398889.94305</v>
      </c>
      <c r="BK153">
        <v>294304349937.03418</v>
      </c>
      <c r="BL153">
        <v>302812614415.33008</v>
      </c>
      <c r="BM153">
        <v>281049230847.6228</v>
      </c>
      <c r="BN153">
        <v>303335501584.75275</v>
      </c>
      <c r="BO153" s="188">
        <v>306611432457.36652</v>
      </c>
    </row>
    <row r="154" spans="1:67">
      <c r="A154" t="s">
        <v>784</v>
      </c>
      <c r="B154" t="s">
        <v>785</v>
      </c>
      <c r="C154" t="s">
        <v>486</v>
      </c>
      <c r="D154" t="s">
        <v>487</v>
      </c>
    </row>
    <row r="155" spans="1:67">
      <c r="A155" t="s">
        <v>786</v>
      </c>
      <c r="B155" t="s">
        <v>787</v>
      </c>
      <c r="C155" t="s">
        <v>486</v>
      </c>
      <c r="D155" t="s">
        <v>487</v>
      </c>
      <c r="AN155">
        <v>16590806214.562824</v>
      </c>
      <c r="AO155">
        <v>15615754544.81011</v>
      </c>
      <c r="AP155">
        <v>15872956094.809958</v>
      </c>
      <c r="AQ155">
        <v>14834516827.34627</v>
      </c>
      <c r="AR155">
        <v>14334852542.425802</v>
      </c>
      <c r="AS155">
        <v>14636990529.854313</v>
      </c>
      <c r="AT155">
        <v>15529847012.606106</v>
      </c>
      <c r="AU155">
        <v>16741175023.914829</v>
      </c>
      <c r="AV155">
        <v>17846092581.816044</v>
      </c>
      <c r="AW155">
        <v>19166703377.531605</v>
      </c>
      <c r="AX155">
        <v>20604206157.424828</v>
      </c>
      <c r="AY155">
        <v>21593208022.094299</v>
      </c>
      <c r="AZ155">
        <v>22241004314.514942</v>
      </c>
      <c r="BA155">
        <v>23975802683.22086</v>
      </c>
      <c r="BB155">
        <v>22537254452.84433</v>
      </c>
      <c r="BC155">
        <v>24137399537.880844</v>
      </c>
      <c r="BD155">
        <v>25541753552.767929</v>
      </c>
      <c r="BE155">
        <v>25391125171.33321</v>
      </c>
      <c r="BF155">
        <v>27687464404.281586</v>
      </c>
      <c r="BG155">
        <v>29071734036.265987</v>
      </c>
      <c r="BH155">
        <v>28973403067.162571</v>
      </c>
      <c r="BI155">
        <v>30319511534.995216</v>
      </c>
      <c r="BJ155">
        <v>31585536712.47385</v>
      </c>
      <c r="BK155">
        <v>32872835414.59193</v>
      </c>
      <c r="BL155">
        <v>34040581777.277615</v>
      </c>
      <c r="BM155">
        <v>31223390609.466717</v>
      </c>
      <c r="BN155">
        <v>35572808855.477386</v>
      </c>
      <c r="BO155" s="188">
        <v>33456925096.494137</v>
      </c>
    </row>
    <row r="156" spans="1:67">
      <c r="A156" t="s">
        <v>788</v>
      </c>
      <c r="B156" t="s">
        <v>789</v>
      </c>
      <c r="C156" t="s">
        <v>486</v>
      </c>
      <c r="D156" t="s">
        <v>487</v>
      </c>
      <c r="AI156">
        <v>21492868989.874275</v>
      </c>
      <c r="AJ156">
        <v>20137453104.283268</v>
      </c>
      <c r="AK156">
        <v>20375253255.75375</v>
      </c>
      <c r="AL156">
        <v>20803117923.298882</v>
      </c>
      <c r="AM156">
        <v>20794359540.066254</v>
      </c>
      <c r="AN156">
        <v>21143412061.7411</v>
      </c>
      <c r="AO156">
        <v>21598884390.85778</v>
      </c>
      <c r="AP156">
        <v>22396637590.941765</v>
      </c>
      <c r="AQ156">
        <v>23273930593.008129</v>
      </c>
      <c r="AR156">
        <v>24367625433.59557</v>
      </c>
      <c r="AS156">
        <v>25453656125.659004</v>
      </c>
      <c r="AT156">
        <v>26975844772.594131</v>
      </c>
      <c r="AU156">
        <v>23628689748.615837</v>
      </c>
      <c r="AV156">
        <v>25940731550.209797</v>
      </c>
      <c r="AW156">
        <v>27304436747.242752</v>
      </c>
      <c r="AX156">
        <v>28602993463.447918</v>
      </c>
      <c r="AY156">
        <v>30147128482.537899</v>
      </c>
      <c r="AZ156">
        <v>31868699608.056057</v>
      </c>
      <c r="BA156">
        <v>34007928308.795109</v>
      </c>
      <c r="BB156">
        <v>32654851936.136757</v>
      </c>
      <c r="BC156">
        <v>32857063758.273064</v>
      </c>
      <c r="BD156">
        <v>33375688540.872627</v>
      </c>
      <c r="BE156">
        <v>34380679957.262939</v>
      </c>
      <c r="BF156">
        <v>35171564947.446548</v>
      </c>
      <c r="BG156">
        <v>36346014939.08017</v>
      </c>
      <c r="BH156">
        <v>37484480464.497948</v>
      </c>
      <c r="BI156">
        <v>38981290520.823334</v>
      </c>
      <c r="BJ156">
        <v>40514544581.331474</v>
      </c>
      <c r="BK156">
        <v>41808723575.654976</v>
      </c>
      <c r="BL156">
        <v>43653003423.19696</v>
      </c>
      <c r="BM156">
        <v>40537195385.915535</v>
      </c>
      <c r="BN156">
        <v>42863874631.862053</v>
      </c>
      <c r="BO156" s="188">
        <v>44491075134.303894</v>
      </c>
    </row>
    <row r="157" spans="1:67">
      <c r="A157" t="s">
        <v>790</v>
      </c>
      <c r="B157" t="s">
        <v>791</v>
      </c>
      <c r="C157" t="s">
        <v>486</v>
      </c>
      <c r="D157" t="s">
        <v>487</v>
      </c>
      <c r="AN157">
        <v>2693313074.6769032</v>
      </c>
      <c r="AO157">
        <v>2904971039.8625836</v>
      </c>
      <c r="AP157">
        <v>3148928788.9151139</v>
      </c>
      <c r="AQ157">
        <v>3384931020.3164153</v>
      </c>
      <c r="AR157">
        <v>3593972710.1449475</v>
      </c>
      <c r="AS157">
        <v>3732190086.1185927</v>
      </c>
      <c r="AT157">
        <v>3585006155.7220645</v>
      </c>
      <c r="AU157">
        <v>3845578252.4761333</v>
      </c>
      <c r="AV157">
        <v>4374347178.0775251</v>
      </c>
      <c r="AW157">
        <v>4638284528.0353746</v>
      </c>
      <c r="AX157">
        <v>4029321674.0906096</v>
      </c>
      <c r="AY157">
        <v>5081437741.1573906</v>
      </c>
      <c r="AZ157">
        <v>5473413103.9609995</v>
      </c>
      <c r="BA157">
        <v>5992584544.759409</v>
      </c>
      <c r="BB157">
        <v>5559390108.345006</v>
      </c>
      <c r="BC157">
        <v>5963286975.1322098</v>
      </c>
      <c r="BD157">
        <v>6474145879.9510756</v>
      </c>
      <c r="BE157">
        <v>6637124988.7273617</v>
      </c>
      <c r="BF157">
        <v>7120378969.2352076</v>
      </c>
      <c r="BG157">
        <v>7642276131.9489889</v>
      </c>
      <c r="BH157">
        <v>7862721295.7414846</v>
      </c>
      <c r="BI157">
        <v>8361084209.6574287</v>
      </c>
      <c r="BJ157">
        <v>8963910866.519825</v>
      </c>
      <c r="BK157">
        <v>9692060901.4209709</v>
      </c>
      <c r="BL157">
        <v>10379951630.006109</v>
      </c>
      <c r="BM157">
        <v>6903415627.831912</v>
      </c>
      <c r="BN157">
        <v>9785253422.8076191</v>
      </c>
      <c r="BO157" s="188">
        <v>10988789343.492428</v>
      </c>
    </row>
    <row r="158" spans="1:67">
      <c r="A158" t="s">
        <v>792</v>
      </c>
      <c r="B158" t="s">
        <v>793</v>
      </c>
      <c r="C158" t="s">
        <v>486</v>
      </c>
      <c r="D158" t="s">
        <v>487</v>
      </c>
      <c r="AI158">
        <v>2763902551273.064</v>
      </c>
      <c r="AJ158">
        <v>2894142100990.4639</v>
      </c>
      <c r="AK158">
        <v>3021488766627.1621</v>
      </c>
      <c r="AL158">
        <v>3070407651657.6772</v>
      </c>
      <c r="AM158">
        <v>3131094541766.4648</v>
      </c>
      <c r="AN158">
        <v>3210110823404.2524</v>
      </c>
      <c r="AO158">
        <v>3370952920015.064</v>
      </c>
      <c r="AP158">
        <v>3483244966232.2891</v>
      </c>
      <c r="AQ158">
        <v>3641908276102.8462</v>
      </c>
      <c r="AR158">
        <v>3715781347691.2764</v>
      </c>
      <c r="AS158">
        <v>3956065050326.1821</v>
      </c>
      <c r="AT158">
        <v>4021543173669.479</v>
      </c>
      <c r="AU158">
        <v>4092997419777.5107</v>
      </c>
      <c r="AV158">
        <v>4315212019169.7021</v>
      </c>
      <c r="AW158">
        <v>4640893455869.1689</v>
      </c>
      <c r="AX158">
        <v>4869214269952.9541</v>
      </c>
      <c r="AY158">
        <v>5140190875774.4346</v>
      </c>
      <c r="AZ158">
        <v>5411797838830.7139</v>
      </c>
      <c r="BA158">
        <v>5655073946770.4287</v>
      </c>
      <c r="BB158">
        <v>5696806414946.123</v>
      </c>
      <c r="BC158">
        <v>5975640507769.998</v>
      </c>
      <c r="BD158">
        <v>6192600095811.7002</v>
      </c>
      <c r="BE158">
        <v>6469816951289.9385</v>
      </c>
      <c r="BF158">
        <v>6600479133083.3916</v>
      </c>
      <c r="BG158">
        <v>6795067444006.5449</v>
      </c>
      <c r="BH158">
        <v>7011982361416.249</v>
      </c>
      <c r="BI158">
        <v>7341749358799.1611</v>
      </c>
      <c r="BJ158">
        <v>7489050150253.6094</v>
      </c>
      <c r="BK158">
        <v>7642766832579.0947</v>
      </c>
      <c r="BL158">
        <v>7728230958529.4951</v>
      </c>
      <c r="BM158">
        <v>7478223314284.6787</v>
      </c>
      <c r="BN158">
        <v>7799370165954.5</v>
      </c>
      <c r="BO158" s="188">
        <v>8243019201102.5283</v>
      </c>
    </row>
    <row r="159" spans="1:67">
      <c r="A159" t="s">
        <v>794</v>
      </c>
      <c r="B159" t="s">
        <v>795</v>
      </c>
      <c r="C159" t="s">
        <v>486</v>
      </c>
      <c r="D159" t="s">
        <v>487</v>
      </c>
      <c r="AI159">
        <v>1243646678828.6194</v>
      </c>
      <c r="AJ159">
        <v>1293860134675.3264</v>
      </c>
      <c r="AK159">
        <v>1339249826270.7769</v>
      </c>
      <c r="AL159">
        <v>1380351691180.6436</v>
      </c>
      <c r="AM159">
        <v>1448555981850.095</v>
      </c>
      <c r="AN159">
        <v>1357423981459.0371</v>
      </c>
      <c r="AO159">
        <v>1449365819303.7671</v>
      </c>
      <c r="AP159">
        <v>1548601755928.3684</v>
      </c>
      <c r="AQ159">
        <v>1628570391754.0913</v>
      </c>
      <c r="AR159">
        <v>1673413960949.4766</v>
      </c>
      <c r="AS159">
        <v>1756121671424.3008</v>
      </c>
      <c r="AT159">
        <v>1749020088772.3477</v>
      </c>
      <c r="AU159">
        <v>1748323200787.1956</v>
      </c>
      <c r="AV159">
        <v>1773610644818.5547</v>
      </c>
      <c r="AW159">
        <v>1843146660769.5989</v>
      </c>
      <c r="AX159">
        <v>1885682929642.0596</v>
      </c>
      <c r="AY159">
        <v>1970445846167.3684</v>
      </c>
      <c r="AZ159">
        <v>2015597543061.9338</v>
      </c>
      <c r="BA159">
        <v>2038647605904.2515</v>
      </c>
      <c r="BB159">
        <v>1930889909604.7969</v>
      </c>
      <c r="BC159">
        <v>2029715136393.7229</v>
      </c>
      <c r="BD159">
        <v>2104063762786.1055</v>
      </c>
      <c r="BE159">
        <v>2180700554407.3843</v>
      </c>
      <c r="BF159">
        <v>2210229245319.3667</v>
      </c>
      <c r="BG159">
        <v>2273215767224.6079</v>
      </c>
      <c r="BH159">
        <v>2348076207005.2915</v>
      </c>
      <c r="BI159">
        <v>2409843112983.7305</v>
      </c>
      <c r="BJ159">
        <v>2460766209923.9565</v>
      </c>
      <c r="BK159">
        <v>2514779898431.9551</v>
      </c>
      <c r="BL159">
        <v>2509774285066.5586</v>
      </c>
      <c r="BM159">
        <v>2309295715239.8784</v>
      </c>
      <c r="BN159">
        <v>2418307527394.3223</v>
      </c>
      <c r="BO159" s="188">
        <v>2492365298049.1001</v>
      </c>
    </row>
    <row r="160" spans="1:67">
      <c r="A160" t="s">
        <v>796</v>
      </c>
      <c r="B160" t="s">
        <v>797</v>
      </c>
      <c r="C160" t="s">
        <v>486</v>
      </c>
      <c r="D160" t="s">
        <v>487</v>
      </c>
      <c r="AI160">
        <v>157777304.61931968</v>
      </c>
      <c r="AJ160">
        <v>157915872.92191252</v>
      </c>
      <c r="AK160">
        <v>169192422.16249716</v>
      </c>
      <c r="AL160">
        <v>179354526.22867623</v>
      </c>
      <c r="AM160">
        <v>189896495.56574908</v>
      </c>
      <c r="AN160">
        <v>205493176.74042001</v>
      </c>
      <c r="AO160">
        <v>184321324.12347281</v>
      </c>
      <c r="AP160">
        <v>172440593.10845444</v>
      </c>
      <c r="AQ160">
        <v>171027625.71847922</v>
      </c>
      <c r="AR160">
        <v>168880984.75429943</v>
      </c>
      <c r="AS160">
        <v>171167766.88761002</v>
      </c>
      <c r="AT160">
        <v>182851824.44295898</v>
      </c>
      <c r="AU160">
        <v>189693137.92743883</v>
      </c>
      <c r="AV160">
        <v>186627932.21037909</v>
      </c>
      <c r="AW160">
        <v>189105383.37169865</v>
      </c>
      <c r="AX160">
        <v>192458235.35264125</v>
      </c>
      <c r="AY160">
        <v>192847956.95475113</v>
      </c>
      <c r="AZ160">
        <v>199389388.72970048</v>
      </c>
      <c r="BA160">
        <v>184143230.41460165</v>
      </c>
      <c r="BB160">
        <v>190907392.61680335</v>
      </c>
      <c r="BC160">
        <v>201257673.30539653</v>
      </c>
      <c r="BD160">
        <v>200639330.13553727</v>
      </c>
      <c r="BE160">
        <v>198045642.24056515</v>
      </c>
      <c r="BF160">
        <v>205333096.32653013</v>
      </c>
      <c r="BG160">
        <v>203033512.29175487</v>
      </c>
      <c r="BH160">
        <v>207319770.16798335</v>
      </c>
      <c r="BI160">
        <v>211499534.35061207</v>
      </c>
      <c r="BJ160">
        <v>218712556.14222056</v>
      </c>
      <c r="BK160">
        <v>227885401.76955557</v>
      </c>
      <c r="BL160">
        <v>252586387.41770205</v>
      </c>
      <c r="BM160">
        <v>247934765.53949553</v>
      </c>
      <c r="BN160">
        <v>250698730.0530639</v>
      </c>
      <c r="BO160" s="188">
        <v>254459203.63993427</v>
      </c>
    </row>
    <row r="161" spans="1:67">
      <c r="A161" t="s">
        <v>798</v>
      </c>
      <c r="B161" t="s">
        <v>799</v>
      </c>
      <c r="C161" t="s">
        <v>486</v>
      </c>
      <c r="D161" t="s">
        <v>487</v>
      </c>
      <c r="AI161">
        <v>18138897536549.984</v>
      </c>
      <c r="AJ161">
        <v>18302421928055.375</v>
      </c>
      <c r="AK161">
        <v>18416851671984.301</v>
      </c>
      <c r="AL161">
        <v>18846800962769.973</v>
      </c>
      <c r="AM161">
        <v>19231536520973.289</v>
      </c>
      <c r="AN161">
        <v>19894499314756.488</v>
      </c>
      <c r="AO161">
        <v>20898994096400.035</v>
      </c>
      <c r="AP161">
        <v>21872047569057.141</v>
      </c>
      <c r="AQ161">
        <v>22301816240805.637</v>
      </c>
      <c r="AR161">
        <v>23161583479851.332</v>
      </c>
      <c r="AS161">
        <v>24495007761288.309</v>
      </c>
      <c r="AT161">
        <v>25393204118705.586</v>
      </c>
      <c r="AU161">
        <v>26562527148826.945</v>
      </c>
      <c r="AV161">
        <v>28155940738441.652</v>
      </c>
      <c r="AW161">
        <v>30267274025014.234</v>
      </c>
      <c r="AX161">
        <v>32366663372734.926</v>
      </c>
      <c r="AY161">
        <v>34893451318701.703</v>
      </c>
      <c r="AZ161">
        <v>37799038539026.109</v>
      </c>
      <c r="BA161">
        <v>39822312287083.289</v>
      </c>
      <c r="BB161">
        <v>40833448742840.031</v>
      </c>
      <c r="BC161">
        <v>43887016988576.898</v>
      </c>
      <c r="BD161">
        <v>46468078759388.922</v>
      </c>
      <c r="BE161">
        <v>48925211022505.469</v>
      </c>
      <c r="BF161">
        <v>51425903661140.188</v>
      </c>
      <c r="BG161">
        <v>53839943334976.969</v>
      </c>
      <c r="BH161">
        <v>56145387502499.438</v>
      </c>
      <c r="BI161">
        <v>58742900529579.719</v>
      </c>
      <c r="BJ161">
        <v>61730235313128.352</v>
      </c>
      <c r="BK161">
        <v>64694628350890.297</v>
      </c>
      <c r="BL161">
        <v>67156847988012.602</v>
      </c>
      <c r="BM161">
        <v>65989688802346.281</v>
      </c>
      <c r="BN161">
        <v>70572125567382.453</v>
      </c>
      <c r="BO161" s="188">
        <v>73149306038056</v>
      </c>
    </row>
    <row r="162" spans="1:67">
      <c r="A162" t="s">
        <v>800</v>
      </c>
      <c r="B162" t="s">
        <v>801</v>
      </c>
      <c r="C162" t="s">
        <v>486</v>
      </c>
      <c r="D162" t="s">
        <v>487</v>
      </c>
      <c r="AI162">
        <v>22713319440.210888</v>
      </c>
      <c r="AJ162">
        <v>21311733272.392593</v>
      </c>
      <c r="AK162">
        <v>19912575641.577854</v>
      </c>
      <c r="AL162">
        <v>18425251340.38982</v>
      </c>
      <c r="AM162">
        <v>18101304802.509251</v>
      </c>
      <c r="AN162">
        <v>17899524544.874241</v>
      </c>
      <c r="AO162">
        <v>18111652506.320137</v>
      </c>
      <c r="AP162">
        <v>18372456922.159412</v>
      </c>
      <c r="AQ162">
        <v>18993213673.451744</v>
      </c>
      <c r="AR162">
        <v>19817334516.332958</v>
      </c>
      <c r="AS162">
        <v>20718851972.030224</v>
      </c>
      <c r="AT162">
        <v>20083351612.394337</v>
      </c>
      <c r="AU162">
        <v>20383329701.054905</v>
      </c>
      <c r="AV162">
        <v>20836369924.80838</v>
      </c>
      <c r="AW162">
        <v>21810280520.232662</v>
      </c>
      <c r="AX162">
        <v>22840617505.081619</v>
      </c>
      <c r="AY162">
        <v>24013945773.367641</v>
      </c>
      <c r="AZ162">
        <v>25568485396.979404</v>
      </c>
      <c r="BA162">
        <v>26967593273.343941</v>
      </c>
      <c r="BB162">
        <v>26870883477.295883</v>
      </c>
      <c r="BC162">
        <v>27773409506.571365</v>
      </c>
      <c r="BD162">
        <v>28423275639.892796</v>
      </c>
      <c r="BE162">
        <v>28293613424.823765</v>
      </c>
      <c r="BF162">
        <v>29121274520.098797</v>
      </c>
      <c r="BG162">
        <v>30178121540.924171</v>
      </c>
      <c r="BH162">
        <v>31341749209.453457</v>
      </c>
      <c r="BI162">
        <v>32234426538.212559</v>
      </c>
      <c r="BJ162">
        <v>32583129776.796268</v>
      </c>
      <c r="BK162">
        <v>33521718341.045261</v>
      </c>
      <c r="BL162">
        <v>34832558164.661491</v>
      </c>
      <c r="BM162">
        <v>32703979996.666435</v>
      </c>
      <c r="BN162">
        <v>34504666518.745499</v>
      </c>
      <c r="BO162" s="188">
        <v>35245363176.003914</v>
      </c>
    </row>
    <row r="163" spans="1:67">
      <c r="A163" t="s">
        <v>802</v>
      </c>
      <c r="B163" t="s">
        <v>803</v>
      </c>
      <c r="C163" t="s">
        <v>486</v>
      </c>
      <c r="D163" t="s">
        <v>487</v>
      </c>
      <c r="AI163">
        <v>11955670444.636829</v>
      </c>
      <c r="AJ163">
        <v>13359888303.22368</v>
      </c>
      <c r="AK163">
        <v>12929878589.660839</v>
      </c>
      <c r="AL163">
        <v>13340036083.646</v>
      </c>
      <c r="AM163">
        <v>13844280649.988848</v>
      </c>
      <c r="AN163">
        <v>13971789575.574528</v>
      </c>
      <c r="AO163">
        <v>14957609065.142649</v>
      </c>
      <c r="AP163">
        <v>15679915647.482918</v>
      </c>
      <c r="AQ163">
        <v>16867146746.527445</v>
      </c>
      <c r="AR163">
        <v>17828733278.616756</v>
      </c>
      <c r="AS163">
        <v>17817887173.752071</v>
      </c>
      <c r="AT163">
        <v>20557608171.929745</v>
      </c>
      <c r="AU163">
        <v>21196190850.999916</v>
      </c>
      <c r="AV163">
        <v>23129080396.111683</v>
      </c>
      <c r="AW163">
        <v>23489893740.485062</v>
      </c>
      <c r="AX163">
        <v>25024906330.86438</v>
      </c>
      <c r="AY163">
        <v>26191614229.949432</v>
      </c>
      <c r="AZ163">
        <v>27106648868.161896</v>
      </c>
      <c r="BA163">
        <v>28400488545.352997</v>
      </c>
      <c r="BB163">
        <v>29765507550.23901</v>
      </c>
      <c r="BC163">
        <v>31347227356.912296</v>
      </c>
      <c r="BD163">
        <v>32354455708.349545</v>
      </c>
      <c r="BE163">
        <v>32083734772.594498</v>
      </c>
      <c r="BF163">
        <v>32820078395.488079</v>
      </c>
      <c r="BG163">
        <v>35145277199.162102</v>
      </c>
      <c r="BH163">
        <v>37314373425.86264</v>
      </c>
      <c r="BI163">
        <v>39498122203.130806</v>
      </c>
      <c r="BJ163">
        <v>41593677730.773315</v>
      </c>
      <c r="BK163">
        <v>43567915125.389519</v>
      </c>
      <c r="BL163">
        <v>45640075229.318817</v>
      </c>
      <c r="BM163">
        <v>45076214715.851921</v>
      </c>
      <c r="BN163">
        <v>46452217362.84948</v>
      </c>
      <c r="BO163" s="188">
        <v>48165135491.23877</v>
      </c>
    </row>
    <row r="164" spans="1:67">
      <c r="A164" t="s">
        <v>804</v>
      </c>
      <c r="B164" t="s">
        <v>805</v>
      </c>
      <c r="C164" t="s">
        <v>486</v>
      </c>
      <c r="D164" t="s">
        <v>487</v>
      </c>
      <c r="AI164">
        <v>5711994091.2993441</v>
      </c>
      <c r="AJ164">
        <v>6069364549.3533316</v>
      </c>
      <c r="AK164">
        <v>6354074339.3318586</v>
      </c>
      <c r="AL164">
        <v>6638784484.5515289</v>
      </c>
      <c r="AM164">
        <v>7013949149.0611744</v>
      </c>
      <c r="AN164">
        <v>7458808395.7257652</v>
      </c>
      <c r="AO164">
        <v>7740552632.6454926</v>
      </c>
      <c r="AP164">
        <v>8147471947.6550293</v>
      </c>
      <c r="AQ164">
        <v>8565078870.0616121</v>
      </c>
      <c r="AR164">
        <v>8969348441.3881607</v>
      </c>
      <c r="AS164">
        <v>10734676848.44581</v>
      </c>
      <c r="AT164">
        <v>10608566242.806845</v>
      </c>
      <c r="AU164">
        <v>10880680958.072895</v>
      </c>
      <c r="AV164">
        <v>11324021904.093822</v>
      </c>
      <c r="AW164">
        <v>11339830134.941523</v>
      </c>
      <c r="AX164">
        <v>11723490568.998095</v>
      </c>
      <c r="AY164">
        <v>12017807855.679455</v>
      </c>
      <c r="AZ164">
        <v>12591699921.62241</v>
      </c>
      <c r="BA164">
        <v>13073406911.048994</v>
      </c>
      <c r="BB164">
        <v>12925271354.56604</v>
      </c>
      <c r="BC164">
        <v>13641792739.280951</v>
      </c>
      <c r="BD164">
        <v>13705380903.814402</v>
      </c>
      <c r="BE164">
        <v>14269859079.477264</v>
      </c>
      <c r="BF164">
        <v>15050856731.582239</v>
      </c>
      <c r="BG164">
        <v>16199706586.896084</v>
      </c>
      <c r="BH164">
        <v>17756195653.395035</v>
      </c>
      <c r="BI164">
        <v>18356553184.465042</v>
      </c>
      <c r="BJ164">
        <v>20362067055.267239</v>
      </c>
      <c r="BK164">
        <v>21612344256.011002</v>
      </c>
      <c r="BL164">
        <v>23127115740.634892</v>
      </c>
      <c r="BM164">
        <v>21135295082.80872</v>
      </c>
      <c r="BN164">
        <v>23630507533.472645</v>
      </c>
      <c r="BO164" s="188">
        <v>25249436264.455334</v>
      </c>
    </row>
    <row r="165" spans="1:67">
      <c r="A165" t="s">
        <v>806</v>
      </c>
      <c r="B165" t="s">
        <v>807</v>
      </c>
      <c r="C165" t="s">
        <v>486</v>
      </c>
      <c r="D165" t="s">
        <v>487</v>
      </c>
      <c r="AI165">
        <v>23322433798.283005</v>
      </c>
      <c r="AJ165">
        <v>23569436494.856716</v>
      </c>
      <c r="AK165">
        <v>24627311961.756985</v>
      </c>
      <c r="AL165">
        <v>26540050821.266098</v>
      </c>
      <c r="AM165">
        <v>28339404586.669212</v>
      </c>
      <c r="AN165">
        <v>30380820955.698978</v>
      </c>
      <c r="AO165">
        <v>32412356176.231789</v>
      </c>
      <c r="AP165">
        <v>34368378417.058838</v>
      </c>
      <c r="AQ165">
        <v>36348631873.856201</v>
      </c>
      <c r="AR165">
        <v>39430281285.763855</v>
      </c>
      <c r="AS165">
        <v>44326809181.562248</v>
      </c>
      <c r="AT165">
        <v>49853356084.229004</v>
      </c>
      <c r="AU165">
        <v>55687717090.503494</v>
      </c>
      <c r="AV165">
        <v>62919504957.255226</v>
      </c>
      <c r="AW165">
        <v>71536511955.695648</v>
      </c>
      <c r="AX165">
        <v>81241829047.894913</v>
      </c>
      <c r="AY165">
        <v>92052573062.938324</v>
      </c>
      <c r="AZ165">
        <v>103559592341.85948</v>
      </c>
      <c r="BA165">
        <v>115028058777.22203</v>
      </c>
      <c r="BB165">
        <v>127002300715.73512</v>
      </c>
      <c r="BC165">
        <v>139790525720.74631</v>
      </c>
      <c r="BD165">
        <v>150302853253.20953</v>
      </c>
      <c r="BE165">
        <v>160051126576.81668</v>
      </c>
      <c r="BF165">
        <v>172693036061.31595</v>
      </c>
      <c r="BG165">
        <v>186853284338.74609</v>
      </c>
      <c r="BH165">
        <v>192976988566.37183</v>
      </c>
      <c r="BI165">
        <v>213254587482.1423</v>
      </c>
      <c r="BJ165">
        <v>225516863812.20367</v>
      </c>
      <c r="BK165">
        <v>239961167803.75797</v>
      </c>
      <c r="BL165">
        <v>256159650802.76389</v>
      </c>
      <c r="BM165">
        <v>264289580224.12363</v>
      </c>
      <c r="BN165">
        <v>216947533595.13589</v>
      </c>
      <c r="BO165" s="188">
        <v>223461770197.43585</v>
      </c>
    </row>
    <row r="166" spans="1:67">
      <c r="A166" t="s">
        <v>808</v>
      </c>
      <c r="B166" t="s">
        <v>809</v>
      </c>
      <c r="C166" t="s">
        <v>486</v>
      </c>
      <c r="D166" t="s">
        <v>487</v>
      </c>
      <c r="AI166">
        <v>1591554597651.5449</v>
      </c>
      <c r="AJ166">
        <v>1596156206051.1655</v>
      </c>
      <c r="AK166">
        <v>1669145438249.645</v>
      </c>
      <c r="AL166">
        <v>1693460596831.6948</v>
      </c>
      <c r="AM166">
        <v>1720398911408.2595</v>
      </c>
      <c r="AN166">
        <v>1768663075409.8027</v>
      </c>
      <c r="AO166">
        <v>1881445527353.408</v>
      </c>
      <c r="AP166">
        <v>1948424629855.3896</v>
      </c>
      <c r="AQ166">
        <v>2068679525506.1899</v>
      </c>
      <c r="AR166">
        <v>2165044727688.6609</v>
      </c>
      <c r="AS166">
        <v>2296331152423.6987</v>
      </c>
      <c r="AT166">
        <v>2361352577907.9111</v>
      </c>
      <c r="AU166">
        <v>2443138864009.5068</v>
      </c>
      <c r="AV166">
        <v>2516658309825.8599</v>
      </c>
      <c r="AW166">
        <v>2696642557033.8276</v>
      </c>
      <c r="AX166">
        <v>2815498881088.1733</v>
      </c>
      <c r="AY166">
        <v>2965071807646.4834</v>
      </c>
      <c r="AZ166">
        <v>3153909131117.0708</v>
      </c>
      <c r="BA166">
        <v>3269010179850.2212</v>
      </c>
      <c r="BB166">
        <v>3349705426586.9883</v>
      </c>
      <c r="BC166">
        <v>3520366543764.3521</v>
      </c>
      <c r="BD166">
        <v>3509270198043.5361</v>
      </c>
      <c r="BE166">
        <v>3647314852939.0103</v>
      </c>
      <c r="BF166">
        <v>3672987342174.5928</v>
      </c>
      <c r="BG166">
        <v>3755855247768.6533</v>
      </c>
      <c r="BH166">
        <v>3832288362360.124</v>
      </c>
      <c r="BI166">
        <v>4054363422605.2817</v>
      </c>
      <c r="BJ166">
        <v>4194482717570.0801</v>
      </c>
      <c r="BK166">
        <v>4268133702769.2236</v>
      </c>
      <c r="BL166">
        <v>4315732548258.0532</v>
      </c>
      <c r="BM166">
        <v>4217398334587.064</v>
      </c>
      <c r="BN166">
        <v>4405002727045.4668</v>
      </c>
      <c r="BO166" s="188">
        <v>4587003745839.8408</v>
      </c>
    </row>
    <row r="167" spans="1:67">
      <c r="A167" t="s">
        <v>810</v>
      </c>
      <c r="B167" t="s">
        <v>811</v>
      </c>
      <c r="C167" t="s">
        <v>486</v>
      </c>
      <c r="D167" t="s">
        <v>487</v>
      </c>
      <c r="AP167">
        <v>7667325846.486063</v>
      </c>
      <c r="AQ167">
        <v>8043025261.2211628</v>
      </c>
      <c r="AR167">
        <v>7286981037.5253849</v>
      </c>
      <c r="AS167">
        <v>7512877454.0084219</v>
      </c>
      <c r="AT167">
        <v>7595506988.4351892</v>
      </c>
      <c r="AU167">
        <v>7740120636.0705938</v>
      </c>
      <c r="AV167">
        <v>7932281455.3610811</v>
      </c>
      <c r="AW167">
        <v>8283368255.6263227</v>
      </c>
      <c r="AX167">
        <v>8629663122.4060802</v>
      </c>
      <c r="AY167">
        <v>9368916140.021246</v>
      </c>
      <c r="AZ167">
        <v>10006953394.267336</v>
      </c>
      <c r="BA167">
        <v>10729730879.944548</v>
      </c>
      <c r="BB167">
        <v>10107932568.17371</v>
      </c>
      <c r="BC167">
        <v>10384316910.167078</v>
      </c>
      <c r="BD167">
        <v>10719569495.436806</v>
      </c>
      <c r="BE167">
        <v>10427590850.796343</v>
      </c>
      <c r="BF167">
        <v>10797663955.443638</v>
      </c>
      <c r="BG167">
        <v>10990261734.205271</v>
      </c>
      <c r="BH167">
        <v>11362873523.536646</v>
      </c>
      <c r="BI167">
        <v>11697996516.263601</v>
      </c>
      <c r="BJ167">
        <v>12249728459.90815</v>
      </c>
      <c r="BK167">
        <v>12871756050.793125</v>
      </c>
      <c r="BL167">
        <v>13394728418.59906</v>
      </c>
      <c r="BM167">
        <v>11344411570.519968</v>
      </c>
      <c r="BN167">
        <v>12824115838.338104</v>
      </c>
      <c r="BO167" s="188">
        <v>13605588777.234642</v>
      </c>
    </row>
    <row r="168" spans="1:67">
      <c r="A168" t="s">
        <v>812</v>
      </c>
      <c r="B168" t="s">
        <v>813</v>
      </c>
      <c r="C168" t="s">
        <v>486</v>
      </c>
      <c r="D168" t="s">
        <v>487</v>
      </c>
      <c r="AI168">
        <v>10872166319.465338</v>
      </c>
      <c r="AJ168">
        <v>9926989677.2250271</v>
      </c>
      <c r="AK168">
        <v>9008101282.3300438</v>
      </c>
      <c r="AL168">
        <v>8722653330.0550652</v>
      </c>
      <c r="AM168">
        <v>8908828133.2532539</v>
      </c>
      <c r="AN168">
        <v>9476893045.6111183</v>
      </c>
      <c r="AO168">
        <v>9688710498.6179104</v>
      </c>
      <c r="AP168">
        <v>10066251796.710594</v>
      </c>
      <c r="AQ168">
        <v>10402458224.652477</v>
      </c>
      <c r="AR168">
        <v>10721852078.350142</v>
      </c>
      <c r="AS168">
        <v>10844731165.415026</v>
      </c>
      <c r="AT168">
        <v>11164944685.937578</v>
      </c>
      <c r="AU168">
        <v>11693379113.652775</v>
      </c>
      <c r="AV168">
        <v>12512457589.898916</v>
      </c>
      <c r="AW168">
        <v>13841957004.389866</v>
      </c>
      <c r="AX168">
        <v>14846006255.987165</v>
      </c>
      <c r="AY168">
        <v>16116265411.096697</v>
      </c>
      <c r="AZ168">
        <v>17767862926.801586</v>
      </c>
      <c r="BA168">
        <v>19349268103.555298</v>
      </c>
      <c r="BB168">
        <v>19103803493.3923</v>
      </c>
      <c r="BC168">
        <v>20319791473.704929</v>
      </c>
      <c r="BD168">
        <v>23833241422.879917</v>
      </c>
      <c r="BE168">
        <v>26769453830.163681</v>
      </c>
      <c r="BF168">
        <v>29887805071.406376</v>
      </c>
      <c r="BG168">
        <v>32244525892.754707</v>
      </c>
      <c r="BH168">
        <v>33011892665.702534</v>
      </c>
      <c r="BI168">
        <v>33503698720.857082</v>
      </c>
      <c r="BJ168">
        <v>35392260803.704826</v>
      </c>
      <c r="BK168">
        <v>38133349151.736542</v>
      </c>
      <c r="BL168">
        <v>40269672499.990051</v>
      </c>
      <c r="BM168">
        <v>38434280706.949356</v>
      </c>
      <c r="BN168">
        <v>39063361320.254196</v>
      </c>
      <c r="BO168" s="188">
        <v>40956335950.873955</v>
      </c>
    </row>
    <row r="169" spans="1:67">
      <c r="A169" t="s">
        <v>814</v>
      </c>
      <c r="B169" t="s">
        <v>815</v>
      </c>
      <c r="C169" t="s">
        <v>486</v>
      </c>
      <c r="D169" t="s">
        <v>487</v>
      </c>
    </row>
    <row r="170" spans="1:67">
      <c r="A170" t="s">
        <v>816</v>
      </c>
      <c r="B170" t="s">
        <v>817</v>
      </c>
      <c r="C170" t="s">
        <v>486</v>
      </c>
      <c r="D170" t="s">
        <v>487</v>
      </c>
      <c r="AI170">
        <v>6121236733.7176085</v>
      </c>
      <c r="AJ170">
        <v>6422735265.1451378</v>
      </c>
      <c r="AK170">
        <v>6029361006.0085163</v>
      </c>
      <c r="AL170">
        <v>6668384621.3366165</v>
      </c>
      <c r="AM170">
        <v>7104056625.9865656</v>
      </c>
      <c r="AN170">
        <v>7264591055.4911747</v>
      </c>
      <c r="AO170">
        <v>8078408292.5965366</v>
      </c>
      <c r="AP170">
        <v>8991354759.4254742</v>
      </c>
      <c r="AQ170">
        <v>9884308854.2469006</v>
      </c>
      <c r="AR170">
        <v>11040627069.713896</v>
      </c>
      <c r="AS170">
        <v>11170939678.119019</v>
      </c>
      <c r="AT170">
        <v>12521157126.496344</v>
      </c>
      <c r="AU170">
        <v>13684504331.747284</v>
      </c>
      <c r="AV170">
        <v>14625797460.571003</v>
      </c>
      <c r="AW170">
        <v>15783635236.872625</v>
      </c>
      <c r="AX170">
        <v>16832601158.055367</v>
      </c>
      <c r="AY170">
        <v>18464416483.688293</v>
      </c>
      <c r="AZ170">
        <v>19891669023.032749</v>
      </c>
      <c r="BA170">
        <v>21347292691.984337</v>
      </c>
      <c r="BB170">
        <v>22696056748.060627</v>
      </c>
      <c r="BC170">
        <v>24171834501.045231</v>
      </c>
      <c r="BD170">
        <v>25964752362.117077</v>
      </c>
      <c r="BE170">
        <v>27849388139.406197</v>
      </c>
      <c r="BF170">
        <v>29788710118.899731</v>
      </c>
      <c r="BG170">
        <v>31992631649.149055</v>
      </c>
      <c r="BH170">
        <v>34143585464.094448</v>
      </c>
      <c r="BI170">
        <v>35449309348.504692</v>
      </c>
      <c r="BJ170">
        <v>36775580595.801834</v>
      </c>
      <c r="BK170">
        <v>38042062851.839607</v>
      </c>
      <c r="BL170">
        <v>38922524558.122238</v>
      </c>
      <c r="BM170">
        <v>38456019312.487671</v>
      </c>
      <c r="BN170">
        <v>39351092247.162811</v>
      </c>
      <c r="BO170" s="188">
        <v>40983538676.61161</v>
      </c>
    </row>
    <row r="171" spans="1:67">
      <c r="A171" t="s">
        <v>818</v>
      </c>
      <c r="B171" t="s">
        <v>819</v>
      </c>
      <c r="C171" t="s">
        <v>486</v>
      </c>
      <c r="D171" t="s">
        <v>487</v>
      </c>
      <c r="AI171">
        <v>9251678543.6751652</v>
      </c>
      <c r="AJ171">
        <v>9417106631.0662689</v>
      </c>
      <c r="AK171">
        <v>9593595049.539465</v>
      </c>
      <c r="AL171">
        <v>10157088039.484186</v>
      </c>
      <c r="AM171">
        <v>9846206772.7779655</v>
      </c>
      <c r="AN171">
        <v>10813084626.695427</v>
      </c>
      <c r="AO171">
        <v>11442279274.923466</v>
      </c>
      <c r="AP171">
        <v>10979473802.761997</v>
      </c>
      <c r="AQ171">
        <v>11284462151.344301</v>
      </c>
      <c r="AR171">
        <v>11698960568.979898</v>
      </c>
      <c r="AS171">
        <v>11240592266.286013</v>
      </c>
      <c r="AT171">
        <v>11150724426.258959</v>
      </c>
      <c r="AU171">
        <v>11304769895.853491</v>
      </c>
      <c r="AV171">
        <v>12087994826.365648</v>
      </c>
      <c r="AW171">
        <v>12660090359.426075</v>
      </c>
      <c r="AX171">
        <v>13744590065.605909</v>
      </c>
      <c r="AY171">
        <v>16264413081.049227</v>
      </c>
      <c r="AZ171">
        <v>15944098029.415598</v>
      </c>
      <c r="BA171">
        <v>15891310437.965414</v>
      </c>
      <c r="BB171">
        <v>15906864196.624479</v>
      </c>
      <c r="BC171">
        <v>16323660548.098831</v>
      </c>
      <c r="BD171">
        <v>17004811526.630777</v>
      </c>
      <c r="BE171">
        <v>17764928843.502724</v>
      </c>
      <c r="BF171">
        <v>18502317852.470623</v>
      </c>
      <c r="BG171">
        <v>19293259241.758457</v>
      </c>
      <c r="BH171">
        <v>20330530308.459476</v>
      </c>
      <c r="BI171">
        <v>20586879840.505161</v>
      </c>
      <c r="BJ171">
        <v>21877789547.845272</v>
      </c>
      <c r="BK171">
        <v>22921835653.421902</v>
      </c>
      <c r="BL171">
        <v>24135922163.635441</v>
      </c>
      <c r="BM171">
        <v>23909402636.051769</v>
      </c>
      <c r="BN171">
        <v>24494075582.286545</v>
      </c>
      <c r="BO171" s="188">
        <v>25767767511.212021</v>
      </c>
    </row>
    <row r="172" spans="1:67">
      <c r="A172" t="s">
        <v>820</v>
      </c>
      <c r="B172" t="s">
        <v>821</v>
      </c>
      <c r="C172" t="s">
        <v>486</v>
      </c>
      <c r="D172" t="s">
        <v>487</v>
      </c>
      <c r="AI172">
        <v>8717860084.4142857</v>
      </c>
      <c r="AJ172">
        <v>9104536083.6297626</v>
      </c>
      <c r="AK172">
        <v>9697487076.1220169</v>
      </c>
      <c r="AL172">
        <v>10190319474.455542</v>
      </c>
      <c r="AM172">
        <v>10611805645.957737</v>
      </c>
      <c r="AN172">
        <v>11066811917.530914</v>
      </c>
      <c r="AO172">
        <v>11685208095.139822</v>
      </c>
      <c r="AP172">
        <v>12349801666.898443</v>
      </c>
      <c r="AQ172">
        <v>13099674236.160088</v>
      </c>
      <c r="AR172">
        <v>13441697867.767691</v>
      </c>
      <c r="AS172">
        <v>14544292351.343769</v>
      </c>
      <c r="AT172">
        <v>15031168461.304628</v>
      </c>
      <c r="AU172">
        <v>15273909605.395491</v>
      </c>
      <c r="AV172">
        <v>16178956793.175241</v>
      </c>
      <c r="AW172">
        <v>16879508834.593931</v>
      </c>
      <c r="AX172">
        <v>17179549365.751698</v>
      </c>
      <c r="AY172">
        <v>18015428003.553692</v>
      </c>
      <c r="AZ172">
        <v>19047174476.577351</v>
      </c>
      <c r="BA172">
        <v>20073238630.953766</v>
      </c>
      <c r="BB172">
        <v>20738681947.543663</v>
      </c>
      <c r="BC172">
        <v>21646456202.251118</v>
      </c>
      <c r="BD172">
        <v>22529098693.860294</v>
      </c>
      <c r="BE172">
        <v>23316742650.699688</v>
      </c>
      <c r="BF172">
        <v>24100279892.994785</v>
      </c>
      <c r="BG172">
        <v>25022590331.05772</v>
      </c>
      <c r="BH172">
        <v>25946063266.003723</v>
      </c>
      <c r="BI172">
        <v>26948221725.254803</v>
      </c>
      <c r="BJ172">
        <v>28009438332.887497</v>
      </c>
      <c r="BK172">
        <v>29131703862.556557</v>
      </c>
      <c r="BL172">
        <v>29973984444.675362</v>
      </c>
      <c r="BM172">
        <v>25598562640.115791</v>
      </c>
      <c r="BN172">
        <v>26468755084.484852</v>
      </c>
      <c r="BO172" s="188">
        <v>28769084479.502937</v>
      </c>
    </row>
    <row r="173" spans="1:67">
      <c r="A173" t="s">
        <v>822</v>
      </c>
      <c r="B173" t="s">
        <v>823</v>
      </c>
      <c r="C173" t="s">
        <v>486</v>
      </c>
      <c r="D173" t="s">
        <v>487</v>
      </c>
      <c r="AI173">
        <v>8938535408.2685337</v>
      </c>
      <c r="AJ173">
        <v>9718890265.3968887</v>
      </c>
      <c r="AK173">
        <v>9006206147.863203</v>
      </c>
      <c r="AL173">
        <v>9879073291.1811752</v>
      </c>
      <c r="AM173">
        <v>8867438234.7097549</v>
      </c>
      <c r="AN173">
        <v>10350855776.4196</v>
      </c>
      <c r="AO173">
        <v>11108194955.211412</v>
      </c>
      <c r="AP173">
        <v>11529464261.548508</v>
      </c>
      <c r="AQ173">
        <v>11978566122.37925</v>
      </c>
      <c r="AR173">
        <v>12342987420.57107</v>
      </c>
      <c r="AS173">
        <v>12537522483.449287</v>
      </c>
      <c r="AT173">
        <v>11913785301.423203</v>
      </c>
      <c r="AU173">
        <v>12116319655.060699</v>
      </c>
      <c r="AV173">
        <v>12807633163.932838</v>
      </c>
      <c r="AW173">
        <v>13501870605.652557</v>
      </c>
      <c r="AX173">
        <v>13943209763.521385</v>
      </c>
      <c r="AY173">
        <v>14598540589.67952</v>
      </c>
      <c r="AZ173">
        <v>16000000468.225567</v>
      </c>
      <c r="BA173">
        <v>17222358327.890514</v>
      </c>
      <c r="BB173">
        <v>18656655248.566948</v>
      </c>
      <c r="BC173">
        <v>19939126016.510143</v>
      </c>
      <c r="BD173">
        <v>20922657303.481449</v>
      </c>
      <c r="BE173">
        <v>21320187792.398548</v>
      </c>
      <c r="BF173">
        <v>22473684572.51762</v>
      </c>
      <c r="BG173">
        <v>23737890008.623375</v>
      </c>
      <c r="BH173">
        <v>24402550929.16275</v>
      </c>
      <c r="BI173">
        <v>25012614702.152843</v>
      </c>
      <c r="BJ173">
        <v>26013119290.334549</v>
      </c>
      <c r="BK173">
        <v>27155534405.658405</v>
      </c>
      <c r="BL173">
        <v>28635017162.885483</v>
      </c>
      <c r="BM173">
        <v>28864096822.242271</v>
      </c>
      <c r="BN173">
        <v>29658264335.237732</v>
      </c>
      <c r="BO173" s="188">
        <v>29932139511.125328</v>
      </c>
    </row>
    <row r="174" spans="1:67">
      <c r="A174" t="s">
        <v>824</v>
      </c>
      <c r="B174" t="s">
        <v>825</v>
      </c>
      <c r="C174" t="s">
        <v>486</v>
      </c>
      <c r="D174" t="s">
        <v>487</v>
      </c>
      <c r="AI174">
        <v>185816846155.99246</v>
      </c>
      <c r="AJ174">
        <v>203553932656.33524</v>
      </c>
      <c r="AK174">
        <v>221639939722.36383</v>
      </c>
      <c r="AL174">
        <v>243571086162.89517</v>
      </c>
      <c r="AM174">
        <v>266008956416.73438</v>
      </c>
      <c r="AN174">
        <v>292155203375.40546</v>
      </c>
      <c r="AO174">
        <v>321378613908.16058</v>
      </c>
      <c r="AP174">
        <v>344912340166.91791</v>
      </c>
      <c r="AQ174">
        <v>319528809018.78204</v>
      </c>
      <c r="AR174">
        <v>339140247578.37219</v>
      </c>
      <c r="AS174">
        <v>369184235021.7135</v>
      </c>
      <c r="AT174">
        <v>371095410688.77191</v>
      </c>
      <c r="AU174">
        <v>391101120886.54987</v>
      </c>
      <c r="AV174">
        <v>413740006476.16583</v>
      </c>
      <c r="AW174">
        <v>441805802153.52148</v>
      </c>
      <c r="AX174">
        <v>465363502347.55255</v>
      </c>
      <c r="AY174">
        <v>491353342260.0033</v>
      </c>
      <c r="AZ174">
        <v>522302637436.13245</v>
      </c>
      <c r="BA174">
        <v>547539099001.90845</v>
      </c>
      <c r="BB174">
        <v>539251937507.25732</v>
      </c>
      <c r="BC174">
        <v>579290570878.4491</v>
      </c>
      <c r="BD174">
        <v>609957708757.14624</v>
      </c>
      <c r="BE174">
        <v>643343464539.82617</v>
      </c>
      <c r="BF174">
        <v>673540221651.77197</v>
      </c>
      <c r="BG174">
        <v>713997909958.0509</v>
      </c>
      <c r="BH174">
        <v>750351345032.75525</v>
      </c>
      <c r="BI174">
        <v>783740339600.77979</v>
      </c>
      <c r="BJ174">
        <v>829296989955.65771</v>
      </c>
      <c r="BK174">
        <v>869460564471.45288</v>
      </c>
      <c r="BL174">
        <v>907831488735.83508</v>
      </c>
      <c r="BM174">
        <v>857588142384.20642</v>
      </c>
      <c r="BN174">
        <v>884106162321.72852</v>
      </c>
      <c r="BO174" s="188">
        <v>960973386353.56458</v>
      </c>
    </row>
    <row r="175" spans="1:67">
      <c r="A175" t="s">
        <v>826</v>
      </c>
      <c r="B175" t="s">
        <v>827</v>
      </c>
      <c r="C175" t="s">
        <v>486</v>
      </c>
      <c r="D175" t="s">
        <v>487</v>
      </c>
      <c r="AI175">
        <v>11058622714378.576</v>
      </c>
      <c r="AJ175">
        <v>11027586620663.609</v>
      </c>
      <c r="AK175">
        <v>11391318607838.545</v>
      </c>
      <c r="AL175">
        <v>11703932700838.189</v>
      </c>
      <c r="AM175">
        <v>12179847050284.178</v>
      </c>
      <c r="AN175">
        <v>12506946643112.652</v>
      </c>
      <c r="AO175">
        <v>12956300297500.572</v>
      </c>
      <c r="AP175">
        <v>13530726852970.943</v>
      </c>
      <c r="AQ175">
        <v>14130606467857.383</v>
      </c>
      <c r="AR175">
        <v>14812259169360.188</v>
      </c>
      <c r="AS175">
        <v>15429697554974.924</v>
      </c>
      <c r="AT175">
        <v>15587871599490.277</v>
      </c>
      <c r="AU175">
        <v>15869129196634.438</v>
      </c>
      <c r="AV175">
        <v>16299665419715.416</v>
      </c>
      <c r="AW175">
        <v>16917165610882.553</v>
      </c>
      <c r="AX175">
        <v>17502428787854.887</v>
      </c>
      <c r="AY175">
        <v>17987510125993.195</v>
      </c>
      <c r="AZ175">
        <v>18350139371732.188</v>
      </c>
      <c r="BA175">
        <v>18385747581855.211</v>
      </c>
      <c r="BB175">
        <v>17902578654813.586</v>
      </c>
      <c r="BC175">
        <v>18392865145041.234</v>
      </c>
      <c r="BD175">
        <v>18701981317669.617</v>
      </c>
      <c r="BE175">
        <v>19119916631171.582</v>
      </c>
      <c r="BF175">
        <v>19479772366245.77</v>
      </c>
      <c r="BG175">
        <v>19934653096202.777</v>
      </c>
      <c r="BH175">
        <v>20439554365848.188</v>
      </c>
      <c r="BI175">
        <v>20768958977627.984</v>
      </c>
      <c r="BJ175">
        <v>21248326141144.172</v>
      </c>
      <c r="BK175">
        <v>21871021976720.309</v>
      </c>
      <c r="BL175">
        <v>22365363786156.375</v>
      </c>
      <c r="BM175">
        <v>21703472484937.355</v>
      </c>
      <c r="BN175">
        <v>22977318183775.02</v>
      </c>
      <c r="BO175" s="188">
        <v>23475659962620.703</v>
      </c>
    </row>
    <row r="176" spans="1:67">
      <c r="A176" t="s">
        <v>828</v>
      </c>
      <c r="B176" t="s">
        <v>829</v>
      </c>
      <c r="C176" t="s">
        <v>486</v>
      </c>
      <c r="D176" t="s">
        <v>487</v>
      </c>
      <c r="AI176">
        <v>8519975606.6330423</v>
      </c>
      <c r="AJ176">
        <v>9215683799.989109</v>
      </c>
      <c r="AK176">
        <v>9878230874.1890011</v>
      </c>
      <c r="AL176">
        <v>9722200349.2980614</v>
      </c>
      <c r="AM176">
        <v>9890382698.9685974</v>
      </c>
      <c r="AN176">
        <v>10276010126.923023</v>
      </c>
      <c r="AO176">
        <v>10603950935.288525</v>
      </c>
      <c r="AP176">
        <v>11051448300.928186</v>
      </c>
      <c r="AQ176">
        <v>11415216184.074905</v>
      </c>
      <c r="AR176">
        <v>11799826600.069834</v>
      </c>
      <c r="AS176">
        <v>12211898181.537231</v>
      </c>
      <c r="AT176">
        <v>12355748076.762201</v>
      </c>
      <c r="AU176">
        <v>12947422993.209345</v>
      </c>
      <c r="AV176">
        <v>13496367094.731302</v>
      </c>
      <c r="AW176">
        <v>15152310347.668179</v>
      </c>
      <c r="AX176">
        <v>15535552075.14484</v>
      </c>
      <c r="AY176">
        <v>16634408910.110214</v>
      </c>
      <c r="AZ176">
        <v>17528349389.309921</v>
      </c>
      <c r="BA176">
        <v>17992817701.455971</v>
      </c>
      <c r="BB176">
        <v>18046071208.461517</v>
      </c>
      <c r="BC176">
        <v>19135918469.999302</v>
      </c>
      <c r="BD176">
        <v>20110192785.242077</v>
      </c>
      <c r="BE176">
        <v>21128106807.61998</v>
      </c>
      <c r="BF176">
        <v>22314390766.419655</v>
      </c>
      <c r="BG176">
        <v>23673899299.25185</v>
      </c>
      <c r="BH176">
        <v>24683395685.236317</v>
      </c>
      <c r="BI176">
        <v>24691737303.100395</v>
      </c>
      <c r="BJ176">
        <v>24438091227.449245</v>
      </c>
      <c r="BK176">
        <v>24697121179.785461</v>
      </c>
      <c r="BL176">
        <v>24489874130.056267</v>
      </c>
      <c r="BM176">
        <v>22505851276.195454</v>
      </c>
      <c r="BN176">
        <v>23299105559.796261</v>
      </c>
      <c r="BO176" s="188">
        <v>24361613265.223419</v>
      </c>
    </row>
    <row r="177" spans="1:67">
      <c r="A177" t="s">
        <v>830</v>
      </c>
      <c r="B177" t="s">
        <v>831</v>
      </c>
      <c r="C177" t="s">
        <v>486</v>
      </c>
      <c r="D177" t="s">
        <v>487</v>
      </c>
    </row>
    <row r="178" spans="1:67">
      <c r="A178" t="s">
        <v>832</v>
      </c>
      <c r="B178" t="s">
        <v>833</v>
      </c>
      <c r="C178" t="s">
        <v>486</v>
      </c>
      <c r="D178" t="s">
        <v>487</v>
      </c>
      <c r="AI178">
        <v>9022817446.521637</v>
      </c>
      <c r="AJ178">
        <v>8983163147.2899685</v>
      </c>
      <c r="AK178">
        <v>9162893996.0903473</v>
      </c>
      <c r="AL178">
        <v>9192366946.245245</v>
      </c>
      <c r="AM178">
        <v>9362865018.7561703</v>
      </c>
      <c r="AN178">
        <v>9592933469.10989</v>
      </c>
      <c r="AO178">
        <v>9602577293.5017662</v>
      </c>
      <c r="AP178">
        <v>9749254329.2426357</v>
      </c>
      <c r="AQ178">
        <v>10721509924.620543</v>
      </c>
      <c r="AR178">
        <v>10697969507.471367</v>
      </c>
      <c r="AS178">
        <v>10568686927.233992</v>
      </c>
      <c r="AT178">
        <v>11336833350.489384</v>
      </c>
      <c r="AU178">
        <v>11894432163.077261</v>
      </c>
      <c r="AV178">
        <v>12152613942.69614</v>
      </c>
      <c r="AW178">
        <v>12196825344.075674</v>
      </c>
      <c r="AX178">
        <v>13091080581.262489</v>
      </c>
      <c r="AY178">
        <v>13867519112.608768</v>
      </c>
      <c r="AZ178">
        <v>14303336975.595625</v>
      </c>
      <c r="BA178">
        <v>15409187205.573196</v>
      </c>
      <c r="BB178">
        <v>15711608053.42285</v>
      </c>
      <c r="BC178">
        <v>17059375990.192776</v>
      </c>
      <c r="BD178">
        <v>17461594610.846474</v>
      </c>
      <c r="BE178">
        <v>19303608548.490646</v>
      </c>
      <c r="BF178">
        <v>20329620559.908733</v>
      </c>
      <c r="BG178">
        <v>21679941738.931908</v>
      </c>
      <c r="BH178">
        <v>22632265446.521191</v>
      </c>
      <c r="BI178">
        <v>23931559623.361965</v>
      </c>
      <c r="BJ178">
        <v>25128463060.594357</v>
      </c>
      <c r="BK178">
        <v>26940427030.893738</v>
      </c>
      <c r="BL178">
        <v>28541064717.37817</v>
      </c>
      <c r="BM178">
        <v>29554337447.526196</v>
      </c>
      <c r="BN178">
        <v>29964294285.418716</v>
      </c>
      <c r="BO178" s="188">
        <v>33410189601.183075</v>
      </c>
    </row>
    <row r="179" spans="1:67">
      <c r="A179" t="s">
        <v>834</v>
      </c>
      <c r="B179" t="s">
        <v>835</v>
      </c>
      <c r="C179" t="s">
        <v>486</v>
      </c>
      <c r="D179" t="s">
        <v>487</v>
      </c>
      <c r="AI179">
        <v>310358599717.40918</v>
      </c>
      <c r="AJ179">
        <v>311470777836.83557</v>
      </c>
      <c r="AK179">
        <v>325895590531.83649</v>
      </c>
      <c r="AL179">
        <v>319263228179.70355</v>
      </c>
      <c r="AM179">
        <v>313468841684.77515</v>
      </c>
      <c r="AN179">
        <v>313241060282.36108</v>
      </c>
      <c r="AO179">
        <v>326384417250.40234</v>
      </c>
      <c r="AP179">
        <v>335970652075.62488</v>
      </c>
      <c r="AQ179">
        <v>344642908316.61664</v>
      </c>
      <c r="AR179">
        <v>346656060234.37469</v>
      </c>
      <c r="AS179">
        <v>364044102047.62964</v>
      </c>
      <c r="AT179">
        <v>385587083999.67682</v>
      </c>
      <c r="AU179">
        <v>444694328612.31891</v>
      </c>
      <c r="AV179">
        <v>477366887957.52307</v>
      </c>
      <c r="AW179">
        <v>521525989891.59753</v>
      </c>
      <c r="AX179">
        <v>555104526933.4126</v>
      </c>
      <c r="AY179">
        <v>588740686241.18396</v>
      </c>
      <c r="AZ179">
        <v>627545352358.02881</v>
      </c>
      <c r="BA179">
        <v>669995486886.93799</v>
      </c>
      <c r="BB179">
        <v>723842522354.13025</v>
      </c>
      <c r="BC179">
        <v>781790864062.29858</v>
      </c>
      <c r="BD179">
        <v>823287730557.91418</v>
      </c>
      <c r="BE179">
        <v>858113305207.6521</v>
      </c>
      <c r="BF179">
        <v>915360921849.01477</v>
      </c>
      <c r="BG179">
        <v>973117620702.12769</v>
      </c>
      <c r="BH179">
        <v>998931446583.02771</v>
      </c>
      <c r="BI179">
        <v>982780034192.2583</v>
      </c>
      <c r="BJ179">
        <v>990700126987.35095</v>
      </c>
      <c r="BK179">
        <v>1009748886411.9734</v>
      </c>
      <c r="BL179">
        <v>1032048476445.2744</v>
      </c>
      <c r="BM179">
        <v>1013530914845.4542</v>
      </c>
      <c r="BN179">
        <v>1050496277960.6423</v>
      </c>
      <c r="BO179" s="188">
        <v>1084655070127.005</v>
      </c>
    </row>
    <row r="180" spans="1:67">
      <c r="A180" t="s">
        <v>836</v>
      </c>
      <c r="B180" t="s">
        <v>837</v>
      </c>
      <c r="C180" t="s">
        <v>486</v>
      </c>
      <c r="D180" t="s">
        <v>487</v>
      </c>
      <c r="AI180">
        <v>14415996331.853266</v>
      </c>
      <c r="AJ180">
        <v>14388709517.825851</v>
      </c>
      <c r="AK180">
        <v>14444299798.821836</v>
      </c>
      <c r="AL180">
        <v>14387542954.884077</v>
      </c>
      <c r="AM180">
        <v>14867759716.432699</v>
      </c>
      <c r="AN180">
        <v>15746727986.15769</v>
      </c>
      <c r="AO180">
        <v>16745742671.5177</v>
      </c>
      <c r="AP180">
        <v>17409987836.734581</v>
      </c>
      <c r="AQ180">
        <v>18056191128.394691</v>
      </c>
      <c r="AR180">
        <v>19326619403.918758</v>
      </c>
      <c r="AS180">
        <v>20119318138.335335</v>
      </c>
      <c r="AT180">
        <v>20715019647.040218</v>
      </c>
      <c r="AU180">
        <v>20871198229.503403</v>
      </c>
      <c r="AV180">
        <v>21397305388.305561</v>
      </c>
      <c r="AW180">
        <v>22533966756.936001</v>
      </c>
      <c r="AX180">
        <v>23498960980.529617</v>
      </c>
      <c r="AY180">
        <v>24474919725.958916</v>
      </c>
      <c r="AZ180">
        <v>25717438391.919102</v>
      </c>
      <c r="BA180">
        <v>26601185714.252129</v>
      </c>
      <c r="BB180">
        <v>25725058678.781448</v>
      </c>
      <c r="BC180">
        <v>26859657606.474907</v>
      </c>
      <c r="BD180">
        <v>28556510132.39003</v>
      </c>
      <c r="BE180">
        <v>30411535099.123554</v>
      </c>
      <c r="BF180">
        <v>31909848259.219746</v>
      </c>
      <c r="BG180">
        <v>33436994937.173458</v>
      </c>
      <c r="BH180">
        <v>35039314715.255707</v>
      </c>
      <c r="BI180">
        <v>36637927326.756279</v>
      </c>
      <c r="BJ180">
        <v>38334779852.671402</v>
      </c>
      <c r="BK180">
        <v>37045509697.042244</v>
      </c>
      <c r="BL180">
        <v>35972490925.34449</v>
      </c>
      <c r="BM180">
        <v>35337123763.984108</v>
      </c>
      <c r="BN180">
        <v>38993419782.016777</v>
      </c>
      <c r="BO180" s="188">
        <v>40456102952.189034</v>
      </c>
    </row>
    <row r="181" spans="1:67">
      <c r="A181" t="s">
        <v>838</v>
      </c>
      <c r="B181" t="s">
        <v>839</v>
      </c>
      <c r="C181" t="s">
        <v>486</v>
      </c>
      <c r="D181" t="s">
        <v>487</v>
      </c>
      <c r="AI181">
        <v>545153271086.37341</v>
      </c>
      <c r="AJ181">
        <v>558450292099.65344</v>
      </c>
      <c r="AK181">
        <v>567977850008.49695</v>
      </c>
      <c r="AL181">
        <v>575120467717.30798</v>
      </c>
      <c r="AM181">
        <v>592150317150.52478</v>
      </c>
      <c r="AN181">
        <v>610601934122.12988</v>
      </c>
      <c r="AO181">
        <v>631965321180.33276</v>
      </c>
      <c r="AP181">
        <v>659323437432.31042</v>
      </c>
      <c r="AQ181">
        <v>690073736371.62317</v>
      </c>
      <c r="AR181">
        <v>724812380543.62268</v>
      </c>
      <c r="AS181">
        <v>755222916811.52759</v>
      </c>
      <c r="AT181">
        <v>772796614892.40735</v>
      </c>
      <c r="AU181">
        <v>774475697879.23254</v>
      </c>
      <c r="AV181">
        <v>775681137534.12036</v>
      </c>
      <c r="AW181">
        <v>791077987029.62866</v>
      </c>
      <c r="AX181">
        <v>807302016462.36462</v>
      </c>
      <c r="AY181">
        <v>835242650078.47485</v>
      </c>
      <c r="AZ181">
        <v>866755039931.98132</v>
      </c>
      <c r="BA181">
        <v>885566439963.83252</v>
      </c>
      <c r="BB181">
        <v>853093746422.16357</v>
      </c>
      <c r="BC181">
        <v>864548571731.44836</v>
      </c>
      <c r="BD181">
        <v>877959356777.05542</v>
      </c>
      <c r="BE181">
        <v>868913267500.89258</v>
      </c>
      <c r="BF181">
        <v>867782157148.5437</v>
      </c>
      <c r="BG181">
        <v>880134128412.90271</v>
      </c>
      <c r="BH181">
        <v>897377449761.45789</v>
      </c>
      <c r="BI181">
        <v>917045394441.43628</v>
      </c>
      <c r="BJ181">
        <v>943739691874.95874</v>
      </c>
      <c r="BK181">
        <v>966020584715.91333</v>
      </c>
      <c r="BL181">
        <v>984911971364.28601</v>
      </c>
      <c r="BM181">
        <v>946637465636.71045</v>
      </c>
      <c r="BN181">
        <v>992674520140.36719</v>
      </c>
      <c r="BO181" s="188">
        <v>1037128867577.3542</v>
      </c>
    </row>
    <row r="182" spans="1:67">
      <c r="A182" t="s">
        <v>840</v>
      </c>
      <c r="B182" t="s">
        <v>841</v>
      </c>
      <c r="C182" t="s">
        <v>486</v>
      </c>
      <c r="D182" t="s">
        <v>487</v>
      </c>
      <c r="AI182">
        <v>179423908100.3566</v>
      </c>
      <c r="AJ182">
        <v>184958128351.86981</v>
      </c>
      <c r="AK182">
        <v>191569380723.92752</v>
      </c>
      <c r="AL182">
        <v>197019879664.59769</v>
      </c>
      <c r="AM182">
        <v>206979774379.25922</v>
      </c>
      <c r="AN182">
        <v>215581114874.17999</v>
      </c>
      <c r="AO182">
        <v>226420451012.15158</v>
      </c>
      <c r="AP182">
        <v>238385770501.34879</v>
      </c>
      <c r="AQ182">
        <v>244747539669.82773</v>
      </c>
      <c r="AR182">
        <v>249818824141.05817</v>
      </c>
      <c r="AS182">
        <v>258110175190.18488</v>
      </c>
      <c r="AT182">
        <v>263445649243.31027</v>
      </c>
      <c r="AU182">
        <v>267074763229.51633</v>
      </c>
      <c r="AV182">
        <v>269598377748.58005</v>
      </c>
      <c r="AW182">
        <v>280421746961.52264</v>
      </c>
      <c r="AX182">
        <v>287951307613.86902</v>
      </c>
      <c r="AY182">
        <v>295039256734.49115</v>
      </c>
      <c r="AZ182">
        <v>303636710543.71405</v>
      </c>
      <c r="BA182">
        <v>305099995186.17816</v>
      </c>
      <c r="BB182">
        <v>299179942594.98291</v>
      </c>
      <c r="BC182">
        <v>301534643854.52887</v>
      </c>
      <c r="BD182">
        <v>304868579818.81647</v>
      </c>
      <c r="BE182">
        <v>313154783635.53247</v>
      </c>
      <c r="BF182">
        <v>316337033812.04413</v>
      </c>
      <c r="BG182">
        <v>322816033824.81525</v>
      </c>
      <c r="BH182">
        <v>328811824264.33905</v>
      </c>
      <c r="BI182">
        <v>332641575269.00214</v>
      </c>
      <c r="BJ182">
        <v>340837019722.3952</v>
      </c>
      <c r="BK182">
        <v>343662325088.0603</v>
      </c>
      <c r="BL182">
        <v>347524220033.90027</v>
      </c>
      <c r="BM182">
        <v>343082263509.04474</v>
      </c>
      <c r="BN182">
        <v>356456979268.73303</v>
      </c>
      <c r="BO182" s="188">
        <v>368150755986.87714</v>
      </c>
    </row>
    <row r="183" spans="1:67">
      <c r="A183" t="s">
        <v>842</v>
      </c>
      <c r="B183" t="s">
        <v>843</v>
      </c>
      <c r="C183" t="s">
        <v>486</v>
      </c>
      <c r="D183" t="s">
        <v>487</v>
      </c>
      <c r="AI183">
        <v>30495897614.659084</v>
      </c>
      <c r="AJ183">
        <v>32437922239.793682</v>
      </c>
      <c r="AK183">
        <v>33769955225.16861</v>
      </c>
      <c r="AL183">
        <v>35070047855.284821</v>
      </c>
      <c r="AM183">
        <v>37951403931.499435</v>
      </c>
      <c r="AN183">
        <v>39267730119.61805</v>
      </c>
      <c r="AO183">
        <v>41360026369.497559</v>
      </c>
      <c r="AP183">
        <v>43448133849.474998</v>
      </c>
      <c r="AQ183">
        <v>44758698786.165657</v>
      </c>
      <c r="AR183">
        <v>46733709169.464989</v>
      </c>
      <c r="AS183">
        <v>49631199129.523476</v>
      </c>
      <c r="AT183">
        <v>52013443156.796829</v>
      </c>
      <c r="AU183">
        <v>52075933760.064651</v>
      </c>
      <c r="AV183">
        <v>54130349011.037971</v>
      </c>
      <c r="AW183">
        <v>56665058493.893082</v>
      </c>
      <c r="AX183">
        <v>58636538470.017868</v>
      </c>
      <c r="AY183">
        <v>60609432110.190468</v>
      </c>
      <c r="AZ183">
        <v>62677159421.87574</v>
      </c>
      <c r="BA183">
        <v>66503373830.124565</v>
      </c>
      <c r="BB183">
        <v>69518024120.391479</v>
      </c>
      <c r="BC183">
        <v>72866300416.393295</v>
      </c>
      <c r="BD183">
        <v>75359645823.981949</v>
      </c>
      <c r="BE183">
        <v>78879048236.772598</v>
      </c>
      <c r="BF183">
        <v>81659655509.17012</v>
      </c>
      <c r="BG183">
        <v>86568611687.966583</v>
      </c>
      <c r="BH183">
        <v>90010625807.22673</v>
      </c>
      <c r="BI183">
        <v>90400474175.054749</v>
      </c>
      <c r="BJ183">
        <v>98515977279.282776</v>
      </c>
      <c r="BK183">
        <v>106025235593.66794</v>
      </c>
      <c r="BL183">
        <v>113083394294.83603</v>
      </c>
      <c r="BM183">
        <v>110403746858.44691</v>
      </c>
      <c r="BN183">
        <v>115745245310.10527</v>
      </c>
      <c r="BO183" s="188">
        <v>122242249508.74979</v>
      </c>
    </row>
    <row r="184" spans="1:67">
      <c r="A184" t="s">
        <v>844</v>
      </c>
      <c r="B184" t="s">
        <v>845</v>
      </c>
      <c r="C184" t="s">
        <v>486</v>
      </c>
      <c r="D184" t="s">
        <v>487</v>
      </c>
      <c r="AW184">
        <v>55212986.24728471</v>
      </c>
      <c r="AX184">
        <v>50882555.953380033</v>
      </c>
      <c r="AY184">
        <v>46552125.659475349</v>
      </c>
      <c r="AZ184">
        <v>43304302.939046837</v>
      </c>
      <c r="BA184">
        <v>71452099.849427283</v>
      </c>
      <c r="BB184">
        <v>67121669.555522591</v>
      </c>
      <c r="BC184">
        <v>66039061.982046418</v>
      </c>
      <c r="BD184">
        <v>72534707.422903448</v>
      </c>
      <c r="BE184">
        <v>95269466.465903029</v>
      </c>
      <c r="BF184">
        <v>99599896.759807721</v>
      </c>
      <c r="BG184">
        <v>114756402.78847411</v>
      </c>
      <c r="BH184">
        <v>108260757.34761709</v>
      </c>
      <c r="BI184">
        <v>116921617.93542646</v>
      </c>
      <c r="BJ184">
        <v>109343364.92109326</v>
      </c>
      <c r="BK184">
        <v>118004225.50890262</v>
      </c>
      <c r="BL184">
        <v>127747693.67018816</v>
      </c>
      <c r="BM184">
        <v>133160731.53756902</v>
      </c>
      <c r="BN184">
        <v>137491161.83147371</v>
      </c>
      <c r="BO184" s="188">
        <v>140738984.5519022</v>
      </c>
    </row>
    <row r="185" spans="1:67">
      <c r="A185" s="185" t="s">
        <v>846</v>
      </c>
      <c r="B185" s="185" t="s">
        <v>847</v>
      </c>
      <c r="C185" s="185" t="s">
        <v>486</v>
      </c>
      <c r="D185" s="185" t="s">
        <v>487</v>
      </c>
      <c r="E185" s="185"/>
      <c r="F185" s="185"/>
      <c r="G185" s="185"/>
      <c r="H185" s="185"/>
      <c r="I185" s="185"/>
      <c r="J185" s="185"/>
      <c r="K185" s="185"/>
      <c r="L185" s="185"/>
      <c r="M185" s="185"/>
      <c r="N185" s="185"/>
      <c r="O185" s="185"/>
      <c r="P185" s="185"/>
      <c r="Q185" s="185"/>
      <c r="R185" s="185"/>
      <c r="S185" s="185"/>
      <c r="T185" s="185"/>
      <c r="U185" s="185"/>
      <c r="V185" s="185"/>
      <c r="W185" s="185"/>
      <c r="X185" s="185"/>
      <c r="Y185" s="185"/>
      <c r="Z185" s="185"/>
      <c r="AA185" s="185"/>
      <c r="AB185" s="185"/>
      <c r="AC185" s="185"/>
      <c r="AD185" s="185"/>
      <c r="AE185" s="185"/>
      <c r="AF185" s="185"/>
      <c r="AG185" s="185"/>
      <c r="AH185" s="185"/>
      <c r="AI185" s="185">
        <v>93229064887.038483</v>
      </c>
      <c r="AJ185" s="185">
        <v>92212129655.869476</v>
      </c>
      <c r="AK185" s="185">
        <v>93220776877.380157</v>
      </c>
      <c r="AL185" s="185">
        <v>99179010287.769608</v>
      </c>
      <c r="AM185" s="185">
        <v>104256229900.35315</v>
      </c>
      <c r="AN185" s="185">
        <v>109179293569.84827</v>
      </c>
      <c r="AO185" s="185">
        <v>113126861316.06851</v>
      </c>
      <c r="AP185" s="185">
        <v>115478991645.44539</v>
      </c>
      <c r="AQ185" s="185">
        <v>116471063588.0369</v>
      </c>
      <c r="AR185" s="185">
        <v>122731807870.16037</v>
      </c>
      <c r="AS185" s="185">
        <v>126255859359.3965</v>
      </c>
      <c r="AT185" s="185">
        <v>130562297035.34541</v>
      </c>
      <c r="AU185" s="185">
        <v>136716954941.92177</v>
      </c>
      <c r="AV185" s="185">
        <v>143181583965.48114</v>
      </c>
      <c r="AW185" s="185">
        <v>149036217255.14145</v>
      </c>
      <c r="AX185" s="185">
        <v>154033872271.16403</v>
      </c>
      <c r="AY185" s="185">
        <v>158344453951.94211</v>
      </c>
      <c r="AZ185" s="185">
        <v>163197898044.14825</v>
      </c>
      <c r="BA185" s="185">
        <v>161222042168.62357</v>
      </c>
      <c r="BB185" s="185">
        <v>161041364446.54895</v>
      </c>
      <c r="BC185" s="185">
        <v>163403440535.59534</v>
      </c>
      <c r="BD185" s="185">
        <v>167033578400.37857</v>
      </c>
      <c r="BE185" s="185">
        <v>170830304222.73773</v>
      </c>
      <c r="BF185" s="185">
        <v>175553627155.6261</v>
      </c>
      <c r="BG185" s="185">
        <v>182243689449.57404</v>
      </c>
      <c r="BH185" s="185">
        <v>189053098638.3634</v>
      </c>
      <c r="BI185" s="185">
        <v>196240440031.01608</v>
      </c>
      <c r="BJ185" s="185">
        <v>203156764100.15939</v>
      </c>
      <c r="BK185" s="185">
        <v>210318412218.63278</v>
      </c>
      <c r="BL185" s="185">
        <v>215462765153.68729</v>
      </c>
      <c r="BM185" s="185">
        <v>214053807954.15631</v>
      </c>
      <c r="BN185" s="185">
        <v>225115782015.7179</v>
      </c>
      <c r="BO185" s="189">
        <v>229971483907.4852</v>
      </c>
    </row>
    <row r="186" spans="1:67">
      <c r="A186" t="s">
        <v>848</v>
      </c>
      <c r="B186" t="s">
        <v>849</v>
      </c>
      <c r="C186" t="s">
        <v>486</v>
      </c>
      <c r="D186" t="s">
        <v>487</v>
      </c>
      <c r="AI186">
        <v>32612217908593.215</v>
      </c>
      <c r="AJ186">
        <v>33051714815784.18</v>
      </c>
      <c r="AK186">
        <v>33771221992179.523</v>
      </c>
      <c r="AL186">
        <v>34249195217882.559</v>
      </c>
      <c r="AM186">
        <v>35322669964147.938</v>
      </c>
      <c r="AN186">
        <v>36252130166270.43</v>
      </c>
      <c r="AO186">
        <v>37400149227267.703</v>
      </c>
      <c r="AP186">
        <v>38769863736645.93</v>
      </c>
      <c r="AQ186">
        <v>39901495601902.945</v>
      </c>
      <c r="AR186">
        <v>41196130185726.055</v>
      </c>
      <c r="AS186">
        <v>42899711011176.977</v>
      </c>
      <c r="AT186">
        <v>43476926713945.75</v>
      </c>
      <c r="AU186">
        <v>44169560866949.219</v>
      </c>
      <c r="AV186">
        <v>45080028511665.07</v>
      </c>
      <c r="AW186">
        <v>46593869000836.711</v>
      </c>
      <c r="AX186">
        <v>47936357086222.531</v>
      </c>
      <c r="AY186">
        <v>49459051094990.367</v>
      </c>
      <c r="AZ186">
        <v>50811661067712.727</v>
      </c>
      <c r="BA186">
        <v>51050946696197.484</v>
      </c>
      <c r="BB186">
        <v>49288061478131.07</v>
      </c>
      <c r="BC186">
        <v>50815759320203.781</v>
      </c>
      <c r="BD186">
        <v>51872964073011.148</v>
      </c>
      <c r="BE186">
        <v>52578763519684.688</v>
      </c>
      <c r="BF186">
        <v>53403871275678.68</v>
      </c>
      <c r="BG186">
        <v>54552052224845.883</v>
      </c>
      <c r="BH186">
        <v>55934002527397.859</v>
      </c>
      <c r="BI186">
        <v>56991168899608.703</v>
      </c>
      <c r="BJ186">
        <v>58489564195828.586</v>
      </c>
      <c r="BK186">
        <v>59884247903408.273</v>
      </c>
      <c r="BL186">
        <v>60900855059971.117</v>
      </c>
      <c r="BM186">
        <v>58292208103217.688</v>
      </c>
      <c r="BN186">
        <v>61578608123171.273</v>
      </c>
      <c r="BO186" s="188">
        <v>63383089009087.063</v>
      </c>
    </row>
    <row r="187" spans="1:67">
      <c r="A187" t="s">
        <v>850</v>
      </c>
      <c r="B187" t="s">
        <v>851</v>
      </c>
      <c r="C187" t="s">
        <v>486</v>
      </c>
      <c r="D187" t="s">
        <v>487</v>
      </c>
      <c r="AI187">
        <v>54969772949.398094</v>
      </c>
      <c r="AJ187">
        <v>58308679784.287956</v>
      </c>
      <c r="AK187">
        <v>63214704614.505188</v>
      </c>
      <c r="AL187">
        <v>67034744354.933693</v>
      </c>
      <c r="AM187">
        <v>69632859659.274399</v>
      </c>
      <c r="AN187">
        <v>73112287983.276688</v>
      </c>
      <c r="AO187">
        <v>75339244341.916611</v>
      </c>
      <c r="AP187">
        <v>79884847072.040359</v>
      </c>
      <c r="AQ187">
        <v>81995674768.048447</v>
      </c>
      <c r="AR187">
        <v>82267486797.17482</v>
      </c>
      <c r="AS187">
        <v>87656884881.936081</v>
      </c>
      <c r="AT187">
        <v>91586369936.397263</v>
      </c>
      <c r="AU187">
        <v>90578090742.180099</v>
      </c>
      <c r="AV187">
        <v>88160931866.033554</v>
      </c>
      <c r="AW187">
        <v>89300152435.790573</v>
      </c>
      <c r="AX187">
        <v>91523923712.178696</v>
      </c>
      <c r="AY187">
        <v>96440487187.211349</v>
      </c>
      <c r="AZ187">
        <v>100734676910.56978</v>
      </c>
      <c r="BA187">
        <v>108994999149.03371</v>
      </c>
      <c r="BB187">
        <v>115657204689.88759</v>
      </c>
      <c r="BC187">
        <v>117639552189.94102</v>
      </c>
      <c r="BD187">
        <v>121044758120.32602</v>
      </c>
      <c r="BE187">
        <v>131773103016.48973</v>
      </c>
      <c r="BF187">
        <v>138661810901.1485</v>
      </c>
      <c r="BG187">
        <v>140453671333.57419</v>
      </c>
      <c r="BH187">
        <v>147500313483.56287</v>
      </c>
      <c r="BI187">
        <v>154943804623.20486</v>
      </c>
      <c r="BJ187">
        <v>155414922984.08981</v>
      </c>
      <c r="BK187">
        <v>157415274542.98502</v>
      </c>
      <c r="BL187">
        <v>155638510926.18265</v>
      </c>
      <c r="BM187">
        <v>150378373760.58566</v>
      </c>
      <c r="BN187">
        <v>155028489155.23709</v>
      </c>
      <c r="BO187" s="188">
        <v>161712160334.00031</v>
      </c>
    </row>
    <row r="188" spans="1:67">
      <c r="A188" t="s">
        <v>852</v>
      </c>
      <c r="B188" t="s">
        <v>853</v>
      </c>
      <c r="C188" t="s">
        <v>486</v>
      </c>
      <c r="D188" t="s">
        <v>487</v>
      </c>
      <c r="AS188">
        <v>289902895257.68909</v>
      </c>
      <c r="AT188">
        <v>302608375593.97589</v>
      </c>
      <c r="AU188">
        <v>316568984178.5564</v>
      </c>
      <c r="AV188">
        <v>331561093174.76434</v>
      </c>
      <c r="AW188">
        <v>360676526690.90076</v>
      </c>
      <c r="AX188">
        <v>381205073916.8587</v>
      </c>
      <c r="AY188">
        <v>419365450582.17932</v>
      </c>
      <c r="AZ188">
        <v>458968254667.88226</v>
      </c>
      <c r="BA188">
        <v>491030518796.08118</v>
      </c>
      <c r="BB188">
        <v>496830290376.57867</v>
      </c>
      <c r="BC188">
        <v>536327084815.61993</v>
      </c>
      <c r="BD188">
        <v>574896088830.82312</v>
      </c>
      <c r="BE188">
        <v>595006082291.20654</v>
      </c>
      <c r="BF188">
        <v>616395101176.04175</v>
      </c>
      <c r="BG188">
        <v>639651353355.82544</v>
      </c>
      <c r="BH188">
        <v>656847112541.11633</v>
      </c>
      <c r="BI188">
        <v>674856282525.82654</v>
      </c>
      <c r="BJ188">
        <v>684394791921.87158</v>
      </c>
      <c r="BK188">
        <v>698784157963.18481</v>
      </c>
      <c r="BL188">
        <v>714494426578.43054</v>
      </c>
      <c r="BM188">
        <v>678799405608.90564</v>
      </c>
      <c r="BN188">
        <v>706755036347.59644</v>
      </c>
      <c r="BO188" s="188">
        <v>736861779859.75586</v>
      </c>
    </row>
    <row r="189" spans="1:67">
      <c r="A189" t="s">
        <v>854</v>
      </c>
      <c r="B189" t="s">
        <v>855</v>
      </c>
      <c r="C189" t="s">
        <v>486</v>
      </c>
      <c r="D189" t="s">
        <v>487</v>
      </c>
      <c r="AI189">
        <v>353344025646.94342</v>
      </c>
      <c r="AJ189">
        <v>371228772911.8288</v>
      </c>
      <c r="AK189">
        <v>399835282840.6391</v>
      </c>
      <c r="AL189">
        <v>406863378321.79572</v>
      </c>
      <c r="AM189">
        <v>422069553503.65015</v>
      </c>
      <c r="AN189">
        <v>443015215778.50281</v>
      </c>
      <c r="AO189">
        <v>464486308313.24042</v>
      </c>
      <c r="AP189">
        <v>469198038910.44208</v>
      </c>
      <c r="AQ189">
        <v>481163688212.24249</v>
      </c>
      <c r="AR189">
        <v>498774917914.26959</v>
      </c>
      <c r="AS189">
        <v>520023168397.64154</v>
      </c>
      <c r="AT189">
        <v>538506966621.56964</v>
      </c>
      <c r="AU189">
        <v>552014540011.61035</v>
      </c>
      <c r="AV189">
        <v>583904607628.88281</v>
      </c>
      <c r="AW189">
        <v>627971070988.89282</v>
      </c>
      <c r="AX189">
        <v>668907111475.19946</v>
      </c>
      <c r="AY189">
        <v>708365837909.71985</v>
      </c>
      <c r="AZ189">
        <v>742599864508.00037</v>
      </c>
      <c r="BA189">
        <v>755234499189.9248</v>
      </c>
      <c r="BB189">
        <v>776620161226.15735</v>
      </c>
      <c r="BC189">
        <v>789098029047.00513</v>
      </c>
      <c r="BD189">
        <v>810785645972.13147</v>
      </c>
      <c r="BE189">
        <v>839220169540.93433</v>
      </c>
      <c r="BF189">
        <v>876116120354.64478</v>
      </c>
      <c r="BG189">
        <v>917071990560.49487</v>
      </c>
      <c r="BH189">
        <v>960460018888.77112</v>
      </c>
      <c r="BI189">
        <v>1013542107027.3435</v>
      </c>
      <c r="BJ189">
        <v>1058468637040.1669</v>
      </c>
      <c r="BK189">
        <v>1123582479821.532</v>
      </c>
      <c r="BL189">
        <v>1151645490770.2009</v>
      </c>
      <c r="BM189">
        <v>1136972520179.9641</v>
      </c>
      <c r="BN189">
        <v>1210728914158.8499</v>
      </c>
      <c r="BO189" s="188">
        <v>1285650701729.7578</v>
      </c>
    </row>
    <row r="190" spans="1:67">
      <c r="A190" t="s">
        <v>856</v>
      </c>
      <c r="B190" t="s">
        <v>857</v>
      </c>
      <c r="C190" t="s">
        <v>486</v>
      </c>
      <c r="D190" t="s">
        <v>487</v>
      </c>
      <c r="AI190">
        <v>27468627597.150902</v>
      </c>
      <c r="AJ190">
        <v>30055899158.449074</v>
      </c>
      <c r="AK190">
        <v>32520987928.923611</v>
      </c>
      <c r="AL190">
        <v>34295249918.250187</v>
      </c>
      <c r="AM190">
        <v>35272714891.143677</v>
      </c>
      <c r="AN190">
        <v>35890579544.9496</v>
      </c>
      <c r="AO190">
        <v>37354808669.22039</v>
      </c>
      <c r="AP190">
        <v>39768299286.229759</v>
      </c>
      <c r="AQ190">
        <v>42687889257.854111</v>
      </c>
      <c r="AR190">
        <v>44360062068.45179</v>
      </c>
      <c r="AS190">
        <v>45564603728.924339</v>
      </c>
      <c r="AT190">
        <v>45826268850.300072</v>
      </c>
      <c r="AU190">
        <v>46847804855.043152</v>
      </c>
      <c r="AV190">
        <v>48817987388.457176</v>
      </c>
      <c r="AW190">
        <v>52490115287.174179</v>
      </c>
      <c r="AX190">
        <v>56264826136.08271</v>
      </c>
      <c r="AY190">
        <v>61133120868.352524</v>
      </c>
      <c r="AZ190">
        <v>68459305144.59343</v>
      </c>
      <c r="BA190">
        <v>75206417973.437668</v>
      </c>
      <c r="BB190">
        <v>76141227971.31308</v>
      </c>
      <c r="BC190">
        <v>80578733783.950424</v>
      </c>
      <c r="BD190">
        <v>89695110287.043213</v>
      </c>
      <c r="BE190">
        <v>98465937740.99617</v>
      </c>
      <c r="BF190">
        <v>105263974930.99716</v>
      </c>
      <c r="BG190">
        <v>110597092488.19746</v>
      </c>
      <c r="BH190">
        <v>116937683850.35635</v>
      </c>
      <c r="BI190">
        <v>122729854564.379</v>
      </c>
      <c r="BJ190">
        <v>129591863447.80267</v>
      </c>
      <c r="BK190">
        <v>134367880780.37192</v>
      </c>
      <c r="BL190">
        <v>138777666578.94687</v>
      </c>
      <c r="BM190">
        <v>114257966726.99179</v>
      </c>
      <c r="BN190">
        <v>132351589782.36029</v>
      </c>
      <c r="BO190" s="188">
        <v>146657957799.3569</v>
      </c>
    </row>
    <row r="191" spans="1:67">
      <c r="A191" t="s">
        <v>858</v>
      </c>
      <c r="B191" t="s">
        <v>859</v>
      </c>
      <c r="C191" t="s">
        <v>486</v>
      </c>
      <c r="D191" t="s">
        <v>487</v>
      </c>
      <c r="AI191">
        <v>115857374579.76404</v>
      </c>
      <c r="AJ191">
        <v>118428549911.38</v>
      </c>
      <c r="AK191">
        <v>117788432792.83076</v>
      </c>
      <c r="AL191">
        <v>123964759972.52457</v>
      </c>
      <c r="AM191">
        <v>139222796570.10641</v>
      </c>
      <c r="AN191">
        <v>149541148019.88712</v>
      </c>
      <c r="AO191">
        <v>153726764495.17987</v>
      </c>
      <c r="AP191">
        <v>163683377119.3049</v>
      </c>
      <c r="AQ191">
        <v>163042495225.22571</v>
      </c>
      <c r="AR191">
        <v>165479834839.1044</v>
      </c>
      <c r="AS191">
        <v>169938476178.58124</v>
      </c>
      <c r="AT191">
        <v>170988512981.17157</v>
      </c>
      <c r="AU191">
        <v>180313421017.57654</v>
      </c>
      <c r="AV191">
        <v>187823516721.46378</v>
      </c>
      <c r="AW191">
        <v>197136188349.38992</v>
      </c>
      <c r="AX191">
        <v>209526316709.74396</v>
      </c>
      <c r="AY191">
        <v>225301341565.55676</v>
      </c>
      <c r="AZ191">
        <v>244493383489.08527</v>
      </c>
      <c r="BA191">
        <v>266807239125.77744</v>
      </c>
      <c r="BB191">
        <v>269730975976.68997</v>
      </c>
      <c r="BC191">
        <v>292206199250.19684</v>
      </c>
      <c r="BD191">
        <v>310694647686.19208</v>
      </c>
      <c r="BE191">
        <v>329770443729.17163</v>
      </c>
      <c r="BF191">
        <v>349070319002.41992</v>
      </c>
      <c r="BG191">
        <v>357385723339.32068</v>
      </c>
      <c r="BH191">
        <v>369008781843.15753</v>
      </c>
      <c r="BI191">
        <v>383596875076.52301</v>
      </c>
      <c r="BJ191">
        <v>393259049121.62598</v>
      </c>
      <c r="BK191">
        <v>408868882462.97449</v>
      </c>
      <c r="BL191">
        <v>418030128535.97498</v>
      </c>
      <c r="BM191">
        <v>372591755200.86749</v>
      </c>
      <c r="BN191">
        <v>422584366816.69275</v>
      </c>
      <c r="BO191" s="188">
        <v>433925987925.5163</v>
      </c>
    </row>
    <row r="192" spans="1:67">
      <c r="A192" t="s">
        <v>860</v>
      </c>
      <c r="B192" t="s">
        <v>861</v>
      </c>
      <c r="C192" t="s">
        <v>486</v>
      </c>
      <c r="D192" t="s">
        <v>487</v>
      </c>
      <c r="AI192">
        <v>260546656531.22571</v>
      </c>
      <c r="AJ192">
        <v>259409656766.96194</v>
      </c>
      <c r="AK192">
        <v>260493026893.88571</v>
      </c>
      <c r="AL192">
        <v>266176698160.90353</v>
      </c>
      <c r="AM192">
        <v>277818377690.53253</v>
      </c>
      <c r="AN192">
        <v>290668103076.21887</v>
      </c>
      <c r="AO192">
        <v>307702265068.37628</v>
      </c>
      <c r="AP192">
        <v>323660971265.23462</v>
      </c>
      <c r="AQ192">
        <v>321997060637.5741</v>
      </c>
      <c r="AR192">
        <v>332772535085.66956</v>
      </c>
      <c r="AS192">
        <v>347356307520.26813</v>
      </c>
      <c r="AT192">
        <v>357948005500.65765</v>
      </c>
      <c r="AU192">
        <v>371250266158.14545</v>
      </c>
      <c r="AV192">
        <v>390135437286.54657</v>
      </c>
      <c r="AW192">
        <v>415764325667.43439</v>
      </c>
      <c r="AX192">
        <v>436313498745.59515</v>
      </c>
      <c r="AY192">
        <v>459509742986.81128</v>
      </c>
      <c r="AZ192">
        <v>489466522833.6474</v>
      </c>
      <c r="BA192">
        <v>510731333780.82965</v>
      </c>
      <c r="BB192">
        <v>518128373476.70221</v>
      </c>
      <c r="BC192">
        <v>556130498823.88904</v>
      </c>
      <c r="BD192">
        <v>577587308295.79138</v>
      </c>
      <c r="BE192">
        <v>617423226034.98572</v>
      </c>
      <c r="BF192">
        <v>659102574170.73047</v>
      </c>
      <c r="BG192">
        <v>700942323076.63989</v>
      </c>
      <c r="BH192">
        <v>745440312681.17053</v>
      </c>
      <c r="BI192">
        <v>798735245433.43152</v>
      </c>
      <c r="BJ192">
        <v>854095492048.79382</v>
      </c>
      <c r="BK192">
        <v>908257834444.19666</v>
      </c>
      <c r="BL192">
        <v>963829823123.72522</v>
      </c>
      <c r="BM192">
        <v>872089659762.42249</v>
      </c>
      <c r="BN192">
        <v>921927256489.89001</v>
      </c>
      <c r="BO192" s="188">
        <v>991720215105.37939</v>
      </c>
    </row>
    <row r="193" spans="1:67">
      <c r="A193" t="s">
        <v>862</v>
      </c>
      <c r="B193" t="s">
        <v>863</v>
      </c>
      <c r="C193" t="s">
        <v>486</v>
      </c>
      <c r="D193" t="s">
        <v>487</v>
      </c>
      <c r="AS193">
        <v>262380541.3009901</v>
      </c>
      <c r="AT193">
        <v>279278128.7750209</v>
      </c>
      <c r="AU193">
        <v>289274587.2162267</v>
      </c>
      <c r="AV193">
        <v>279834448.89485812</v>
      </c>
      <c r="AW193">
        <v>293423294.46485209</v>
      </c>
      <c r="AX193">
        <v>305042456.92708331</v>
      </c>
      <c r="AY193">
        <v>303805071.59853303</v>
      </c>
      <c r="AZ193">
        <v>309945402.61425203</v>
      </c>
      <c r="BA193">
        <v>292024633.98060185</v>
      </c>
      <c r="BB193">
        <v>272778830.47726023</v>
      </c>
      <c r="BC193">
        <v>273368287.77845794</v>
      </c>
      <c r="BD193">
        <v>291639315.28812671</v>
      </c>
      <c r="BE193">
        <v>296517266.71904743</v>
      </c>
      <c r="BF193">
        <v>286473307.88135219</v>
      </c>
      <c r="BG193">
        <v>304503553.61929226</v>
      </c>
      <c r="BH193">
        <v>327460269.05028152</v>
      </c>
      <c r="BI193">
        <v>327187254.86664927</v>
      </c>
      <c r="BJ193">
        <v>313841905.37675482</v>
      </c>
      <c r="BK193">
        <v>314181193.92310804</v>
      </c>
      <c r="BL193">
        <v>315425251.92640328</v>
      </c>
      <c r="BM193">
        <v>286698821.66849494</v>
      </c>
      <c r="BN193">
        <v>248472312.11269563</v>
      </c>
    </row>
    <row r="194" spans="1:67">
      <c r="A194" t="s">
        <v>864</v>
      </c>
      <c r="B194" t="s">
        <v>865</v>
      </c>
      <c r="C194" t="s">
        <v>486</v>
      </c>
      <c r="D194" t="s">
        <v>487</v>
      </c>
      <c r="AI194">
        <v>11237026589.912102</v>
      </c>
      <c r="AJ194">
        <v>12309814024.141363</v>
      </c>
      <c r="AK194">
        <v>14014610664.793633</v>
      </c>
      <c r="AL194">
        <v>16565590173.161133</v>
      </c>
      <c r="AM194">
        <v>17549935607.629616</v>
      </c>
      <c r="AN194">
        <v>16968602980.002838</v>
      </c>
      <c r="AO194">
        <v>18280903115.640511</v>
      </c>
      <c r="AP194">
        <v>17567145425.298107</v>
      </c>
      <c r="AQ194">
        <v>16905019825.076977</v>
      </c>
      <c r="AR194">
        <v>17218701595.642586</v>
      </c>
      <c r="AS194">
        <v>16789122197.653971</v>
      </c>
      <c r="AT194">
        <v>16768758905.453873</v>
      </c>
      <c r="AU194">
        <v>16742113258.161758</v>
      </c>
      <c r="AV194">
        <v>17104429750.106285</v>
      </c>
      <c r="AW194">
        <v>17569871343.099541</v>
      </c>
      <c r="AX194">
        <v>18684643823.769833</v>
      </c>
      <c r="AY194">
        <v>19695472608.251915</v>
      </c>
      <c r="AZ194">
        <v>21234711062.058586</v>
      </c>
      <c r="BA194">
        <v>21171759095.065041</v>
      </c>
      <c r="BB194">
        <v>22611527948.941631</v>
      </c>
      <c r="BC194">
        <v>24901726172.232864</v>
      </c>
      <c r="BD194">
        <v>25177523653.266251</v>
      </c>
      <c r="BE194">
        <v>26350071041.327175</v>
      </c>
      <c r="BF194">
        <v>27357947116.049587</v>
      </c>
      <c r="BG194">
        <v>31063244720.240913</v>
      </c>
      <c r="BH194">
        <v>33106695643.43713</v>
      </c>
      <c r="BI194">
        <v>34924111919.252457</v>
      </c>
      <c r="BJ194">
        <v>36158543357.067764</v>
      </c>
      <c r="BK194">
        <v>36057569798.53492</v>
      </c>
      <c r="BL194">
        <v>37673104197.236137</v>
      </c>
      <c r="BM194">
        <v>36479853386.366356</v>
      </c>
      <c r="BN194">
        <v>36516333239.752716</v>
      </c>
      <c r="BO194" s="188">
        <v>38196084561.099312</v>
      </c>
    </row>
    <row r="195" spans="1:67">
      <c r="A195" t="s">
        <v>866</v>
      </c>
      <c r="B195" t="s">
        <v>867</v>
      </c>
      <c r="C195" t="s">
        <v>486</v>
      </c>
      <c r="D195" t="s">
        <v>487</v>
      </c>
      <c r="AI195">
        <v>429105966251.81274</v>
      </c>
      <c r="AJ195">
        <v>399001699083.90466</v>
      </c>
      <c r="AK195">
        <v>409036506483.37689</v>
      </c>
      <c r="AL195">
        <v>424327560313.97736</v>
      </c>
      <c r="AM195">
        <v>446786378195.53918</v>
      </c>
      <c r="AN195">
        <v>478521013882.26807</v>
      </c>
      <c r="AO195">
        <v>507785171347.61249</v>
      </c>
      <c r="AP195">
        <v>540532252680.07056</v>
      </c>
      <c r="AQ195">
        <v>565615732738.48022</v>
      </c>
      <c r="AR195">
        <v>591944533394.34265</v>
      </c>
      <c r="AS195">
        <v>618943037196.4657</v>
      </c>
      <c r="AT195">
        <v>626732865241.53711</v>
      </c>
      <c r="AU195">
        <v>639492288012.43652</v>
      </c>
      <c r="AV195">
        <v>661864230026.65015</v>
      </c>
      <c r="AW195">
        <v>694843895872.38208</v>
      </c>
      <c r="AX195">
        <v>719210922128.59668</v>
      </c>
      <c r="AY195">
        <v>763306725189.13342</v>
      </c>
      <c r="AZ195">
        <v>817207893948.71375</v>
      </c>
      <c r="BA195">
        <v>851530472386.1615</v>
      </c>
      <c r="BB195">
        <v>875647382633.1272</v>
      </c>
      <c r="BC195">
        <v>901344465050.6759</v>
      </c>
      <c r="BD195">
        <v>946791946450.91626</v>
      </c>
      <c r="BE195">
        <v>961421979842.39136</v>
      </c>
      <c r="BF195">
        <v>969657107885.23804</v>
      </c>
      <c r="BG195">
        <v>1006862448644.2415</v>
      </c>
      <c r="BH195">
        <v>1050996236612.7249</v>
      </c>
      <c r="BI195">
        <v>1082037503386.776</v>
      </c>
      <c r="BJ195">
        <v>1137654421219.1494</v>
      </c>
      <c r="BK195">
        <v>1205290348309.061</v>
      </c>
      <c r="BL195">
        <v>1258926207096.2136</v>
      </c>
      <c r="BM195">
        <v>1233494434651.0925</v>
      </c>
      <c r="BN195">
        <v>1317961182260.5916</v>
      </c>
      <c r="BO195" s="188">
        <v>1382198921047.2705</v>
      </c>
    </row>
    <row r="196" spans="1:67">
      <c r="A196" t="s">
        <v>868</v>
      </c>
      <c r="B196" t="s">
        <v>869</v>
      </c>
      <c r="C196" t="s">
        <v>486</v>
      </c>
      <c r="D196" t="s">
        <v>487</v>
      </c>
      <c r="AI196">
        <v>1089242557768.1791</v>
      </c>
      <c r="AJ196">
        <v>1009820024021.9872</v>
      </c>
      <c r="AK196">
        <v>1033484755132.4969</v>
      </c>
      <c r="AL196">
        <v>1029558329273.2401</v>
      </c>
      <c r="AM196">
        <v>1031462461800.2477</v>
      </c>
      <c r="AN196">
        <v>1066895584463.569</v>
      </c>
      <c r="AO196">
        <v>1126963218819.3171</v>
      </c>
      <c r="AP196">
        <v>1200062536428.5271</v>
      </c>
      <c r="AQ196">
        <v>1279773075134.8862</v>
      </c>
      <c r="AR196">
        <v>1333965446514.6592</v>
      </c>
      <c r="AS196">
        <v>1404183268706.0864</v>
      </c>
      <c r="AT196">
        <v>1467911400041.9963</v>
      </c>
      <c r="AU196">
        <v>1546887220914.1057</v>
      </c>
      <c r="AV196">
        <v>1545086897089.0061</v>
      </c>
      <c r="AW196">
        <v>1719405269987.3313</v>
      </c>
      <c r="AX196">
        <v>1823466078477.5198</v>
      </c>
      <c r="AY196">
        <v>1938014488216.3752</v>
      </c>
      <c r="AZ196">
        <v>2057544439298.6084</v>
      </c>
      <c r="BA196">
        <v>2185616322036.9692</v>
      </c>
      <c r="BB196">
        <v>2285273509915.3979</v>
      </c>
      <c r="BC196">
        <v>2432569374988.7168</v>
      </c>
      <c r="BD196">
        <v>2533496835400.7339</v>
      </c>
      <c r="BE196">
        <v>2650160883723.6245</v>
      </c>
      <c r="BF196">
        <v>2799535035392.6289</v>
      </c>
      <c r="BG196">
        <v>2942189319842.6055</v>
      </c>
      <c r="BH196">
        <v>3039581647480.2256</v>
      </c>
      <c r="BI196">
        <v>3121950157438.6084</v>
      </c>
      <c r="BJ196">
        <v>3178873150008.6289</v>
      </c>
      <c r="BK196">
        <v>3262845270999.7739</v>
      </c>
      <c r="BL196">
        <v>3369526170539.2646</v>
      </c>
      <c r="BM196">
        <v>3286654040299.7007</v>
      </c>
      <c r="BN196">
        <v>3383754296765.3589</v>
      </c>
      <c r="BO196" s="188">
        <v>3524475291555.8237</v>
      </c>
    </row>
    <row r="197" spans="1:67">
      <c r="A197" t="s">
        <v>870</v>
      </c>
      <c r="B197" t="s">
        <v>871</v>
      </c>
      <c r="C197" t="s">
        <v>486</v>
      </c>
      <c r="D197" t="s">
        <v>487</v>
      </c>
      <c r="AI197">
        <v>76384976166.672928</v>
      </c>
      <c r="AJ197">
        <v>78145184825.95813</v>
      </c>
      <c r="AK197">
        <v>81711771551.985214</v>
      </c>
      <c r="AL197">
        <v>85506896844.92276</v>
      </c>
      <c r="AM197">
        <v>89086180158.000412</v>
      </c>
      <c r="AN197">
        <v>93138699897.50882</v>
      </c>
      <c r="AO197">
        <v>95293656990.548492</v>
      </c>
      <c r="AP197">
        <v>99944070556.620682</v>
      </c>
      <c r="AQ197">
        <v>105471702864.36943</v>
      </c>
      <c r="AR197">
        <v>111156311157.47081</v>
      </c>
      <c r="AS197">
        <v>114793306229.86931</v>
      </c>
      <c r="AT197">
        <v>122040748965.37868</v>
      </c>
      <c r="AU197">
        <v>123159202861.01628</v>
      </c>
      <c r="AV197">
        <v>123224994266.64203</v>
      </c>
      <c r="AW197">
        <v>134005550907.7724</v>
      </c>
      <c r="AX197">
        <v>131342942711.98376</v>
      </c>
      <c r="AY197">
        <v>129491776857.30338</v>
      </c>
      <c r="AZ197">
        <v>127986037812.62666</v>
      </c>
      <c r="BA197">
        <v>125625803454.3884</v>
      </c>
      <c r="BB197">
        <v>123173053683.25328</v>
      </c>
      <c r="BC197">
        <v>122664035966.04359</v>
      </c>
      <c r="BD197">
        <v>122224272360.01891</v>
      </c>
      <c r="BE197">
        <v>122260053650.79781</v>
      </c>
      <c r="BF197">
        <v>121884927215.21243</v>
      </c>
      <c r="BG197">
        <v>120434053585.88687</v>
      </c>
      <c r="BH197">
        <v>119170166056.76077</v>
      </c>
      <c r="BI197">
        <v>117665043373.67363</v>
      </c>
      <c r="BJ197">
        <v>114269283455.23619</v>
      </c>
      <c r="BK197">
        <v>109286450155.47604</v>
      </c>
      <c r="BL197">
        <v>111117067161.13266</v>
      </c>
      <c r="BM197">
        <v>106447031596.89139</v>
      </c>
      <c r="BN197">
        <v>106907571436.27159</v>
      </c>
      <c r="BO197" s="188">
        <v>110500705571.58623</v>
      </c>
    </row>
    <row r="198" spans="1:67">
      <c r="A198" t="s">
        <v>872</v>
      </c>
      <c r="B198" t="s">
        <v>873</v>
      </c>
      <c r="C198" t="s">
        <v>486</v>
      </c>
      <c r="D198" t="s">
        <v>487</v>
      </c>
    </row>
    <row r="199" spans="1:67">
      <c r="A199" t="s">
        <v>874</v>
      </c>
      <c r="B199" t="s">
        <v>875</v>
      </c>
      <c r="C199" t="s">
        <v>486</v>
      </c>
      <c r="D199" t="s">
        <v>487</v>
      </c>
      <c r="AI199">
        <v>235173230914.06189</v>
      </c>
      <c r="AJ199">
        <v>245446083185.32919</v>
      </c>
      <c r="AK199">
        <v>248120160356.75995</v>
      </c>
      <c r="AL199">
        <v>243050379350.07919</v>
      </c>
      <c r="AM199">
        <v>245395421587.74045</v>
      </c>
      <c r="AN199">
        <v>255905168752.01648</v>
      </c>
      <c r="AO199">
        <v>264872718127.8515</v>
      </c>
      <c r="AP199">
        <v>276529416168.58673</v>
      </c>
      <c r="AQ199">
        <v>289824848114.98383</v>
      </c>
      <c r="AR199">
        <v>301147080247.03278</v>
      </c>
      <c r="AS199">
        <v>312639389062.19977</v>
      </c>
      <c r="AT199">
        <v>318716074253.31519</v>
      </c>
      <c r="AU199">
        <v>321173133039.01184</v>
      </c>
      <c r="AV199">
        <v>318184548971.07239</v>
      </c>
      <c r="AW199">
        <v>323876029531.7644</v>
      </c>
      <c r="AX199">
        <v>326408248490.47516</v>
      </c>
      <c r="AY199">
        <v>331712494082.6969</v>
      </c>
      <c r="AZ199">
        <v>340027131941.01294</v>
      </c>
      <c r="BA199">
        <v>341112661504.38611</v>
      </c>
      <c r="BB199">
        <v>330462853299.4068</v>
      </c>
      <c r="BC199">
        <v>336205060026.74207</v>
      </c>
      <c r="BD199">
        <v>330502468207.92279</v>
      </c>
      <c r="BE199">
        <v>317093012692.04657</v>
      </c>
      <c r="BF199">
        <v>314167370897.14337</v>
      </c>
      <c r="BG199">
        <v>316656174341.0473</v>
      </c>
      <c r="BH199">
        <v>322330798791.34711</v>
      </c>
      <c r="BI199">
        <v>328840222198.50146</v>
      </c>
      <c r="BJ199">
        <v>340370495824.12524</v>
      </c>
      <c r="BK199">
        <v>350068760634.5578</v>
      </c>
      <c r="BL199">
        <v>359460265041.43597</v>
      </c>
      <c r="BM199">
        <v>329623208076.29559</v>
      </c>
      <c r="BN199">
        <v>347761573798.67761</v>
      </c>
      <c r="BO199" s="188">
        <v>371012047336.54517</v>
      </c>
    </row>
    <row r="200" spans="1:67">
      <c r="A200" t="s">
        <v>876</v>
      </c>
      <c r="B200" t="s">
        <v>877</v>
      </c>
      <c r="C200" t="s">
        <v>486</v>
      </c>
      <c r="D200" t="s">
        <v>487</v>
      </c>
      <c r="AI200">
        <v>35796536247.950188</v>
      </c>
      <c r="AJ200">
        <v>37047141992.0308</v>
      </c>
      <c r="AK200">
        <v>37675620086.150063</v>
      </c>
      <c r="AL200">
        <v>39535424105.339233</v>
      </c>
      <c r="AM200">
        <v>41637885405.887619</v>
      </c>
      <c r="AN200">
        <v>44478759341.555763</v>
      </c>
      <c r="AO200">
        <v>45178759442.860054</v>
      </c>
      <c r="AP200">
        <v>47095475587.222855</v>
      </c>
      <c r="AQ200">
        <v>47127518291.899536</v>
      </c>
      <c r="AR200">
        <v>46483718825.555923</v>
      </c>
      <c r="AS200">
        <v>45408020230.610138</v>
      </c>
      <c r="AT200">
        <v>45029292496.095726</v>
      </c>
      <c r="AU200">
        <v>45019654248.464798</v>
      </c>
      <c r="AV200">
        <v>46964838927.000214</v>
      </c>
      <c r="AW200">
        <v>48870398926.077194</v>
      </c>
      <c r="AX200">
        <v>49913044324.915878</v>
      </c>
      <c r="AY200">
        <v>52312422860.050774</v>
      </c>
      <c r="AZ200">
        <v>55148605142.824036</v>
      </c>
      <c r="BA200">
        <v>58731219632.846809</v>
      </c>
      <c r="BB200">
        <v>58577850495.148628</v>
      </c>
      <c r="BC200">
        <v>65077198479.73204</v>
      </c>
      <c r="BD200">
        <v>67866648777.704369</v>
      </c>
      <c r="BE200">
        <v>67386123645.473541</v>
      </c>
      <c r="BF200">
        <v>72974506422.637482</v>
      </c>
      <c r="BG200">
        <v>76843059119.70607</v>
      </c>
      <c r="BH200">
        <v>79115424975.592438</v>
      </c>
      <c r="BI200">
        <v>82492091751.553818</v>
      </c>
      <c r="BJ200">
        <v>86460026414.388306</v>
      </c>
      <c r="BK200">
        <v>89230422105.398056</v>
      </c>
      <c r="BL200">
        <v>88871845102.809189</v>
      </c>
      <c r="BM200">
        <v>88143286699.969177</v>
      </c>
      <c r="BN200">
        <v>91683770989.970093</v>
      </c>
      <c r="BO200" s="188">
        <v>91752936736.636826</v>
      </c>
    </row>
    <row r="201" spans="1:67">
      <c r="A201" t="s">
        <v>878</v>
      </c>
      <c r="B201" t="s">
        <v>879</v>
      </c>
      <c r="C201" t="s">
        <v>486</v>
      </c>
      <c r="D201" t="s">
        <v>487</v>
      </c>
      <c r="AM201">
        <v>9349729655.3204651</v>
      </c>
      <c r="AN201">
        <v>10015291266.322447</v>
      </c>
      <c r="AO201">
        <v>10136992155.5942</v>
      </c>
      <c r="AP201">
        <v>11623807619.747499</v>
      </c>
      <c r="AQ201">
        <v>13289987855.56892</v>
      </c>
      <c r="AR201">
        <v>14390455917.711815</v>
      </c>
      <c r="AS201">
        <v>13159182133.031307</v>
      </c>
      <c r="AT201">
        <v>11933978298.815439</v>
      </c>
      <c r="AU201">
        <v>10443520864.383358</v>
      </c>
      <c r="AV201">
        <v>11907270701.633226</v>
      </c>
      <c r="AW201">
        <v>14517968320.087173</v>
      </c>
      <c r="AX201">
        <v>16157141481.956085</v>
      </c>
      <c r="AY201">
        <v>15996126502.370226</v>
      </c>
      <c r="AZ201">
        <v>16602104806.712875</v>
      </c>
      <c r="BA201">
        <v>17835505431.04911</v>
      </c>
      <c r="BB201">
        <v>19368197963.47892</v>
      </c>
      <c r="BC201">
        <v>20487168883.608898</v>
      </c>
      <c r="BD201">
        <v>22454102732.970032</v>
      </c>
      <c r="BE201">
        <v>23823007352.755676</v>
      </c>
      <c r="BF201">
        <v>24942347997.293427</v>
      </c>
      <c r="BG201">
        <v>24902972347.865429</v>
      </c>
      <c r="BH201">
        <v>25829686575.952587</v>
      </c>
      <c r="BI201">
        <v>28119389833.300995</v>
      </c>
      <c r="BJ201">
        <v>28518507331.493729</v>
      </c>
      <c r="BK201">
        <v>28868451483.452431</v>
      </c>
      <c r="BL201">
        <v>29261838253.324665</v>
      </c>
      <c r="BM201">
        <v>25949847008.479351</v>
      </c>
      <c r="BN201">
        <v>27769445681.342289</v>
      </c>
      <c r="BO201" s="188">
        <v>28861611581.9086</v>
      </c>
    </row>
    <row r="202" spans="1:67">
      <c r="A202" t="s">
        <v>880</v>
      </c>
      <c r="B202" t="s">
        <v>881</v>
      </c>
      <c r="C202" t="s">
        <v>486</v>
      </c>
      <c r="D202" t="s">
        <v>487</v>
      </c>
      <c r="AI202">
        <v>9130461952.2397308</v>
      </c>
      <c r="AJ202">
        <v>9049104403.2497654</v>
      </c>
      <c r="AK202">
        <v>9560714897.9254913</v>
      </c>
      <c r="AL202">
        <v>9817955497.2600098</v>
      </c>
      <c r="AM202">
        <v>10291822632.184614</v>
      </c>
      <c r="AN202">
        <v>10683809030.473703</v>
      </c>
      <c r="AO202">
        <v>11081224810.814047</v>
      </c>
      <c r="AP202">
        <v>10912130801.991781</v>
      </c>
      <c r="AQ202">
        <v>11080001997.735754</v>
      </c>
      <c r="AR202">
        <v>11766635669.386719</v>
      </c>
      <c r="AS202">
        <v>11577998743.620552</v>
      </c>
      <c r="AT202">
        <v>11751193353.020197</v>
      </c>
      <c r="AU202">
        <v>12054296856.233454</v>
      </c>
      <c r="AV202">
        <v>12266011785.309782</v>
      </c>
      <c r="AW202">
        <v>12809876749.793936</v>
      </c>
      <c r="AX202">
        <v>13058816941.755436</v>
      </c>
      <c r="AY202">
        <v>13328801157.167973</v>
      </c>
      <c r="AZ202">
        <v>13324946634.69515</v>
      </c>
      <c r="BA202">
        <v>13567478504.971695</v>
      </c>
      <c r="BB202">
        <v>13449299705.84697</v>
      </c>
      <c r="BC202">
        <v>13918640074.917723</v>
      </c>
      <c r="BD202">
        <v>14405861485.439787</v>
      </c>
      <c r="BE202">
        <v>14567652678.588032</v>
      </c>
      <c r="BF202">
        <v>15094320986.335478</v>
      </c>
      <c r="BG202">
        <v>15729795456.320126</v>
      </c>
      <c r="BH202">
        <v>16342043022.243038</v>
      </c>
      <c r="BI202">
        <v>16883397761.220322</v>
      </c>
      <c r="BJ202">
        <v>17622014888.924767</v>
      </c>
      <c r="BK202">
        <v>18168619435.094681</v>
      </c>
      <c r="BL202">
        <v>18260438096.037636</v>
      </c>
      <c r="BM202">
        <v>16006748732.962898</v>
      </c>
      <c r="BN202">
        <v>15352948250.776628</v>
      </c>
      <c r="BO202" s="188">
        <v>16870088753.364305</v>
      </c>
    </row>
    <row r="203" spans="1:67">
      <c r="A203" t="s">
        <v>882</v>
      </c>
      <c r="B203" t="s">
        <v>883</v>
      </c>
      <c r="C203" t="s">
        <v>486</v>
      </c>
      <c r="D203" t="s">
        <v>487</v>
      </c>
      <c r="AI203">
        <v>30972415300584.586</v>
      </c>
      <c r="AJ203">
        <v>31299527468680.105</v>
      </c>
      <c r="AK203">
        <v>31820836202516.176</v>
      </c>
      <c r="AL203">
        <v>32073509929434.652</v>
      </c>
      <c r="AM203">
        <v>32936412821249.934</v>
      </c>
      <c r="AN203">
        <v>33774814662781.227</v>
      </c>
      <c r="AO203">
        <v>34699133490489.637</v>
      </c>
      <c r="AP203">
        <v>35833799782043.016</v>
      </c>
      <c r="AQ203">
        <v>36788572284008.289</v>
      </c>
      <c r="AR203">
        <v>38048622481054.836</v>
      </c>
      <c r="AS203">
        <v>39595429851213.82</v>
      </c>
      <c r="AT203">
        <v>40238923795719.367</v>
      </c>
      <c r="AU203">
        <v>40875594895017.719</v>
      </c>
      <c r="AV203">
        <v>41714468856991.93</v>
      </c>
      <c r="AW203">
        <v>43082502329181.43</v>
      </c>
      <c r="AX203">
        <v>44265304186980.813</v>
      </c>
      <c r="AY203">
        <v>45600334683420.422</v>
      </c>
      <c r="AZ203">
        <v>46817007083034.703</v>
      </c>
      <c r="BA203">
        <v>47012468542220.672</v>
      </c>
      <c r="BB203">
        <v>45311909423563.992</v>
      </c>
      <c r="BC203">
        <v>46654373955183.375</v>
      </c>
      <c r="BD203">
        <v>47442067752749.672</v>
      </c>
      <c r="BE203">
        <v>47951886931494.758</v>
      </c>
      <c r="BF203">
        <v>48577399677096.805</v>
      </c>
      <c r="BG203">
        <v>49431490078788</v>
      </c>
      <c r="BH203">
        <v>50418928615830.602</v>
      </c>
      <c r="BI203">
        <v>51307913134847.828</v>
      </c>
      <c r="BJ203">
        <v>52543644542662.016</v>
      </c>
      <c r="BK203">
        <v>53725667250836.828</v>
      </c>
      <c r="BL203">
        <v>54633652739069.469</v>
      </c>
      <c r="BM203">
        <v>52139037271319.938</v>
      </c>
      <c r="BN203">
        <v>54857914594340.953</v>
      </c>
      <c r="BO203" s="188">
        <v>56059048439076.461</v>
      </c>
    </row>
    <row r="204" spans="1:67">
      <c r="A204" t="s">
        <v>884</v>
      </c>
      <c r="B204" t="s">
        <v>885</v>
      </c>
      <c r="C204" t="s">
        <v>486</v>
      </c>
      <c r="D204" t="s">
        <v>487</v>
      </c>
    </row>
    <row r="205" spans="1:67">
      <c r="A205" t="s">
        <v>886</v>
      </c>
      <c r="B205" t="s">
        <v>887</v>
      </c>
      <c r="C205" t="s">
        <v>486</v>
      </c>
      <c r="D205" t="s">
        <v>487</v>
      </c>
      <c r="AS205">
        <v>51287677757.700729</v>
      </c>
      <c r="AT205">
        <v>53286967171.474869</v>
      </c>
      <c r="AU205">
        <v>57114117979.516632</v>
      </c>
      <c r="AV205">
        <v>59238739566.830132</v>
      </c>
      <c r="AW205">
        <v>70623782772.537506</v>
      </c>
      <c r="AX205">
        <v>75915452247.094467</v>
      </c>
      <c r="AY205">
        <v>95782712601.880798</v>
      </c>
      <c r="AZ205">
        <v>113009862579.53592</v>
      </c>
      <c r="BA205">
        <v>132971423351.57913</v>
      </c>
      <c r="BB205">
        <v>148870232868.59055</v>
      </c>
      <c r="BC205">
        <v>178037382447.32391</v>
      </c>
      <c r="BD205">
        <v>201850196426.81143</v>
      </c>
      <c r="BE205">
        <v>211397734624.14526</v>
      </c>
      <c r="BF205">
        <v>223143078678.38373</v>
      </c>
      <c r="BG205">
        <v>235046251898.73163</v>
      </c>
      <c r="BH205">
        <v>246218812863.69278</v>
      </c>
      <c r="BI205">
        <v>253763429745.08572</v>
      </c>
      <c r="BJ205">
        <v>249963056688.56042</v>
      </c>
      <c r="BK205">
        <v>253049780990.65363</v>
      </c>
      <c r="BL205">
        <v>255010431920.52789</v>
      </c>
      <c r="BM205">
        <v>245726905148.12863</v>
      </c>
      <c r="BN205">
        <v>249636415697.58408</v>
      </c>
      <c r="BO205" s="188">
        <v>261688085731.03793</v>
      </c>
    </row>
    <row r="206" spans="1:67">
      <c r="A206" t="s">
        <v>888</v>
      </c>
      <c r="B206" t="s">
        <v>889</v>
      </c>
      <c r="C206" t="s">
        <v>486</v>
      </c>
      <c r="D206" t="s">
        <v>487</v>
      </c>
      <c r="AI206">
        <v>310350115349.17859</v>
      </c>
      <c r="AJ206">
        <v>270258433448.12869</v>
      </c>
      <c r="AK206">
        <v>246564259176.17169</v>
      </c>
      <c r="AL206">
        <v>250333818626.84372</v>
      </c>
      <c r="AM206">
        <v>260176801008.1347</v>
      </c>
      <c r="AN206">
        <v>276394951776.93524</v>
      </c>
      <c r="AO206">
        <v>287195643079.09576</v>
      </c>
      <c r="AP206">
        <v>273269346165.47311</v>
      </c>
      <c r="AQ206">
        <v>267722489709.63733</v>
      </c>
      <c r="AR206">
        <v>266714084290.42145</v>
      </c>
      <c r="AS206">
        <v>273278620587.67322</v>
      </c>
      <c r="AT206">
        <v>287538671370.46954</v>
      </c>
      <c r="AU206">
        <v>303936977790.50696</v>
      </c>
      <c r="AV206">
        <v>311052590228.48602</v>
      </c>
      <c r="AW206">
        <v>343489505883.23273</v>
      </c>
      <c r="AX206">
        <v>359524104556.99066</v>
      </c>
      <c r="AY206">
        <v>388389615684.52203</v>
      </c>
      <c r="AZ206">
        <v>416484973779.3562</v>
      </c>
      <c r="BA206">
        <v>455249175985.07391</v>
      </c>
      <c r="BB206">
        <v>430131283406.55975</v>
      </c>
      <c r="BC206">
        <v>413350845725.87244</v>
      </c>
      <c r="BD206">
        <v>432022262895.14142</v>
      </c>
      <c r="BE206">
        <v>440338662347.97351</v>
      </c>
      <c r="BF206">
        <v>441527417679.97229</v>
      </c>
      <c r="BG206">
        <v>459721327435.96613</v>
      </c>
      <c r="BH206">
        <v>474250837782.68414</v>
      </c>
      <c r="BI206">
        <v>487802773897.50018</v>
      </c>
      <c r="BJ206">
        <v>527785559982.2926</v>
      </c>
      <c r="BK206">
        <v>559605851890.76257</v>
      </c>
      <c r="BL206">
        <v>581168382185.86707</v>
      </c>
      <c r="BM206">
        <v>559795852215.83484</v>
      </c>
      <c r="BN206">
        <v>592226250709.03564</v>
      </c>
      <c r="BO206" s="188">
        <v>620606859951.5376</v>
      </c>
    </row>
    <row r="207" spans="1:67">
      <c r="A207" t="s">
        <v>890</v>
      </c>
      <c r="B207" t="s">
        <v>891</v>
      </c>
      <c r="C207" t="s">
        <v>486</v>
      </c>
      <c r="D207" t="s">
        <v>487</v>
      </c>
      <c r="AI207">
        <v>3178789510692.9253</v>
      </c>
      <c r="AJ207">
        <v>3018357928804.3833</v>
      </c>
      <c r="AK207">
        <v>2579758111413.2788</v>
      </c>
      <c r="AL207">
        <v>2356130738812.4902</v>
      </c>
      <c r="AM207">
        <v>2059970854378.7529</v>
      </c>
      <c r="AN207">
        <v>1974615376879.4778</v>
      </c>
      <c r="AO207">
        <v>1900467198324.3586</v>
      </c>
      <c r="AP207">
        <v>1927072138995.1331</v>
      </c>
      <c r="AQ207">
        <v>1824938055136.3069</v>
      </c>
      <c r="AR207">
        <v>1941732533805.5452</v>
      </c>
      <c r="AS207">
        <v>2135907084569.9939</v>
      </c>
      <c r="AT207">
        <v>2244839440007.3428</v>
      </c>
      <c r="AU207">
        <v>2350346712051.7852</v>
      </c>
      <c r="AV207">
        <v>2521920901962.9976</v>
      </c>
      <c r="AW207">
        <v>2703497892225.5742</v>
      </c>
      <c r="AX207">
        <v>2876520823211.4673</v>
      </c>
      <c r="AY207">
        <v>3112397494085.7061</v>
      </c>
      <c r="AZ207">
        <v>3376950589149.2085</v>
      </c>
      <c r="BA207">
        <v>3552550981878.8125</v>
      </c>
      <c r="BB207">
        <v>3275452221520.728</v>
      </c>
      <c r="BC207">
        <v>3422847571490.165</v>
      </c>
      <c r="BD207">
        <v>3570031016049.4868</v>
      </c>
      <c r="BE207">
        <v>3713692139974.4307</v>
      </c>
      <c r="BF207">
        <v>3778883114348.6929</v>
      </c>
      <c r="BG207">
        <v>3806705792055.251</v>
      </c>
      <c r="BH207">
        <v>3731610175003.8306</v>
      </c>
      <c r="BI207">
        <v>3738837933428.4619</v>
      </c>
      <c r="BJ207">
        <v>3807101264909.2793</v>
      </c>
      <c r="BK207">
        <v>3913975940441.3105</v>
      </c>
      <c r="BL207">
        <v>4000008095032.4644</v>
      </c>
      <c r="BM207">
        <v>3893861700181.4136</v>
      </c>
      <c r="BN207">
        <v>4112474402861.0161</v>
      </c>
      <c r="BO207" s="188">
        <v>4027358046170.9229</v>
      </c>
    </row>
    <row r="208" spans="1:67">
      <c r="A208" t="s">
        <v>892</v>
      </c>
      <c r="B208" t="s">
        <v>893</v>
      </c>
      <c r="C208" t="s">
        <v>486</v>
      </c>
      <c r="D208" t="s">
        <v>487</v>
      </c>
      <c r="AI208">
        <v>6829622948.1321774</v>
      </c>
      <c r="AJ208">
        <v>6657900298.3659811</v>
      </c>
      <c r="AK208">
        <v>7048900489.4817514</v>
      </c>
      <c r="AL208">
        <v>6477326868.0775709</v>
      </c>
      <c r="AM208">
        <v>3222595316.826993</v>
      </c>
      <c r="AN208">
        <v>4357724814.687892</v>
      </c>
      <c r="AO208">
        <v>4913147161.7525749</v>
      </c>
      <c r="AP208">
        <v>5593605882.9486465</v>
      </c>
      <c r="AQ208">
        <v>6089124940.7319832</v>
      </c>
      <c r="AR208">
        <v>6354116858.1613054</v>
      </c>
      <c r="AS208">
        <v>6886014899.5619946</v>
      </c>
      <c r="AT208">
        <v>7470261840.9166517</v>
      </c>
      <c r="AU208">
        <v>8455743723.3286057</v>
      </c>
      <c r="AV208">
        <v>8641972935.6912918</v>
      </c>
      <c r="AW208">
        <v>9285599892.4696465</v>
      </c>
      <c r="AX208">
        <v>10156394008.636971</v>
      </c>
      <c r="AY208">
        <v>11093531589.669577</v>
      </c>
      <c r="AZ208">
        <v>11940331947.403238</v>
      </c>
      <c r="BA208">
        <v>13273023598.857716</v>
      </c>
      <c r="BB208">
        <v>14102356894.144928</v>
      </c>
      <c r="BC208">
        <v>15136715178.975714</v>
      </c>
      <c r="BD208">
        <v>16341351947.89884</v>
      </c>
      <c r="BE208">
        <v>17753492743.5784</v>
      </c>
      <c r="BF208">
        <v>18591431927.353935</v>
      </c>
      <c r="BG208">
        <v>19737995865.487938</v>
      </c>
      <c r="BH208">
        <v>21486160005.466625</v>
      </c>
      <c r="BI208">
        <v>22769046384.479584</v>
      </c>
      <c r="BJ208">
        <v>23665375199.085091</v>
      </c>
      <c r="BK208">
        <v>25686359537.349152</v>
      </c>
      <c r="BL208">
        <v>28117323112.943668</v>
      </c>
      <c r="BM208">
        <v>27168648474.112743</v>
      </c>
      <c r="BN208">
        <v>30123710043.500229</v>
      </c>
      <c r="BO208" s="188">
        <v>32581047991.427608</v>
      </c>
    </row>
    <row r="209" spans="1:67">
      <c r="A209" t="s">
        <v>894</v>
      </c>
      <c r="B209" t="s">
        <v>895</v>
      </c>
      <c r="C209" t="s">
        <v>486</v>
      </c>
      <c r="D209" t="s">
        <v>487</v>
      </c>
      <c r="AI209">
        <v>2240676600023.9683</v>
      </c>
      <c r="AJ209">
        <v>2287243560440.6694</v>
      </c>
      <c r="AK209">
        <v>2419623772646.8804</v>
      </c>
      <c r="AL209">
        <v>2523728808042.1118</v>
      </c>
      <c r="AM209">
        <v>2673550520541.0444</v>
      </c>
      <c r="AN209">
        <v>2856139753509.5186</v>
      </c>
      <c r="AO209">
        <v>3048342656285.3496</v>
      </c>
      <c r="AP209">
        <v>3161466532066.0557</v>
      </c>
      <c r="AQ209">
        <v>3334413322333.5947</v>
      </c>
      <c r="AR209">
        <v>3586187460926.8374</v>
      </c>
      <c r="AS209">
        <v>3733572197924.6392</v>
      </c>
      <c r="AT209">
        <v>3900112688521.8525</v>
      </c>
      <c r="AU209">
        <v>4040106858947.1313</v>
      </c>
      <c r="AV209">
        <v>4332377912147.395</v>
      </c>
      <c r="AW209">
        <v>4657545768695.915</v>
      </c>
      <c r="AX209">
        <v>5008118299570.5107</v>
      </c>
      <c r="AY209">
        <v>5388630222080.292</v>
      </c>
      <c r="AZ209">
        <v>5777670917104.1484</v>
      </c>
      <c r="BA209">
        <v>5965540077955.834</v>
      </c>
      <c r="BB209">
        <v>6378758613830.1816</v>
      </c>
      <c r="BC209">
        <v>6852941153500.5293</v>
      </c>
      <c r="BD209">
        <v>7201450008907.2451</v>
      </c>
      <c r="BE209">
        <v>7594280318396.1865</v>
      </c>
      <c r="BF209">
        <v>8052184785929.9678</v>
      </c>
      <c r="BG209">
        <v>8609851156003.0703</v>
      </c>
      <c r="BH209">
        <v>9241068906590.334</v>
      </c>
      <c r="BI209">
        <v>9950188506338.8477</v>
      </c>
      <c r="BJ209">
        <v>10598791966661.766</v>
      </c>
      <c r="BK209">
        <v>11271403637715.813</v>
      </c>
      <c r="BL209">
        <v>11717235560985.521</v>
      </c>
      <c r="BM209">
        <v>11177431230220.754</v>
      </c>
      <c r="BN209">
        <v>12098783826244.447</v>
      </c>
      <c r="BO209" s="188">
        <v>12892232946614.568</v>
      </c>
    </row>
    <row r="210" spans="1:67">
      <c r="A210" t="s">
        <v>896</v>
      </c>
      <c r="B210" t="s">
        <v>897</v>
      </c>
      <c r="C210" t="s">
        <v>486</v>
      </c>
      <c r="D210" t="s">
        <v>487</v>
      </c>
      <c r="AI210">
        <v>674821653782.86218</v>
      </c>
      <c r="AJ210">
        <v>776098079497.12415</v>
      </c>
      <c r="AK210">
        <v>807045302128.70508</v>
      </c>
      <c r="AL210">
        <v>796039290968.39392</v>
      </c>
      <c r="AM210">
        <v>800486923206.69812</v>
      </c>
      <c r="AN210">
        <v>802184686688.24097</v>
      </c>
      <c r="AO210">
        <v>823341699866.7478</v>
      </c>
      <c r="AP210">
        <v>832429597778.79175</v>
      </c>
      <c r="AQ210">
        <v>856514803773.60461</v>
      </c>
      <c r="AR210">
        <v>824281708772.41101</v>
      </c>
      <c r="AS210">
        <v>870650985105.64209</v>
      </c>
      <c r="AT210">
        <v>860109631688.07898</v>
      </c>
      <c r="AU210">
        <v>835861641116.95862</v>
      </c>
      <c r="AV210">
        <v>929829719908.44006</v>
      </c>
      <c r="AW210">
        <v>1003829675758.2825</v>
      </c>
      <c r="AX210">
        <v>1059781637362.1534</v>
      </c>
      <c r="AY210">
        <v>1089332612109.3011</v>
      </c>
      <c r="AZ210">
        <v>1109454004364.2603</v>
      </c>
      <c r="BA210">
        <v>1178792358426.7307</v>
      </c>
      <c r="BB210">
        <v>1154518086345.293</v>
      </c>
      <c r="BC210">
        <v>1212699943202.2305</v>
      </c>
      <c r="BD210">
        <v>1346021284223.8657</v>
      </c>
      <c r="BE210">
        <v>1419075166224.4893</v>
      </c>
      <c r="BF210">
        <v>1459523675762.8557</v>
      </c>
      <c r="BG210">
        <v>1518308198824.0093</v>
      </c>
      <c r="BH210">
        <v>1589519056009.3262</v>
      </c>
      <c r="BI210">
        <v>1627080576754.6414</v>
      </c>
      <c r="BJ210">
        <v>1625946533880.2778</v>
      </c>
      <c r="BK210">
        <v>1670859140188.3955</v>
      </c>
      <c r="BL210">
        <v>1684765372101.2385</v>
      </c>
      <c r="BM210">
        <v>1611623175833.7385</v>
      </c>
      <c r="BN210">
        <v>1674826590631.5061</v>
      </c>
      <c r="BO210" s="188">
        <v>1821276000724.7544</v>
      </c>
    </row>
    <row r="211" spans="1:67">
      <c r="A211" t="s">
        <v>898</v>
      </c>
      <c r="B211" t="s">
        <v>899</v>
      </c>
      <c r="C211" t="s">
        <v>486</v>
      </c>
      <c r="D211" t="s">
        <v>487</v>
      </c>
      <c r="AI211">
        <v>71233428075.557953</v>
      </c>
      <c r="AJ211">
        <v>76583707000.155823</v>
      </c>
      <c r="AK211">
        <v>81621277090.117569</v>
      </c>
      <c r="AL211">
        <v>85350348525.670334</v>
      </c>
      <c r="AM211">
        <v>86209168695.705994</v>
      </c>
      <c r="AN211">
        <v>91379212079.40831</v>
      </c>
      <c r="AO211">
        <v>96788060736.332962</v>
      </c>
      <c r="AP211">
        <v>114512526495.01361</v>
      </c>
      <c r="AQ211">
        <v>119446303571.84596</v>
      </c>
      <c r="AR211">
        <v>123154031043.89227</v>
      </c>
      <c r="AS211">
        <v>130969222600.9239</v>
      </c>
      <c r="AT211">
        <v>139482694258.52014</v>
      </c>
      <c r="AU211">
        <v>147860682587.24091</v>
      </c>
      <c r="AV211">
        <v>157159357261.38538</v>
      </c>
      <c r="AW211">
        <v>165238744613.21198</v>
      </c>
      <c r="AX211">
        <v>174564018799.66602</v>
      </c>
      <c r="AY211">
        <v>185965513629.19727</v>
      </c>
      <c r="AZ211">
        <v>196631145821.41684</v>
      </c>
      <c r="BA211">
        <v>204195044063.22119</v>
      </c>
      <c r="BB211">
        <v>198543528913.54538</v>
      </c>
      <c r="BC211">
        <v>206203818639.66675</v>
      </c>
      <c r="BD211">
        <v>199577392751.65106</v>
      </c>
      <c r="BE211">
        <v>165639878987.62036</v>
      </c>
      <c r="BF211">
        <v>168878378191.79465</v>
      </c>
      <c r="BG211">
        <v>176750440364.19284</v>
      </c>
      <c r="BH211">
        <v>180126686429.93524</v>
      </c>
      <c r="BI211">
        <v>186372835393.38837</v>
      </c>
      <c r="BJ211">
        <v>187694696441.51337</v>
      </c>
      <c r="BK211">
        <v>182662731984.25867</v>
      </c>
      <c r="BL211">
        <v>178683879115.43634</v>
      </c>
      <c r="BM211">
        <v>172198010198.75696</v>
      </c>
      <c r="BN211">
        <v>168980455107.35568</v>
      </c>
      <c r="BO211" s="188">
        <v>167369383568.23056</v>
      </c>
    </row>
    <row r="212" spans="1:67">
      <c r="A212" t="s">
        <v>900</v>
      </c>
      <c r="B212" t="s">
        <v>901</v>
      </c>
      <c r="C212" t="s">
        <v>486</v>
      </c>
      <c r="D212" t="s">
        <v>487</v>
      </c>
      <c r="AI212">
        <v>18610932095.815979</v>
      </c>
      <c r="AJ212">
        <v>19105975939.757595</v>
      </c>
      <c r="AK212">
        <v>19358219346.081718</v>
      </c>
      <c r="AL212">
        <v>19621532363.456528</v>
      </c>
      <c r="AM212">
        <v>19612208025.135445</v>
      </c>
      <c r="AN212">
        <v>20684718263.555954</v>
      </c>
      <c r="AO212">
        <v>21102544858.130764</v>
      </c>
      <c r="AP212">
        <v>21745244182.710575</v>
      </c>
      <c r="AQ212">
        <v>23027882913.409389</v>
      </c>
      <c r="AR212">
        <v>24474795780.379341</v>
      </c>
      <c r="AS212">
        <v>25426182723.94347</v>
      </c>
      <c r="AT212">
        <v>26522267694.693127</v>
      </c>
      <c r="AU212">
        <v>26540487584.143265</v>
      </c>
      <c r="AV212">
        <v>28025149440.047661</v>
      </c>
      <c r="AW212">
        <v>29326439504.785809</v>
      </c>
      <c r="AX212">
        <v>30590478998.741398</v>
      </c>
      <c r="AY212">
        <v>31303473006.897278</v>
      </c>
      <c r="AZ212">
        <v>32188459502.959595</v>
      </c>
      <c r="BA212">
        <v>33380452577.423634</v>
      </c>
      <c r="BB212">
        <v>34299117509.770168</v>
      </c>
      <c r="BC212">
        <v>35462162599.406998</v>
      </c>
      <c r="BD212">
        <v>35935260147.283394</v>
      </c>
      <c r="BE212">
        <v>37373747012.185135</v>
      </c>
      <c r="BF212">
        <v>38275345782.217422</v>
      </c>
      <c r="BG212">
        <v>40657631795.07003</v>
      </c>
      <c r="BH212">
        <v>43246320958.790756</v>
      </c>
      <c r="BI212">
        <v>45995086773.720329</v>
      </c>
      <c r="BJ212">
        <v>49402166472.860962</v>
      </c>
      <c r="BK212">
        <v>52469666065.124924</v>
      </c>
      <c r="BL212">
        <v>54890421321.368408</v>
      </c>
      <c r="BM212">
        <v>55627091269.62941</v>
      </c>
      <c r="BN212">
        <v>59264921541.87355</v>
      </c>
      <c r="BO212" s="188">
        <v>61726701334.147804</v>
      </c>
    </row>
    <row r="213" spans="1:67">
      <c r="A213" t="s">
        <v>902</v>
      </c>
      <c r="B213" t="s">
        <v>903</v>
      </c>
      <c r="C213" t="s">
        <v>486</v>
      </c>
      <c r="D213" t="s">
        <v>487</v>
      </c>
      <c r="AI213">
        <v>113738176084.0218</v>
      </c>
      <c r="AJ213">
        <v>121345437454.793</v>
      </c>
      <c r="AK213">
        <v>129402538569.24519</v>
      </c>
      <c r="AL213">
        <v>144231617712.98624</v>
      </c>
      <c r="AM213">
        <v>160235109901.23886</v>
      </c>
      <c r="AN213">
        <v>171732621773.18481</v>
      </c>
      <c r="AO213">
        <v>184563437180.01932</v>
      </c>
      <c r="AP213">
        <v>199912118558.81097</v>
      </c>
      <c r="AQ213">
        <v>195532014042.14957</v>
      </c>
      <c r="AR213">
        <v>206713261509.241</v>
      </c>
      <c r="AS213">
        <v>225396659971.31097</v>
      </c>
      <c r="AT213">
        <v>222982971097.66998</v>
      </c>
      <c r="AU213">
        <v>231731397502.85181</v>
      </c>
      <c r="AV213">
        <v>242271133364.52267</v>
      </c>
      <c r="AW213">
        <v>266352842070.13364</v>
      </c>
      <c r="AX213">
        <v>285973251118.62622</v>
      </c>
      <c r="AY213">
        <v>311730192894.58447</v>
      </c>
      <c r="AZ213">
        <v>339852993073.51227</v>
      </c>
      <c r="BA213">
        <v>346186097369.46924</v>
      </c>
      <c r="BB213">
        <v>346629054191.76086</v>
      </c>
      <c r="BC213">
        <v>396958725285.66241</v>
      </c>
      <c r="BD213">
        <v>421629448738.63989</v>
      </c>
      <c r="BE213">
        <v>440330812792.13281</v>
      </c>
      <c r="BF213">
        <v>461544326493.03925</v>
      </c>
      <c r="BG213">
        <v>479708589358.79681</v>
      </c>
      <c r="BH213">
        <v>493988551367.29248</v>
      </c>
      <c r="BI213">
        <v>511780319860.23535</v>
      </c>
      <c r="BJ213">
        <v>535039344470.297</v>
      </c>
      <c r="BK213">
        <v>554169316204.88013</v>
      </c>
      <c r="BL213">
        <v>561546757997.05908</v>
      </c>
      <c r="BM213">
        <v>539640519089.20831</v>
      </c>
      <c r="BN213">
        <v>587573300304.04614</v>
      </c>
      <c r="BO213" s="188">
        <v>609001934463.28955</v>
      </c>
    </row>
    <row r="214" spans="1:67">
      <c r="A214" t="s">
        <v>904</v>
      </c>
      <c r="B214" t="s">
        <v>905</v>
      </c>
      <c r="C214" t="s">
        <v>486</v>
      </c>
      <c r="D214" t="s">
        <v>487</v>
      </c>
      <c r="AI214">
        <v>710616229.6730969</v>
      </c>
      <c r="AJ214">
        <v>753253214.49178815</v>
      </c>
      <c r="AK214">
        <v>848916359.53705621</v>
      </c>
      <c r="AL214">
        <v>882873009.96985352</v>
      </c>
      <c r="AM214">
        <v>954385734.60338974</v>
      </c>
      <c r="AN214">
        <v>1050670040.6973062</v>
      </c>
      <c r="AO214">
        <v>1067584857.8973943</v>
      </c>
      <c r="AP214">
        <v>1057826308.2471238</v>
      </c>
      <c r="AQ214">
        <v>1071488264.5952194</v>
      </c>
      <c r="AR214">
        <v>1066283716.847168</v>
      </c>
      <c r="AS214">
        <v>914050394.95208144</v>
      </c>
      <c r="AT214">
        <v>841323005.46876669</v>
      </c>
      <c r="AU214">
        <v>817766105.31101906</v>
      </c>
      <c r="AV214">
        <v>871112806.10602856</v>
      </c>
      <c r="AW214">
        <v>938043016.04142177</v>
      </c>
      <c r="AX214">
        <v>1007062738.4305501</v>
      </c>
      <c r="AY214">
        <v>1048737817.5274899</v>
      </c>
      <c r="AZ214">
        <v>1086908438.7295823</v>
      </c>
      <c r="BA214">
        <v>1154579027.0934641</v>
      </c>
      <c r="BB214">
        <v>1187649263.5659668</v>
      </c>
      <c r="BC214">
        <v>1302950864.1626322</v>
      </c>
      <c r="BD214">
        <v>1399759456.9010427</v>
      </c>
      <c r="BE214">
        <v>1434359808.7924221</v>
      </c>
      <c r="BF214">
        <v>1509401275.7332597</v>
      </c>
      <c r="BG214">
        <v>1527351339.4106231</v>
      </c>
      <c r="BH214">
        <v>1552951980.1823711</v>
      </c>
      <c r="BI214">
        <v>1639214293.5283067</v>
      </c>
      <c r="BJ214">
        <v>1689625838.0814152</v>
      </c>
      <c r="BK214">
        <v>1736022886.266717</v>
      </c>
      <c r="BL214">
        <v>1766394854.6887267</v>
      </c>
      <c r="BM214">
        <v>1706670994.7906253</v>
      </c>
      <c r="BN214">
        <v>1696947358.0964715</v>
      </c>
      <c r="BO214" s="188">
        <v>1628009899.9771755</v>
      </c>
    </row>
    <row r="215" spans="1:67">
      <c r="A215" t="s">
        <v>906</v>
      </c>
      <c r="B215" t="s">
        <v>907</v>
      </c>
      <c r="C215" t="s">
        <v>486</v>
      </c>
      <c r="D215" t="s">
        <v>487</v>
      </c>
      <c r="AI215">
        <v>6198794236.6719084</v>
      </c>
      <c r="AJ215">
        <v>6344587484.9447613</v>
      </c>
      <c r="AK215">
        <v>5138296782.4555349</v>
      </c>
      <c r="AL215">
        <v>5208925245.5476332</v>
      </c>
      <c r="AM215">
        <v>5107487409.9534664</v>
      </c>
      <c r="AN215">
        <v>4698901067.0467596</v>
      </c>
      <c r="AO215">
        <v>4781311338.6580858</v>
      </c>
      <c r="AP215">
        <v>4500309808.5189428</v>
      </c>
      <c r="AQ215">
        <v>4580640914.4176626</v>
      </c>
      <c r="AR215">
        <v>4489976890.0546846</v>
      </c>
      <c r="AS215">
        <v>4788682914.3192482</v>
      </c>
      <c r="AT215">
        <v>4484819175.5873222</v>
      </c>
      <c r="AU215">
        <v>5674378663.2178507</v>
      </c>
      <c r="AV215">
        <v>6212515824.7382584</v>
      </c>
      <c r="AW215">
        <v>6615015158.7724705</v>
      </c>
      <c r="AX215">
        <v>6902999840.3944511</v>
      </c>
      <c r="AY215">
        <v>7198662947.5577145</v>
      </c>
      <c r="AZ215">
        <v>7772869000.7717113</v>
      </c>
      <c r="BA215">
        <v>8195393846.1232653</v>
      </c>
      <c r="BB215">
        <v>8458419402.8725662</v>
      </c>
      <c r="BC215">
        <v>9019846352.8272209</v>
      </c>
      <c r="BD215">
        <v>9561923879.2480431</v>
      </c>
      <c r="BE215">
        <v>11015503477.471567</v>
      </c>
      <c r="BF215">
        <v>13337463015.684353</v>
      </c>
      <c r="BG215">
        <v>13945551769.400087</v>
      </c>
      <c r="BH215">
        <v>11087958421.730158</v>
      </c>
      <c r="BI215">
        <v>11791680967.093174</v>
      </c>
      <c r="BJ215">
        <v>12234317466.22097</v>
      </c>
      <c r="BK215">
        <v>12659203398.059721</v>
      </c>
      <c r="BL215">
        <v>13324285829.849779</v>
      </c>
      <c r="BM215">
        <v>13061999009.945007</v>
      </c>
      <c r="BN215">
        <v>13598154894.910654</v>
      </c>
      <c r="BO215" s="188">
        <v>14074191174.694824</v>
      </c>
    </row>
    <row r="216" spans="1:67">
      <c r="A216" t="s">
        <v>908</v>
      </c>
      <c r="B216" t="s">
        <v>909</v>
      </c>
      <c r="C216" t="s">
        <v>486</v>
      </c>
      <c r="D216" t="s">
        <v>487</v>
      </c>
      <c r="AI216">
        <v>27866240162.462029</v>
      </c>
      <c r="AJ216">
        <v>28282586192.374172</v>
      </c>
      <c r="AK216">
        <v>30268579019.548679</v>
      </c>
      <c r="AL216">
        <v>32029700461.583473</v>
      </c>
      <c r="AM216">
        <v>33532553778.111267</v>
      </c>
      <c r="AN216">
        <v>35120012170.236183</v>
      </c>
      <c r="AO216">
        <v>35404997688.037003</v>
      </c>
      <c r="AP216">
        <v>36515995917.588669</v>
      </c>
      <c r="AQ216">
        <v>37484501388.239906</v>
      </c>
      <c r="AR216">
        <v>38294928954.486015</v>
      </c>
      <c r="AS216">
        <v>38726860129.902885</v>
      </c>
      <c r="AT216">
        <v>39067506881.649185</v>
      </c>
      <c r="AU216">
        <v>39682006904.407219</v>
      </c>
      <c r="AV216">
        <v>40303186275.238708</v>
      </c>
      <c r="AW216">
        <v>40661644621.847557</v>
      </c>
      <c r="AX216">
        <v>41761730577.806671</v>
      </c>
      <c r="AY216">
        <v>43577676776.763206</v>
      </c>
      <c r="AZ216">
        <v>44387558417.62677</v>
      </c>
      <c r="BA216">
        <v>45333259035.440681</v>
      </c>
      <c r="BB216">
        <v>44387558417.62677</v>
      </c>
      <c r="BC216">
        <v>45323198378.727509</v>
      </c>
      <c r="BD216">
        <v>47048598667.26545</v>
      </c>
      <c r="BE216">
        <v>48376603572.245262</v>
      </c>
      <c r="BF216">
        <v>49458122721.71965</v>
      </c>
      <c r="BG216">
        <v>50303216772.401802</v>
      </c>
      <c r="BH216">
        <v>51510494019.46843</v>
      </c>
      <c r="BI216">
        <v>52818377611.021896</v>
      </c>
      <c r="BJ216">
        <v>54005533544.66217</v>
      </c>
      <c r="BK216">
        <v>55308386919.181511</v>
      </c>
      <c r="BL216">
        <v>56666564888.503426</v>
      </c>
      <c r="BM216">
        <v>52202155429.685585</v>
      </c>
      <c r="BN216">
        <v>58037322964.631813</v>
      </c>
      <c r="BO216" s="188">
        <v>59546432603.85508</v>
      </c>
    </row>
    <row r="217" spans="1:67">
      <c r="A217" t="s">
        <v>910</v>
      </c>
      <c r="B217" t="s">
        <v>911</v>
      </c>
      <c r="C217" t="s">
        <v>486</v>
      </c>
      <c r="D217" t="s">
        <v>487</v>
      </c>
      <c r="AP217">
        <v>1699766726.3275084</v>
      </c>
      <c r="AQ217">
        <v>1826664831.6329019</v>
      </c>
      <c r="AR217">
        <v>1991966310.9122963</v>
      </c>
      <c r="AS217">
        <v>2035378820.6220362</v>
      </c>
      <c r="AT217">
        <v>2148919230.6321254</v>
      </c>
      <c r="AU217">
        <v>2155598078.2797775</v>
      </c>
      <c r="AV217">
        <v>2239083673.8754311</v>
      </c>
      <c r="AW217">
        <v>2340936100.5021286</v>
      </c>
      <c r="AX217">
        <v>2397706305.5071731</v>
      </c>
      <c r="AY217">
        <v>2489540460.6623921</v>
      </c>
      <c r="AZ217">
        <v>2666529923.3251777</v>
      </c>
      <c r="BA217">
        <v>2653172228.0298734</v>
      </c>
      <c r="BB217">
        <v>2379339474.4761291</v>
      </c>
      <c r="BC217">
        <v>2249101945.3469095</v>
      </c>
      <c r="BD217">
        <v>2062094211.2126451</v>
      </c>
      <c r="BE217">
        <v>1916829274.8762081</v>
      </c>
      <c r="BF217">
        <v>1901801867.6689901</v>
      </c>
      <c r="BG217">
        <v>1888444172.3736858</v>
      </c>
      <c r="BH217">
        <v>1931717975.6055357</v>
      </c>
      <c r="BI217">
        <v>1977005285.035012</v>
      </c>
      <c r="BJ217">
        <v>1982111206.9537377</v>
      </c>
      <c r="BK217">
        <v>2011722071.686537</v>
      </c>
      <c r="BL217">
        <v>2053277915.7268727</v>
      </c>
      <c r="BM217">
        <v>1916777831.0476434</v>
      </c>
      <c r="BN217">
        <v>2078996115.9888651</v>
      </c>
    </row>
    <row r="218" spans="1:67">
      <c r="A218" t="s">
        <v>912</v>
      </c>
      <c r="B218" t="s">
        <v>913</v>
      </c>
      <c r="C218" t="s">
        <v>486</v>
      </c>
      <c r="D218" t="s">
        <v>487</v>
      </c>
      <c r="BF218">
        <v>11428001379.273661</v>
      </c>
      <c r="BG218">
        <v>12318722691.669395</v>
      </c>
      <c r="BH218">
        <v>14172683247.151388</v>
      </c>
      <c r="BI218">
        <v>15381938113.397306</v>
      </c>
      <c r="BJ218">
        <v>15743349479.849258</v>
      </c>
      <c r="BK218">
        <v>16928976288.545937</v>
      </c>
      <c r="BL218">
        <v>18191289052.568089</v>
      </c>
      <c r="BM218">
        <v>18644138335.36655</v>
      </c>
      <c r="BN218">
        <v>19399060096.118332</v>
      </c>
      <c r="BO218" s="188">
        <v>20329978116.121296</v>
      </c>
    </row>
    <row r="219" spans="1:67">
      <c r="A219" t="s">
        <v>914</v>
      </c>
      <c r="B219" t="s">
        <v>915</v>
      </c>
      <c r="C219" t="s">
        <v>486</v>
      </c>
      <c r="D219" t="s">
        <v>487</v>
      </c>
      <c r="AN219">
        <v>59113312176.151215</v>
      </c>
      <c r="AO219">
        <v>62816218903.838432</v>
      </c>
      <c r="AP219">
        <v>67343622400.998238</v>
      </c>
      <c r="AQ219">
        <v>69593490233.80043</v>
      </c>
      <c r="AR219">
        <v>63034887246.852516</v>
      </c>
      <c r="AS219">
        <v>66900068714.027107</v>
      </c>
      <c r="AT219">
        <v>71501973758.539673</v>
      </c>
      <c r="AU219">
        <v>76064089484.697464</v>
      </c>
      <c r="AV219">
        <v>79401596913.040192</v>
      </c>
      <c r="AW219">
        <v>86570129446.557709</v>
      </c>
      <c r="AX219">
        <v>91357758108.444702</v>
      </c>
      <c r="AY219">
        <v>96024120670.35643</v>
      </c>
      <c r="AZ219">
        <v>102207618459.08351</v>
      </c>
      <c r="BA219">
        <v>107988048634.14128</v>
      </c>
      <c r="BB219">
        <v>105038082967.50439</v>
      </c>
      <c r="BC219">
        <v>105805958151.13301</v>
      </c>
      <c r="BD219">
        <v>107960460212.15706</v>
      </c>
      <c r="BE219">
        <v>107224663933.68242</v>
      </c>
      <c r="BF219">
        <v>110326283950.06232</v>
      </c>
      <c r="BG219">
        <v>108572636281.11107</v>
      </c>
      <c r="BH219">
        <v>110533522438.02594</v>
      </c>
      <c r="BI219">
        <v>114223779989.50534</v>
      </c>
      <c r="BJ219">
        <v>116623808759.79272</v>
      </c>
      <c r="BK219">
        <v>121866190419.78502</v>
      </c>
      <c r="BL219">
        <v>127145110728.91222</v>
      </c>
      <c r="BM219">
        <v>125996712565.02963</v>
      </c>
      <c r="BN219">
        <v>135509354161.13579</v>
      </c>
      <c r="BO219" s="188">
        <v>138560277570.32071</v>
      </c>
    </row>
    <row r="220" spans="1:67">
      <c r="A220" t="s">
        <v>916</v>
      </c>
      <c r="B220" t="s">
        <v>917</v>
      </c>
      <c r="C220" t="s">
        <v>486</v>
      </c>
      <c r="D220" t="s">
        <v>487</v>
      </c>
      <c r="AI220">
        <v>1514220210806.3943</v>
      </c>
      <c r="AJ220">
        <v>1521704566081.678</v>
      </c>
      <c r="AK220">
        <v>1518016384212.8491</v>
      </c>
      <c r="AL220">
        <v>1507313465468.3965</v>
      </c>
      <c r="AM220">
        <v>1523092474817.7617</v>
      </c>
      <c r="AN220">
        <v>1577604942598.2117</v>
      </c>
      <c r="AO220">
        <v>1659105532419.8962</v>
      </c>
      <c r="AP220">
        <v>1730746400172.561</v>
      </c>
      <c r="AQ220">
        <v>1774292910311.8779</v>
      </c>
      <c r="AR220">
        <v>1815775613096.7822</v>
      </c>
      <c r="AS220">
        <v>1879215800347.5803</v>
      </c>
      <c r="AT220">
        <v>1959680992404.8865</v>
      </c>
      <c r="AU220">
        <v>2078320325704.7886</v>
      </c>
      <c r="AV220">
        <v>2165216066070.4895</v>
      </c>
      <c r="AW220">
        <v>2308083606111.5898</v>
      </c>
      <c r="AX220">
        <v>2448948177721.5039</v>
      </c>
      <c r="AY220">
        <v>2600056518954.293</v>
      </c>
      <c r="AZ220">
        <v>2761875900629.0635</v>
      </c>
      <c r="BA220">
        <v>2907234956490.5454</v>
      </c>
      <c r="BB220">
        <v>2990621759531.9751</v>
      </c>
      <c r="BC220">
        <v>3166560472602.4492</v>
      </c>
      <c r="BD220">
        <v>3306148586870.2554</v>
      </c>
      <c r="BE220">
        <v>3424081975517.6772</v>
      </c>
      <c r="BF220">
        <v>3595623959371.8481</v>
      </c>
      <c r="BG220">
        <v>3772158038125.4912</v>
      </c>
      <c r="BH220">
        <v>3886494025091.0664</v>
      </c>
      <c r="BI220">
        <v>3950600682001.1797</v>
      </c>
      <c r="BJ220">
        <v>4057165268968.6436</v>
      </c>
      <c r="BK220">
        <v>4173073439426.313</v>
      </c>
      <c r="BL220">
        <v>4289020898349.9966</v>
      </c>
      <c r="BM220">
        <v>4207923181582.6919</v>
      </c>
      <c r="BN220">
        <v>4389037268056.897</v>
      </c>
      <c r="BO220" s="188">
        <v>4549573894451.8203</v>
      </c>
    </row>
    <row r="221" spans="1:67">
      <c r="A221" t="s">
        <v>918</v>
      </c>
      <c r="B221" t="s">
        <v>919</v>
      </c>
      <c r="C221" t="s">
        <v>486</v>
      </c>
      <c r="D221" t="s">
        <v>487</v>
      </c>
    </row>
    <row r="222" spans="1:67">
      <c r="A222" t="s">
        <v>920</v>
      </c>
      <c r="B222" t="s">
        <v>921</v>
      </c>
      <c r="C222" t="s">
        <v>486</v>
      </c>
      <c r="D222" t="s">
        <v>487</v>
      </c>
      <c r="AI222">
        <v>1515299284294.1936</v>
      </c>
      <c r="AJ222">
        <v>1522813796552.7876</v>
      </c>
      <c r="AK222">
        <v>1519206396841.5649</v>
      </c>
      <c r="AL222">
        <v>1508591699805.1086</v>
      </c>
      <c r="AM222">
        <v>1524338998015.7695</v>
      </c>
      <c r="AN222">
        <v>1578857003823.9341</v>
      </c>
      <c r="AO222">
        <v>1660483595880.9321</v>
      </c>
      <c r="AP222">
        <v>1732293908487.0161</v>
      </c>
      <c r="AQ222">
        <v>1775878593408.9609</v>
      </c>
      <c r="AR222">
        <v>1817390891124.3899</v>
      </c>
      <c r="AS222">
        <v>1880899928009.7886</v>
      </c>
      <c r="AT222">
        <v>1961325843112.2061</v>
      </c>
      <c r="AU222">
        <v>2079984349498.749</v>
      </c>
      <c r="AV222">
        <v>2166780414648.9517</v>
      </c>
      <c r="AW222">
        <v>2309601689808.8169</v>
      </c>
      <c r="AX222">
        <v>2450603524554.7349</v>
      </c>
      <c r="AY222">
        <v>2601868218173.7344</v>
      </c>
      <c r="AZ222">
        <v>2763848971707.1724</v>
      </c>
      <c r="BA222">
        <v>2909152437467.2896</v>
      </c>
      <c r="BB222">
        <v>2992490426965.9014</v>
      </c>
      <c r="BC222">
        <v>3168512988829.6636</v>
      </c>
      <c r="BD222">
        <v>3308288104859.6548</v>
      </c>
      <c r="BE222">
        <v>3426287923574.5747</v>
      </c>
      <c r="BF222">
        <v>3597856511907.6187</v>
      </c>
      <c r="BG222">
        <v>3774481127111.6621</v>
      </c>
      <c r="BH222">
        <v>3888914828751.3013</v>
      </c>
      <c r="BI222">
        <v>3953145891720.814</v>
      </c>
      <c r="BJ222">
        <v>4059781357000.3354</v>
      </c>
      <c r="BK222">
        <v>4175786782851.4312</v>
      </c>
      <c r="BL222">
        <v>4291867110154.4487</v>
      </c>
      <c r="BM222">
        <v>4210521430935.3013</v>
      </c>
      <c r="BN222">
        <v>4391776107273.624</v>
      </c>
      <c r="BO222" s="188">
        <v>4552555143483.7734</v>
      </c>
    </row>
    <row r="223" spans="1:67">
      <c r="A223" t="s">
        <v>922</v>
      </c>
      <c r="B223" t="s">
        <v>923</v>
      </c>
      <c r="C223" t="s">
        <v>486</v>
      </c>
      <c r="D223" t="s">
        <v>487</v>
      </c>
      <c r="AP223">
        <v>345962147206.32208</v>
      </c>
      <c r="AQ223">
        <v>356541666494.55768</v>
      </c>
      <c r="AR223">
        <v>368019016369.81201</v>
      </c>
      <c r="AS223">
        <v>385295706943.35297</v>
      </c>
      <c r="AT223">
        <v>400022211172.56323</v>
      </c>
      <c r="AU223">
        <v>417406251109.0611</v>
      </c>
      <c r="AV223">
        <v>437941852643.76538</v>
      </c>
      <c r="AW223">
        <v>471453902526.53595</v>
      </c>
      <c r="AX223">
        <v>495591657406.25934</v>
      </c>
      <c r="AY223">
        <v>540920867726.21368</v>
      </c>
      <c r="AZ223">
        <v>584262363919.13928</v>
      </c>
      <c r="BA223">
        <v>618063619259.30005</v>
      </c>
      <c r="BB223">
        <v>620029677058.3429</v>
      </c>
      <c r="BC223">
        <v>661529275230.98352</v>
      </c>
      <c r="BD223">
        <v>702005147876.81531</v>
      </c>
      <c r="BE223">
        <v>725864640899.5459</v>
      </c>
      <c r="BF223">
        <v>749854970937.87048</v>
      </c>
      <c r="BG223">
        <v>776230049294.03015</v>
      </c>
      <c r="BH223">
        <v>794170339416.80725</v>
      </c>
      <c r="BI223">
        <v>810427624535.42285</v>
      </c>
      <c r="BJ223">
        <v>820033985957.94556</v>
      </c>
      <c r="BK223">
        <v>836678874863.2395</v>
      </c>
      <c r="BL223">
        <v>853665671332.53003</v>
      </c>
      <c r="BM223">
        <v>806585724364.10205</v>
      </c>
      <c r="BN223">
        <v>840143036687.89929</v>
      </c>
      <c r="BO223" s="188">
        <v>887678477213.75085</v>
      </c>
    </row>
    <row r="224" spans="1:67">
      <c r="A224" t="s">
        <v>924</v>
      </c>
      <c r="B224" t="s">
        <v>925</v>
      </c>
      <c r="C224" t="s">
        <v>486</v>
      </c>
      <c r="D224" t="s">
        <v>487</v>
      </c>
      <c r="AT224">
        <v>374271810.43544382</v>
      </c>
      <c r="AU224">
        <v>386848047.52668577</v>
      </c>
      <c r="AV224">
        <v>418923628.67262608</v>
      </c>
      <c r="AW224">
        <v>433744752.63044733</v>
      </c>
      <c r="AX224">
        <v>462435340.39122444</v>
      </c>
      <c r="AY224">
        <v>503435363.38701028</v>
      </c>
      <c r="AZ224">
        <v>521767820.43605167</v>
      </c>
      <c r="BA224">
        <v>554267616.53340292</v>
      </c>
      <c r="BB224">
        <v>567715713.94611955</v>
      </c>
      <c r="BC224">
        <v>605593613.59614682</v>
      </c>
      <c r="BD224">
        <v>632228844.10971999</v>
      </c>
      <c r="BE224">
        <v>652093325.56194913</v>
      </c>
      <c r="BF224">
        <v>683490267.09913957</v>
      </c>
      <c r="BG224">
        <v>728258435.01798749</v>
      </c>
      <c r="BH224">
        <v>756743083.84221637</v>
      </c>
      <c r="BI224">
        <v>788259685.00891292</v>
      </c>
      <c r="BJ224">
        <v>818599649.86904049</v>
      </c>
      <c r="BK224">
        <v>842709610.84351015</v>
      </c>
      <c r="BL224">
        <v>861340705.42892337</v>
      </c>
      <c r="BM224">
        <v>887392542.59039295</v>
      </c>
      <c r="BN224">
        <v>904057086.83217716</v>
      </c>
      <c r="BO224" s="188">
        <v>912438938.16026461</v>
      </c>
    </row>
    <row r="225" spans="1:67">
      <c r="A225" t="s">
        <v>926</v>
      </c>
      <c r="B225" t="s">
        <v>927</v>
      </c>
      <c r="C225" t="s">
        <v>486</v>
      </c>
      <c r="D225" t="s">
        <v>487</v>
      </c>
      <c r="AI225">
        <v>5627412442.214962</v>
      </c>
      <c r="AJ225">
        <v>5779352529.4368</v>
      </c>
      <c r="AK225">
        <v>5802469940.047883</v>
      </c>
      <c r="AL225">
        <v>5413704561.4268942</v>
      </c>
      <c r="AM225">
        <v>5597770456.8217688</v>
      </c>
      <c r="AN225">
        <v>5597770456.8217688</v>
      </c>
      <c r="AO225">
        <v>5653748229.8403387</v>
      </c>
      <c r="AP225">
        <v>5976011747.9605637</v>
      </c>
      <c r="AQ225">
        <v>6113460116.8308306</v>
      </c>
      <c r="AR225">
        <v>6027871646.4583845</v>
      </c>
      <c r="AS225">
        <v>6154456882.7686586</v>
      </c>
      <c r="AT225">
        <v>6412944097.7450762</v>
      </c>
      <c r="AU225">
        <v>6592506576.635499</v>
      </c>
      <c r="AV225">
        <v>7007834453.5933428</v>
      </c>
      <c r="AW225">
        <v>7603500395.0988445</v>
      </c>
      <c r="AX225">
        <v>7945657928.9117079</v>
      </c>
      <c r="AY225">
        <v>8405993084.1090593</v>
      </c>
      <c r="AZ225">
        <v>8835664393.2005081</v>
      </c>
      <c r="BA225">
        <v>9201761913.5234642</v>
      </c>
      <c r="BB225">
        <v>9479075318.6983109</v>
      </c>
      <c r="BC225">
        <v>9969032147.972681</v>
      </c>
      <c r="BD225">
        <v>10552157491.620577</v>
      </c>
      <c r="BE225">
        <v>10836047433.96656</v>
      </c>
      <c r="BF225">
        <v>11153916562.809973</v>
      </c>
      <c r="BG225">
        <v>11182415157.775156</v>
      </c>
      <c r="BH225">
        <v>10800972240.163254</v>
      </c>
      <c r="BI225">
        <v>10270019508.28883</v>
      </c>
      <c r="BJ225">
        <v>10430970336.418011</v>
      </c>
      <c r="BK225">
        <v>10947122992.142628</v>
      </c>
      <c r="BL225">
        <v>11075072733.806931</v>
      </c>
      <c r="BM225">
        <v>9305808113.8651943</v>
      </c>
      <c r="BN225">
        <v>9051795023.5758476</v>
      </c>
      <c r="BO225" s="188">
        <v>9222667452.7539577</v>
      </c>
    </row>
    <row r="226" spans="1:67">
      <c r="A226" t="s">
        <v>928</v>
      </c>
      <c r="B226" t="s">
        <v>929</v>
      </c>
      <c r="C226" t="s">
        <v>486</v>
      </c>
      <c r="D226" t="s">
        <v>487</v>
      </c>
      <c r="AK226">
        <v>62044014779.435738</v>
      </c>
      <c r="AL226">
        <v>63223675081.425163</v>
      </c>
      <c r="AM226">
        <v>67147039966.111305</v>
      </c>
      <c r="AN226">
        <v>71070773374.60347</v>
      </c>
      <c r="AO226">
        <v>75775586165.45874</v>
      </c>
      <c r="AP226">
        <v>80265923950.78949</v>
      </c>
      <c r="AQ226">
        <v>83537641253.346329</v>
      </c>
      <c r="AR226">
        <v>83449162392.255508</v>
      </c>
      <c r="AS226">
        <v>84422619000.811264</v>
      </c>
      <c r="AT226">
        <v>87169548654.276093</v>
      </c>
      <c r="AU226">
        <v>91100410756.07431</v>
      </c>
      <c r="AV226">
        <v>96110098027.031387</v>
      </c>
      <c r="AW226">
        <v>101183635459.64043</v>
      </c>
      <c r="AX226">
        <v>107885494354.25697</v>
      </c>
      <c r="AY226">
        <v>117048400072.34618</v>
      </c>
      <c r="AZ226">
        <v>129727116493.29758</v>
      </c>
      <c r="BA226">
        <v>136959255796.59128</v>
      </c>
      <c r="BB226">
        <v>129487398581.99078</v>
      </c>
      <c r="BC226">
        <v>138184591602.05276</v>
      </c>
      <c r="BD226">
        <v>141876127714.6871</v>
      </c>
      <c r="BE226">
        <v>143747193272.90594</v>
      </c>
      <c r="BF226">
        <v>144656739274.10611</v>
      </c>
      <c r="BG226">
        <v>148558406101.04895</v>
      </c>
      <c r="BH226">
        <v>156234688735.4794</v>
      </c>
      <c r="BI226">
        <v>159271814312.36993</v>
      </c>
      <c r="BJ226">
        <v>163951329601.32352</v>
      </c>
      <c r="BK226">
        <v>170559207125.95709</v>
      </c>
      <c r="BL226">
        <v>174839771021.61694</v>
      </c>
      <c r="BM226">
        <v>169006688476.02985</v>
      </c>
      <c r="BN226">
        <v>177225929518.00943</v>
      </c>
      <c r="BO226" s="188">
        <v>180183303813.46936</v>
      </c>
    </row>
    <row r="227" spans="1:67">
      <c r="A227" t="s">
        <v>930</v>
      </c>
      <c r="B227" t="s">
        <v>931</v>
      </c>
      <c r="C227" t="s">
        <v>486</v>
      </c>
      <c r="D227" t="s">
        <v>487</v>
      </c>
      <c r="AN227">
        <v>42743103189.75563</v>
      </c>
      <c r="AO227">
        <v>44112167267.668335</v>
      </c>
      <c r="AP227">
        <v>46339740603.935341</v>
      </c>
      <c r="AQ227">
        <v>47859390043.914383</v>
      </c>
      <c r="AR227">
        <v>50411571738.27449</v>
      </c>
      <c r="AS227">
        <v>52262871956.538651</v>
      </c>
      <c r="AT227">
        <v>53943938765.578293</v>
      </c>
      <c r="AU227">
        <v>55834996434.770905</v>
      </c>
      <c r="AV227">
        <v>57487857659.80423</v>
      </c>
      <c r="AW227">
        <v>59993864199.390259</v>
      </c>
      <c r="AX227">
        <v>62272414748.553612</v>
      </c>
      <c r="AY227">
        <v>65850834859.6213</v>
      </c>
      <c r="AZ227">
        <v>70447328991.007751</v>
      </c>
      <c r="BA227">
        <v>72919918591.548599</v>
      </c>
      <c r="BB227">
        <v>67415603899.168488</v>
      </c>
      <c r="BC227">
        <v>68321500046.589417</v>
      </c>
      <c r="BD227">
        <v>68909972073.900513</v>
      </c>
      <c r="BE227">
        <v>67091135563.704742</v>
      </c>
      <c r="BF227">
        <v>66400578063.781151</v>
      </c>
      <c r="BG227">
        <v>68238651529.056587</v>
      </c>
      <c r="BH227">
        <v>69746781415.027954</v>
      </c>
      <c r="BI227">
        <v>71972995813.725418</v>
      </c>
      <c r="BJ227">
        <v>75438769514.635468</v>
      </c>
      <c r="BK227">
        <v>78799088224.018845</v>
      </c>
      <c r="BL227">
        <v>81518507202.367554</v>
      </c>
      <c r="BM227">
        <v>77995790965.518051</v>
      </c>
      <c r="BN227">
        <v>84400074180.676224</v>
      </c>
      <c r="BO227" s="188">
        <v>88936200607.189682</v>
      </c>
    </row>
    <row r="228" spans="1:67">
      <c r="A228" t="s">
        <v>932</v>
      </c>
      <c r="B228" t="s">
        <v>933</v>
      </c>
      <c r="C228" t="s">
        <v>486</v>
      </c>
      <c r="D228" t="s">
        <v>487</v>
      </c>
      <c r="AI228">
        <v>292342589047.89343</v>
      </c>
      <c r="AJ228">
        <v>288992416447.24658</v>
      </c>
      <c r="AK228">
        <v>285644171233.11261</v>
      </c>
      <c r="AL228">
        <v>279743858473.2851</v>
      </c>
      <c r="AM228">
        <v>290737716123.94891</v>
      </c>
      <c r="AN228">
        <v>302178806162.25989</v>
      </c>
      <c r="AO228">
        <v>306951588675.27264</v>
      </c>
      <c r="AP228">
        <v>316376618833.07166</v>
      </c>
      <c r="AQ228">
        <v>330018260897.13934</v>
      </c>
      <c r="AR228">
        <v>344034744145.19623</v>
      </c>
      <c r="AS228">
        <v>360432640290.28467</v>
      </c>
      <c r="AT228">
        <v>365657106430.00439</v>
      </c>
      <c r="AU228">
        <v>373690304416.50336</v>
      </c>
      <c r="AV228">
        <v>382321842642.94513</v>
      </c>
      <c r="AW228">
        <v>398902591003.09833</v>
      </c>
      <c r="AX228">
        <v>410306431198.75037</v>
      </c>
      <c r="AY228">
        <v>429438090953.82019</v>
      </c>
      <c r="AZ228">
        <v>444207419292.34546</v>
      </c>
      <c r="BA228">
        <v>442206001645.58301</v>
      </c>
      <c r="BB228">
        <v>423015187266.16492</v>
      </c>
      <c r="BC228">
        <v>448193503870.46082</v>
      </c>
      <c r="BD228">
        <v>462514779856.24896</v>
      </c>
      <c r="BE228">
        <v>459793784274.09723</v>
      </c>
      <c r="BF228">
        <v>465255103186.9502</v>
      </c>
      <c r="BG228">
        <v>477620645295.2746</v>
      </c>
      <c r="BH228">
        <v>499062380984.54791</v>
      </c>
      <c r="BI228">
        <v>509395932462.04077</v>
      </c>
      <c r="BJ228">
        <v>522476835542.43457</v>
      </c>
      <c r="BK228">
        <v>532665253199.00159</v>
      </c>
      <c r="BL228">
        <v>543245028479.22736</v>
      </c>
      <c r="BM228">
        <v>531455453277.67633</v>
      </c>
      <c r="BN228">
        <v>560078794638.57324</v>
      </c>
      <c r="BO228" s="188">
        <v>574877290306.72766</v>
      </c>
    </row>
    <row r="229" spans="1:67">
      <c r="A229" t="s">
        <v>934</v>
      </c>
      <c r="B229" t="s">
        <v>935</v>
      </c>
      <c r="C229" t="s">
        <v>486</v>
      </c>
      <c r="D229" t="s">
        <v>487</v>
      </c>
      <c r="AI229">
        <v>4192567423.8951092</v>
      </c>
      <c r="AJ229">
        <v>4266372389.2543049</v>
      </c>
      <c r="AK229">
        <v>4404014388.8490934</v>
      </c>
      <c r="AL229">
        <v>4540808103.2472963</v>
      </c>
      <c r="AM229">
        <v>4649818876.4814491</v>
      </c>
      <c r="AN229">
        <v>4874202933.1649275</v>
      </c>
      <c r="AO229">
        <v>5061472424.2683878</v>
      </c>
      <c r="AP229">
        <v>5218520061.4574175</v>
      </c>
      <c r="AQ229">
        <v>5354412380.0240526</v>
      </c>
      <c r="AR229">
        <v>5512414407.6668882</v>
      </c>
      <c r="AS229">
        <v>5609442479.6253519</v>
      </c>
      <c r="AT229">
        <v>5668608910.3265638</v>
      </c>
      <c r="AU229">
        <v>5916899597.504446</v>
      </c>
      <c r="AV229">
        <v>6146487939.5550928</v>
      </c>
      <c r="AW229">
        <v>6369231390.3939285</v>
      </c>
      <c r="AX229">
        <v>6751307349.4484282</v>
      </c>
      <c r="AY229">
        <v>7155856949.5624008</v>
      </c>
      <c r="AZ229">
        <v>7473246081.0190277</v>
      </c>
      <c r="BA229">
        <v>7534651047.2562389</v>
      </c>
      <c r="BB229">
        <v>7652572017.0063152</v>
      </c>
      <c r="BC229">
        <v>7942891848.1028128</v>
      </c>
      <c r="BD229">
        <v>8121386877.6028214</v>
      </c>
      <c r="BE229">
        <v>8559668134.8346443</v>
      </c>
      <c r="BF229">
        <v>8890175221.8913193</v>
      </c>
      <c r="BG229">
        <v>8972252035.234478</v>
      </c>
      <c r="BH229">
        <v>9172107215.4606972</v>
      </c>
      <c r="BI229">
        <v>9269570961.6843758</v>
      </c>
      <c r="BJ229">
        <v>9457426061.9255981</v>
      </c>
      <c r="BK229">
        <v>9682521831.7316418</v>
      </c>
      <c r="BL229">
        <v>9943191614.4045124</v>
      </c>
      <c r="BM229">
        <v>9788113363.181448</v>
      </c>
      <c r="BN229">
        <v>10559740330.53437</v>
      </c>
      <c r="BO229" s="188">
        <v>10973105692.789265</v>
      </c>
    </row>
    <row r="230" spans="1:67">
      <c r="A230" t="s">
        <v>936</v>
      </c>
      <c r="B230" t="s">
        <v>937</v>
      </c>
      <c r="C230" t="s">
        <v>486</v>
      </c>
      <c r="D230" t="s">
        <v>487</v>
      </c>
      <c r="BB230">
        <v>1436948467.2048376</v>
      </c>
      <c r="BC230">
        <v>1482930732.248069</v>
      </c>
      <c r="BD230">
        <v>1551145590.3663027</v>
      </c>
      <c r="BE230">
        <v>1572714993.7176604</v>
      </c>
      <c r="BF230">
        <v>1593266099.0567222</v>
      </c>
      <c r="BG230">
        <v>1618445831.7244012</v>
      </c>
      <c r="BH230">
        <v>1624919615.0512989</v>
      </c>
      <c r="BI230">
        <v>1633044244.6012216</v>
      </c>
      <c r="BJ230">
        <v>1538327625.2777088</v>
      </c>
      <c r="BK230">
        <v>1436798036.8166575</v>
      </c>
      <c r="BL230">
        <v>1563236264.0565233</v>
      </c>
      <c r="BM230">
        <v>1305302280.4871969</v>
      </c>
      <c r="BN230">
        <v>1400589346.9627662</v>
      </c>
      <c r="BO230" s="188">
        <v>1536446513.6181486</v>
      </c>
    </row>
    <row r="231" spans="1:67">
      <c r="A231" t="s">
        <v>938</v>
      </c>
      <c r="B231" t="s">
        <v>939</v>
      </c>
      <c r="C231" t="s">
        <v>486</v>
      </c>
      <c r="D231" t="s">
        <v>487</v>
      </c>
      <c r="AI231">
        <v>1080055568.5795357</v>
      </c>
      <c r="AJ231">
        <v>1109869706.1455836</v>
      </c>
      <c r="AK231">
        <v>1189481147.9982023</v>
      </c>
      <c r="AL231">
        <v>1276353366.4504359</v>
      </c>
      <c r="AM231">
        <v>1245254138.4103627</v>
      </c>
      <c r="AN231">
        <v>1251294077.9806256</v>
      </c>
      <c r="AO231">
        <v>1376397783.6001837</v>
      </c>
      <c r="AP231">
        <v>1544230798.4067519</v>
      </c>
      <c r="AQ231">
        <v>1582333781.2613966</v>
      </c>
      <c r="AR231">
        <v>1611955150.4870741</v>
      </c>
      <c r="AS231">
        <v>1680514800.3393412</v>
      </c>
      <c r="AT231">
        <v>1642347571.9081984</v>
      </c>
      <c r="AU231">
        <v>1662266503.6352406</v>
      </c>
      <c r="AV231">
        <v>1564406738.7591536</v>
      </c>
      <c r="AW231">
        <v>1519814044.6600246</v>
      </c>
      <c r="AX231">
        <v>1656684876.3740101</v>
      </c>
      <c r="AY231">
        <v>1812514785.6355643</v>
      </c>
      <c r="AZ231">
        <v>1973394802.5281248</v>
      </c>
      <c r="BA231">
        <v>1919601120.6830142</v>
      </c>
      <c r="BB231">
        <v>1872006992.2134399</v>
      </c>
      <c r="BC231">
        <v>1956343379.0691068</v>
      </c>
      <c r="BD231">
        <v>2142387396.0357783</v>
      </c>
      <c r="BE231">
        <v>2209030180.0208077</v>
      </c>
      <c r="BF231">
        <v>2236725563.7183475</v>
      </c>
      <c r="BG231">
        <v>2327619197.3159571</v>
      </c>
      <c r="BH231">
        <v>2425253207.8157997</v>
      </c>
      <c r="BI231">
        <v>2549058184.2373676</v>
      </c>
      <c r="BJ231">
        <v>2620022555.7561216</v>
      </c>
      <c r="BK231">
        <v>2717210571.411005</v>
      </c>
      <c r="BL231">
        <v>2849727469.0883913</v>
      </c>
      <c r="BM231">
        <v>2603248656.8695669</v>
      </c>
      <c r="BN231">
        <v>2743824084.3405237</v>
      </c>
      <c r="BO231" s="188">
        <v>2985280608.4999762</v>
      </c>
    </row>
    <row r="232" spans="1:67">
      <c r="A232" t="s">
        <v>940</v>
      </c>
      <c r="B232" t="s">
        <v>941</v>
      </c>
      <c r="C232" t="s">
        <v>486</v>
      </c>
      <c r="D232" t="s">
        <v>487</v>
      </c>
    </row>
    <row r="233" spans="1:67">
      <c r="A233" t="s">
        <v>942</v>
      </c>
      <c r="B233" t="s">
        <v>943</v>
      </c>
      <c r="C233" t="s">
        <v>486</v>
      </c>
      <c r="D233" t="s">
        <v>487</v>
      </c>
      <c r="BD233">
        <v>792935224.72861743</v>
      </c>
      <c r="BE233">
        <v>785225520.65037966</v>
      </c>
      <c r="BF233">
        <v>793634320.25501263</v>
      </c>
      <c r="BG233">
        <v>862770159.66521156</v>
      </c>
      <c r="BH233">
        <v>960391172.18581128</v>
      </c>
      <c r="BI233">
        <v>1030030870.0646787</v>
      </c>
      <c r="BJ233">
        <v>1004380845.7101482</v>
      </c>
      <c r="BK233">
        <v>1060736216.7961307</v>
      </c>
      <c r="BL233">
        <v>1117215662.7600601</v>
      </c>
      <c r="BM233">
        <v>817993166.78916824</v>
      </c>
      <c r="BN233">
        <v>891404033.00299656</v>
      </c>
      <c r="BO233" s="188">
        <v>886951606.55211782</v>
      </c>
    </row>
    <row r="234" spans="1:67">
      <c r="A234" t="s">
        <v>944</v>
      </c>
      <c r="B234" t="s">
        <v>945</v>
      </c>
      <c r="C234" t="s">
        <v>486</v>
      </c>
      <c r="D234" t="s">
        <v>487</v>
      </c>
      <c r="AI234">
        <v>5985824130.220108</v>
      </c>
      <c r="AJ234">
        <v>6496722430.2781591</v>
      </c>
      <c r="AK234">
        <v>7016553994.9044819</v>
      </c>
      <c r="AL234">
        <v>5914264796.1159735</v>
      </c>
      <c r="AM234">
        <v>6513787172.8467693</v>
      </c>
      <c r="AN234">
        <v>6594333363.6346416</v>
      </c>
      <c r="AO234">
        <v>6740363097.788868</v>
      </c>
      <c r="AP234">
        <v>7121422268.0307589</v>
      </c>
      <c r="AQ234">
        <v>7616473627.9735546</v>
      </c>
      <c r="AR234">
        <v>7564464521.2545137</v>
      </c>
      <c r="AS234">
        <v>7497921362.1845303</v>
      </c>
      <c r="AT234">
        <v>8372039130.8610792</v>
      </c>
      <c r="AU234">
        <v>9082926539.5896511</v>
      </c>
      <c r="AV234">
        <v>10420084739.701998</v>
      </c>
      <c r="AW234">
        <v>13924293784.15843</v>
      </c>
      <c r="AX234">
        <v>16337726701.669853</v>
      </c>
      <c r="AY234">
        <v>16443637977.843353</v>
      </c>
      <c r="AZ234">
        <v>16981591525.042112</v>
      </c>
      <c r="BA234">
        <v>17499987131.520515</v>
      </c>
      <c r="BB234">
        <v>18238083310.349083</v>
      </c>
      <c r="BC234">
        <v>20709361993.74995</v>
      </c>
      <c r="BD234">
        <v>20726523800.292007</v>
      </c>
      <c r="BE234">
        <v>22567573043.872604</v>
      </c>
      <c r="BF234">
        <v>23853925014.937466</v>
      </c>
      <c r="BG234">
        <v>25499842273.690392</v>
      </c>
      <c r="BH234">
        <v>26205595207.973072</v>
      </c>
      <c r="BI234">
        <v>24566297101.834194</v>
      </c>
      <c r="BJ234">
        <v>23832085166.556019</v>
      </c>
      <c r="BK234">
        <v>24397867877.028305</v>
      </c>
      <c r="BL234">
        <v>25190111030.970673</v>
      </c>
      <c r="BM234">
        <v>24787067557.40345</v>
      </c>
      <c r="BN234">
        <v>24489625095.386051</v>
      </c>
      <c r="BO234" s="188">
        <v>25037208134.919842</v>
      </c>
    </row>
    <row r="235" spans="1:67">
      <c r="A235" t="s">
        <v>946</v>
      </c>
      <c r="B235" t="s">
        <v>947</v>
      </c>
      <c r="C235" t="s">
        <v>486</v>
      </c>
      <c r="D235" t="s">
        <v>487</v>
      </c>
      <c r="AI235">
        <v>3505482333716.5132</v>
      </c>
      <c r="AJ235">
        <v>3772105347382.2832</v>
      </c>
      <c r="AK235">
        <v>4152140234868.2563</v>
      </c>
      <c r="AL235">
        <v>4579353281018.8643</v>
      </c>
      <c r="AM235">
        <v>5042620198739.4902</v>
      </c>
      <c r="AN235">
        <v>5521548335789.4336</v>
      </c>
      <c r="AO235">
        <v>6003185797577.5752</v>
      </c>
      <c r="AP235">
        <v>6398220466822.4043</v>
      </c>
      <c r="AQ235">
        <v>6441158880823.1299</v>
      </c>
      <c r="AR235">
        <v>6812045348728.7881</v>
      </c>
      <c r="AS235">
        <v>7306073061195.2764</v>
      </c>
      <c r="AT235">
        <v>7773716120781.2168</v>
      </c>
      <c r="AU235">
        <v>8361959485918.3115</v>
      </c>
      <c r="AV235">
        <v>9065867992115.9434</v>
      </c>
      <c r="AW235">
        <v>9848392331424.7578</v>
      </c>
      <c r="AX235">
        <v>10763280022373.01</v>
      </c>
      <c r="AY235">
        <v>11867052751348.035</v>
      </c>
      <c r="AZ235">
        <v>13241846312069.436</v>
      </c>
      <c r="BA235">
        <v>14314340006063.443</v>
      </c>
      <c r="BB235">
        <v>15355466154103.393</v>
      </c>
      <c r="BC235">
        <v>16816059855053.883</v>
      </c>
      <c r="BD235">
        <v>18190685056827.473</v>
      </c>
      <c r="BE235">
        <v>19538972825597.074</v>
      </c>
      <c r="BF235">
        <v>20913010492867.473</v>
      </c>
      <c r="BG235">
        <v>22318400038543.074</v>
      </c>
      <c r="BH235">
        <v>23764940302698.508</v>
      </c>
      <c r="BI235">
        <v>25294037512267.156</v>
      </c>
      <c r="BJ235">
        <v>26953401322791.547</v>
      </c>
      <c r="BK235">
        <v>28679714893783.613</v>
      </c>
      <c r="BL235">
        <v>30312222046786.137</v>
      </c>
      <c r="BM235">
        <v>30560435446116.207</v>
      </c>
      <c r="BN235">
        <v>32695736492322.59</v>
      </c>
      <c r="BO235" s="188">
        <v>33891128002880.68</v>
      </c>
    </row>
    <row r="236" spans="1:67">
      <c r="A236" t="s">
        <v>948</v>
      </c>
      <c r="B236" t="s">
        <v>949</v>
      </c>
      <c r="C236" t="s">
        <v>486</v>
      </c>
      <c r="D236" t="s">
        <v>487</v>
      </c>
      <c r="AI236">
        <v>6415449227692.6016</v>
      </c>
      <c r="AJ236">
        <v>6042907933419.0957</v>
      </c>
      <c r="AK236">
        <v>5438914814090.8223</v>
      </c>
      <c r="AL236">
        <v>5129925096723.1475</v>
      </c>
      <c r="AM236">
        <v>4625716369310.25</v>
      </c>
      <c r="AN236">
        <v>4568775928444.4316</v>
      </c>
      <c r="AO236">
        <v>4579756169379.6289</v>
      </c>
      <c r="AP236">
        <v>4693471459308.8096</v>
      </c>
      <c r="AQ236">
        <v>4649220288166.4619</v>
      </c>
      <c r="AR236">
        <v>4764557998191.0303</v>
      </c>
      <c r="AS236">
        <v>5119993359698.4023</v>
      </c>
      <c r="AT236">
        <v>5275834414728.3174</v>
      </c>
      <c r="AU236">
        <v>5541958044866.5576</v>
      </c>
      <c r="AV236">
        <v>5896345054970.5928</v>
      </c>
      <c r="AW236">
        <v>6371190771212.3672</v>
      </c>
      <c r="AX236">
        <v>6785593233797.0264</v>
      </c>
      <c r="AY236">
        <v>7321368297538.2354</v>
      </c>
      <c r="AZ236">
        <v>7887414742084.5654</v>
      </c>
      <c r="BA236">
        <v>8241311923547.6289</v>
      </c>
      <c r="BB236">
        <v>7804077723754.7412</v>
      </c>
      <c r="BC236">
        <v>8159852538016.6025</v>
      </c>
      <c r="BD236">
        <v>8631003485034.0752</v>
      </c>
      <c r="BE236">
        <v>8918768072878.9023</v>
      </c>
      <c r="BF236">
        <v>9200818403664.7891</v>
      </c>
      <c r="BG236">
        <v>9365944725404.5273</v>
      </c>
      <c r="BH236">
        <v>9451104596358.6875</v>
      </c>
      <c r="BI236">
        <v>9616886902315.377</v>
      </c>
      <c r="BJ236">
        <v>10011112727331.65</v>
      </c>
      <c r="BK236">
        <v>10373427081004.621</v>
      </c>
      <c r="BL236">
        <v>10647183604984.268</v>
      </c>
      <c r="BM236">
        <v>10465066643641.648</v>
      </c>
      <c r="BN236">
        <v>11213262024406.049</v>
      </c>
      <c r="BO236" s="188">
        <v>11280101857829.26</v>
      </c>
    </row>
    <row r="237" spans="1:67">
      <c r="A237" t="s">
        <v>950</v>
      </c>
      <c r="B237" t="s">
        <v>951</v>
      </c>
      <c r="C237" t="s">
        <v>486</v>
      </c>
      <c r="D237" t="s">
        <v>487</v>
      </c>
      <c r="AI237">
        <v>6745350432.4063482</v>
      </c>
      <c r="AJ237">
        <v>6698135172.0380869</v>
      </c>
      <c r="AK237">
        <v>6431503388.4779272</v>
      </c>
      <c r="AL237">
        <v>5460614732.2052937</v>
      </c>
      <c r="AM237">
        <v>6278746657.4545021</v>
      </c>
      <c r="AN237">
        <v>6771366591.9397106</v>
      </c>
      <c r="AO237">
        <v>7369698874.3491373</v>
      </c>
      <c r="AP237">
        <v>8429268307.3293819</v>
      </c>
      <c r="AQ237">
        <v>8235405540.68822</v>
      </c>
      <c r="AR237">
        <v>8439787835.9422522</v>
      </c>
      <c r="AS237">
        <v>8373663819.4250689</v>
      </c>
      <c r="AT237">
        <v>8442615812.0068769</v>
      </c>
      <c r="AU237">
        <v>8765682854.9799156</v>
      </c>
      <c r="AV237">
        <v>9354751769.2321491</v>
      </c>
      <c r="AW237">
        <v>9263200056.4546432</v>
      </c>
      <c r="AX237">
        <v>8830951409.4280491</v>
      </c>
      <c r="AY237">
        <v>9064983287.4233246</v>
      </c>
      <c r="AZ237">
        <v>8958458820.3763771</v>
      </c>
      <c r="BA237">
        <v>9322374067.08218</v>
      </c>
      <c r="BB237">
        <v>9838638843.4876213</v>
      </c>
      <c r="BC237">
        <v>10438722924.631493</v>
      </c>
      <c r="BD237">
        <v>11106613195.947401</v>
      </c>
      <c r="BE237">
        <v>11833375211.137611</v>
      </c>
      <c r="BF237">
        <v>12556671701.589392</v>
      </c>
      <c r="BG237">
        <v>13300100571.53174</v>
      </c>
      <c r="BH237">
        <v>14063907851.453667</v>
      </c>
      <c r="BI237">
        <v>14845731642.347527</v>
      </c>
      <c r="BJ237">
        <v>15491186678.279367</v>
      </c>
      <c r="BK237">
        <v>16287197015.972284</v>
      </c>
      <c r="BL237">
        <v>17089003659.089697</v>
      </c>
      <c r="BM237">
        <v>17426638438.852268</v>
      </c>
      <c r="BN237">
        <v>18470768036.220341</v>
      </c>
      <c r="BO237" s="188">
        <v>19544019393.142941</v>
      </c>
    </row>
    <row r="238" spans="1:67">
      <c r="A238" t="s">
        <v>952</v>
      </c>
      <c r="B238" t="s">
        <v>953</v>
      </c>
      <c r="C238" t="s">
        <v>486</v>
      </c>
      <c r="D238" t="s">
        <v>487</v>
      </c>
      <c r="AI238">
        <v>401679490190.93707</v>
      </c>
      <c r="AJ238">
        <v>436056266618.51624</v>
      </c>
      <c r="AK238">
        <v>471304386649.87512</v>
      </c>
      <c r="AL238">
        <v>510196028341.0899</v>
      </c>
      <c r="AM238">
        <v>550996530578.62366</v>
      </c>
      <c r="AN238">
        <v>595739186408.52551</v>
      </c>
      <c r="AO238">
        <v>629410034380.54663</v>
      </c>
      <c r="AP238">
        <v>612078756062.46875</v>
      </c>
      <c r="AQ238">
        <v>565352447846.5437</v>
      </c>
      <c r="AR238">
        <v>591202101640.7782</v>
      </c>
      <c r="AS238">
        <v>617541615794.35291</v>
      </c>
      <c r="AT238">
        <v>638811286780.73486</v>
      </c>
      <c r="AU238">
        <v>678092023109.76843</v>
      </c>
      <c r="AV238">
        <v>726841708472.14294</v>
      </c>
      <c r="AW238">
        <v>772555270354.9502</v>
      </c>
      <c r="AX238">
        <v>804907091740.38879</v>
      </c>
      <c r="AY238">
        <v>844893353918.05957</v>
      </c>
      <c r="AZ238">
        <v>890814589326.52759</v>
      </c>
      <c r="BA238">
        <v>906187366438.2605</v>
      </c>
      <c r="BB238">
        <v>899929071266.83337</v>
      </c>
      <c r="BC238">
        <v>967544256907.65686</v>
      </c>
      <c r="BD238">
        <v>975672906627.67822</v>
      </c>
      <c r="BE238">
        <v>1046338906857.6942</v>
      </c>
      <c r="BF238">
        <v>1074459218555.5884</v>
      </c>
      <c r="BG238">
        <v>1085036935014.5568</v>
      </c>
      <c r="BH238">
        <v>1119042505228.2769</v>
      </c>
      <c r="BI238">
        <v>1157483380202.261</v>
      </c>
      <c r="BJ238">
        <v>1205839343826.6821</v>
      </c>
      <c r="BK238">
        <v>1256760375191.6504</v>
      </c>
      <c r="BL238">
        <v>1283335299685.8582</v>
      </c>
      <c r="BM238">
        <v>1205476297125.626</v>
      </c>
      <c r="BN238">
        <v>1223463151519.6155</v>
      </c>
      <c r="BO238" s="188">
        <v>1255208758957.4829</v>
      </c>
    </row>
    <row r="239" spans="1:67">
      <c r="A239" t="s">
        <v>954</v>
      </c>
      <c r="B239" t="s">
        <v>955</v>
      </c>
      <c r="C239" t="s">
        <v>486</v>
      </c>
      <c r="D239" t="s">
        <v>487</v>
      </c>
      <c r="AI239">
        <v>21621969710.011154</v>
      </c>
      <c r="AJ239">
        <v>20086810056.014267</v>
      </c>
      <c r="AK239">
        <v>14261634927.764477</v>
      </c>
      <c r="AL239">
        <v>11922726821.733433</v>
      </c>
      <c r="AM239">
        <v>9383186245.5974808</v>
      </c>
      <c r="AN239">
        <v>8218139605.7248735</v>
      </c>
      <c r="AO239">
        <v>6845710420.1548567</v>
      </c>
      <c r="AP239">
        <v>6960764504.6036873</v>
      </c>
      <c r="AQ239">
        <v>7330580710.8158016</v>
      </c>
      <c r="AR239">
        <v>7601779262.0380182</v>
      </c>
      <c r="AS239">
        <v>8234576035.1838083</v>
      </c>
      <c r="AT239">
        <v>9023517275.1029835</v>
      </c>
      <c r="AU239">
        <v>9998057480.0231495</v>
      </c>
      <c r="AV239">
        <v>11097843710.649324</v>
      </c>
      <c r="AW239">
        <v>12240921495.321333</v>
      </c>
      <c r="AX239">
        <v>13061063053.920412</v>
      </c>
      <c r="AY239">
        <v>13975337887.097328</v>
      </c>
      <c r="AZ239">
        <v>15065414258.882666</v>
      </c>
      <c r="BA239">
        <v>16255581724.93615</v>
      </c>
      <c r="BB239">
        <v>16889549598.865808</v>
      </c>
      <c r="BC239">
        <v>17987370168.396664</v>
      </c>
      <c r="BD239">
        <v>19318435668.704372</v>
      </c>
      <c r="BE239">
        <v>20767318240.158783</v>
      </c>
      <c r="BF239">
        <v>22304099737.390003</v>
      </c>
      <c r="BG239">
        <v>23798474573.729671</v>
      </c>
      <c r="BH239">
        <v>25230976943.310997</v>
      </c>
      <c r="BI239">
        <v>26971914352.399456</v>
      </c>
      <c r="BJ239">
        <v>28886920271.419815</v>
      </c>
      <c r="BK239">
        <v>31082326212.047722</v>
      </c>
      <c r="BL239">
        <v>33382418351.739239</v>
      </c>
      <c r="BM239">
        <v>34851244759.215797</v>
      </c>
      <c r="BN239">
        <v>38127261766.582054</v>
      </c>
      <c r="BO239" s="188">
        <v>41177442707.908615</v>
      </c>
    </row>
    <row r="240" spans="1:67">
      <c r="A240" t="s">
        <v>956</v>
      </c>
      <c r="B240" t="s">
        <v>957</v>
      </c>
      <c r="C240" t="s">
        <v>486</v>
      </c>
      <c r="D240" t="s">
        <v>487</v>
      </c>
      <c r="AI240">
        <v>26553870092.73003</v>
      </c>
      <c r="AJ240">
        <v>25330994481.566715</v>
      </c>
      <c r="AK240">
        <v>21539961242.880699</v>
      </c>
      <c r="AL240">
        <v>21863060698.985794</v>
      </c>
      <c r="AM240">
        <v>18080781703.123276</v>
      </c>
      <c r="AN240">
        <v>16778958019.228968</v>
      </c>
      <c r="AO240">
        <v>17903146891.155651</v>
      </c>
      <c r="AP240">
        <v>15862188104.805376</v>
      </c>
      <c r="AQ240">
        <v>16988403514.791059</v>
      </c>
      <c r="AR240">
        <v>19791490009.318489</v>
      </c>
      <c r="AS240">
        <v>20873899290.711098</v>
      </c>
      <c r="AT240">
        <v>21780629270.463642</v>
      </c>
      <c r="AU240">
        <v>21836644676.48732</v>
      </c>
      <c r="AV240">
        <v>22550447154.120537</v>
      </c>
      <c r="AW240">
        <v>23678061390.842457</v>
      </c>
      <c r="AX240">
        <v>26764268169.070076</v>
      </c>
      <c r="AY240">
        <v>29701193836.29948</v>
      </c>
      <c r="AZ240">
        <v>32985937808.954685</v>
      </c>
      <c r="BA240">
        <v>37834870666.871025</v>
      </c>
      <c r="BB240">
        <v>40142797821.005936</v>
      </c>
      <c r="BC240">
        <v>43835935215.743362</v>
      </c>
      <c r="BD240">
        <v>50279817660.839813</v>
      </c>
      <c r="BE240">
        <v>55860877401.862694</v>
      </c>
      <c r="BF240">
        <v>61558686953.495056</v>
      </c>
      <c r="BG240">
        <v>67899231691.573502</v>
      </c>
      <c r="BH240">
        <v>72312681690.088287</v>
      </c>
      <c r="BI240">
        <v>76796067930.598465</v>
      </c>
      <c r="BJ240">
        <v>81787812382.050766</v>
      </c>
      <c r="BK240">
        <v>86858656701.786697</v>
      </c>
      <c r="BL240">
        <v>92330752110.711899</v>
      </c>
      <c r="BM240">
        <v>89191506538.947708</v>
      </c>
    </row>
    <row r="241" spans="1:67">
      <c r="A241" t="s">
        <v>958</v>
      </c>
      <c r="B241" t="s">
        <v>959</v>
      </c>
      <c r="C241" t="s">
        <v>486</v>
      </c>
      <c r="D241" t="s">
        <v>487</v>
      </c>
      <c r="AI241">
        <v>4488997329802.7461</v>
      </c>
      <c r="AJ241">
        <v>4638512644812.6797</v>
      </c>
      <c r="AK241">
        <v>4771109808297.4326</v>
      </c>
      <c r="AL241">
        <v>4997649593191.3516</v>
      </c>
      <c r="AM241">
        <v>5269437479923.4102</v>
      </c>
      <c r="AN241">
        <v>5300444674884.5156</v>
      </c>
      <c r="AO241">
        <v>5519008778938.8955</v>
      </c>
      <c r="AP241">
        <v>5814884058616.3252</v>
      </c>
      <c r="AQ241">
        <v>5971958552112.998</v>
      </c>
      <c r="AR241">
        <v>5998418064241.7158</v>
      </c>
      <c r="AS241">
        <v>6212071178625.5068</v>
      </c>
      <c r="AT241">
        <v>6229891777535.7275</v>
      </c>
      <c r="AU241">
        <v>6264588583954.3623</v>
      </c>
      <c r="AV241">
        <v>6428374956646.1885</v>
      </c>
      <c r="AW241">
        <v>6776710047213.9941</v>
      </c>
      <c r="AX241">
        <v>7053180434569.6738</v>
      </c>
      <c r="AY241">
        <v>7419071095632.1309</v>
      </c>
      <c r="AZ241">
        <v>7818114756223.0176</v>
      </c>
      <c r="BA241">
        <v>8117077065595.7354</v>
      </c>
      <c r="BB241">
        <v>7950855113715.4756</v>
      </c>
      <c r="BC241">
        <v>8476069824916.6299</v>
      </c>
      <c r="BD241">
        <v>8871539675973.6582</v>
      </c>
      <c r="BE241">
        <v>9115509766304.0762</v>
      </c>
      <c r="BF241">
        <v>9388235441948.8184</v>
      </c>
      <c r="BG241">
        <v>9540468131740.1387</v>
      </c>
      <c r="BH241">
        <v>9609500839186.9512</v>
      </c>
      <c r="BI241">
        <v>9618129131122.6855</v>
      </c>
      <c r="BJ241">
        <v>9813035869393.3535</v>
      </c>
      <c r="BK241">
        <v>9991634899868.0996</v>
      </c>
      <c r="BL241">
        <v>10069861905051.777</v>
      </c>
      <c r="BM241">
        <v>9417745765772.4883</v>
      </c>
      <c r="BN241">
        <v>10079703680901.105</v>
      </c>
      <c r="BO241" s="188">
        <v>10462180588629.541</v>
      </c>
    </row>
    <row r="242" spans="1:67">
      <c r="A242" t="s">
        <v>960</v>
      </c>
      <c r="B242" t="s">
        <v>961</v>
      </c>
      <c r="C242" t="s">
        <v>486</v>
      </c>
      <c r="D242" t="s">
        <v>487</v>
      </c>
      <c r="AS242">
        <v>2033236598.5656893</v>
      </c>
      <c r="AT242">
        <v>2365623858.3860793</v>
      </c>
      <c r="AU242">
        <v>2207110748.5206947</v>
      </c>
      <c r="AV242">
        <v>2158945582.3640814</v>
      </c>
      <c r="AW242">
        <v>2167581421.3412037</v>
      </c>
      <c r="AX242">
        <v>2232341179.3436136</v>
      </c>
      <c r="AY242">
        <v>2140381995.7910869</v>
      </c>
      <c r="AZ242">
        <v>2360036982.3502407</v>
      </c>
      <c r="BA242">
        <v>2628857991.8848047</v>
      </c>
      <c r="BB242">
        <v>2895537377.8141804</v>
      </c>
      <c r="BC242">
        <v>3165674468.8938327</v>
      </c>
      <c r="BD242">
        <v>3354223538.5040073</v>
      </c>
      <c r="BE242">
        <v>3517191791.9448433</v>
      </c>
      <c r="BF242">
        <v>3626326205.9172335</v>
      </c>
      <c r="BG242">
        <v>3788494066.9081993</v>
      </c>
      <c r="BH242">
        <v>3893178464.8955741</v>
      </c>
      <c r="BI242">
        <v>4024883799.4517179</v>
      </c>
      <c r="BJ242">
        <v>3901816989.7534003</v>
      </c>
      <c r="BK242">
        <v>3874884443.0768981</v>
      </c>
      <c r="BL242">
        <v>4786016731.0676327</v>
      </c>
      <c r="BM242">
        <v>6313449496.2615442</v>
      </c>
      <c r="BN242">
        <v>6647522024.1383715</v>
      </c>
      <c r="BO242" s="188">
        <v>5484791029.9626551</v>
      </c>
    </row>
    <row r="243" spans="1:67">
      <c r="A243" t="s">
        <v>962</v>
      </c>
      <c r="B243" t="s">
        <v>963</v>
      </c>
      <c r="C243" t="s">
        <v>486</v>
      </c>
      <c r="D243" t="s">
        <v>487</v>
      </c>
      <c r="AI243">
        <v>1583262069183.582</v>
      </c>
      <c r="AJ243">
        <v>1587839701673.9197</v>
      </c>
      <c r="AK243">
        <v>1660448635711.8748</v>
      </c>
      <c r="AL243">
        <v>1684637104235.637</v>
      </c>
      <c r="AM243">
        <v>1711435061239.2759</v>
      </c>
      <c r="AN243">
        <v>1759005201132.72</v>
      </c>
      <c r="AO243">
        <v>1871739106977.5217</v>
      </c>
      <c r="AP243">
        <v>1937137027520.4797</v>
      </c>
      <c r="AQ243">
        <v>2055654059270.4277</v>
      </c>
      <c r="AR243">
        <v>2150884217020.5247</v>
      </c>
      <c r="AS243">
        <v>2283472159978.543</v>
      </c>
      <c r="AT243">
        <v>2349770047019.0156</v>
      </c>
      <c r="AU243">
        <v>2433109909009.6235</v>
      </c>
      <c r="AV243">
        <v>2505147319836.0698</v>
      </c>
      <c r="AW243">
        <v>2682502135787.313</v>
      </c>
      <c r="AX243">
        <v>2799709186272.9287</v>
      </c>
      <c r="AY243">
        <v>2949489926654.7881</v>
      </c>
      <c r="AZ243">
        <v>3137758699831.2314</v>
      </c>
      <c r="BA243">
        <v>3251626039307.3906</v>
      </c>
      <c r="BB243">
        <v>3330770501909.7168</v>
      </c>
      <c r="BC243">
        <v>3500331184968.1289</v>
      </c>
      <c r="BD243">
        <v>3487212117637.7554</v>
      </c>
      <c r="BE243">
        <v>3623890450889.2622</v>
      </c>
      <c r="BF243">
        <v>3648420938626.123</v>
      </c>
      <c r="BG243">
        <v>3731352195440.9858</v>
      </c>
      <c r="BH243">
        <v>3806855928579.3008</v>
      </c>
      <c r="BI243">
        <v>4026643902222.6875</v>
      </c>
      <c r="BJ243">
        <v>4166392635926.9214</v>
      </c>
      <c r="BK243">
        <v>4239705080470.562</v>
      </c>
      <c r="BL243">
        <v>4286913605869.1016</v>
      </c>
      <c r="BM243">
        <v>4191949360701.1816</v>
      </c>
      <c r="BN243">
        <v>4377739316353.0156</v>
      </c>
      <c r="BO243" s="188">
        <v>4558671476892.3867</v>
      </c>
    </row>
    <row r="244" spans="1:67">
      <c r="A244" t="s">
        <v>964</v>
      </c>
      <c r="B244" t="s">
        <v>965</v>
      </c>
      <c r="C244" t="s">
        <v>486</v>
      </c>
      <c r="D244" t="s">
        <v>487</v>
      </c>
      <c r="AI244">
        <v>357934703.10533321</v>
      </c>
      <c r="AJ244">
        <v>380896026.66038454</v>
      </c>
      <c r="AK244">
        <v>381855791.95321894</v>
      </c>
      <c r="AL244">
        <v>396129772.93923479</v>
      </c>
      <c r="AM244">
        <v>415748184.40313691</v>
      </c>
      <c r="AN244">
        <v>446424313.13571817</v>
      </c>
      <c r="AO244">
        <v>454484643.46946883</v>
      </c>
      <c r="AP244">
        <v>460045034.1010372</v>
      </c>
      <c r="AQ244">
        <v>471356433.25492388</v>
      </c>
      <c r="AR244">
        <v>488847909.4237386</v>
      </c>
      <c r="AS244">
        <v>493130168.5335151</v>
      </c>
      <c r="AT244">
        <v>511617252.12151062</v>
      </c>
      <c r="AU244">
        <v>536420522.0649901</v>
      </c>
      <c r="AV244">
        <v>548801351.75181627</v>
      </c>
      <c r="AW244">
        <v>535571394.22183615</v>
      </c>
      <c r="AX244">
        <v>536005388.57629448</v>
      </c>
      <c r="AY244">
        <v>535208695.23624045</v>
      </c>
      <c r="AZ244">
        <v>536659620.80656672</v>
      </c>
      <c r="BA244">
        <v>562151863.26914597</v>
      </c>
      <c r="BB244">
        <v>532924974.94362694</v>
      </c>
      <c r="BC244">
        <v>537206974.79751658</v>
      </c>
      <c r="BD244">
        <v>573835229.80658054</v>
      </c>
      <c r="BE244">
        <v>578558483.17975819</v>
      </c>
      <c r="BF244">
        <v>580365367.08262408</v>
      </c>
      <c r="BG244">
        <v>592081205.41987705</v>
      </c>
      <c r="BH244">
        <v>599019735.53155994</v>
      </c>
      <c r="BI244">
        <v>638381325.35487378</v>
      </c>
      <c r="BJ244">
        <v>659591114.26576161</v>
      </c>
      <c r="BK244">
        <v>661182232.45686042</v>
      </c>
      <c r="BL244">
        <v>665853375.3967967</v>
      </c>
      <c r="BM244">
        <v>669107036.77580035</v>
      </c>
      <c r="BN244">
        <v>651258565.25089908</v>
      </c>
    </row>
    <row r="245" spans="1:67">
      <c r="A245" t="s">
        <v>966</v>
      </c>
      <c r="B245" t="s">
        <v>967</v>
      </c>
      <c r="C245" t="s">
        <v>486</v>
      </c>
      <c r="D245" t="s">
        <v>487</v>
      </c>
      <c r="AI245">
        <v>2240676600023.9663</v>
      </c>
      <c r="AJ245">
        <v>2287243560440.6675</v>
      </c>
      <c r="AK245">
        <v>2419623772646.8784</v>
      </c>
      <c r="AL245">
        <v>2523728808042.1099</v>
      </c>
      <c r="AM245">
        <v>2673550520541.042</v>
      </c>
      <c r="AN245">
        <v>2856139753509.5166</v>
      </c>
      <c r="AO245">
        <v>3048342656285.3477</v>
      </c>
      <c r="AP245">
        <v>3161466532066.0532</v>
      </c>
      <c r="AQ245">
        <v>3334413322333.5928</v>
      </c>
      <c r="AR245">
        <v>3586187460926.8354</v>
      </c>
      <c r="AS245">
        <v>3733572197924.6377</v>
      </c>
      <c r="AT245">
        <v>3900112688521.8501</v>
      </c>
      <c r="AU245">
        <v>4040106858947.1299</v>
      </c>
      <c r="AV245">
        <v>4332377912147.3945</v>
      </c>
      <c r="AW245">
        <v>4657545768695.9141</v>
      </c>
      <c r="AX245">
        <v>5008118299570.5098</v>
      </c>
      <c r="AY245">
        <v>5388630222080.291</v>
      </c>
      <c r="AZ245">
        <v>5777670917104.1494</v>
      </c>
      <c r="BA245">
        <v>5965540077955.834</v>
      </c>
      <c r="BB245">
        <v>6378758613830.1816</v>
      </c>
      <c r="BC245">
        <v>6852941153500.5293</v>
      </c>
      <c r="BD245">
        <v>7201450008907.2451</v>
      </c>
      <c r="BE245">
        <v>7594280318396.1865</v>
      </c>
      <c r="BF245">
        <v>8052184785929.9678</v>
      </c>
      <c r="BG245">
        <v>8609851156003.0703</v>
      </c>
      <c r="BH245">
        <v>9241068906590.332</v>
      </c>
      <c r="BI245">
        <v>9950188506338.8477</v>
      </c>
      <c r="BJ245">
        <v>10598791966661.766</v>
      </c>
      <c r="BK245">
        <v>11271403637715.813</v>
      </c>
      <c r="BL245">
        <v>11717235560985.521</v>
      </c>
      <c r="BM245">
        <v>11177431230220.754</v>
      </c>
      <c r="BN245">
        <v>12098783826244.447</v>
      </c>
      <c r="BO245" s="188">
        <v>12892232946614.568</v>
      </c>
    </row>
    <row r="246" spans="1:67">
      <c r="A246" t="s">
        <v>968</v>
      </c>
      <c r="B246" t="s">
        <v>969</v>
      </c>
      <c r="C246" t="s">
        <v>486</v>
      </c>
      <c r="D246" t="s">
        <v>487</v>
      </c>
      <c r="AI246">
        <v>1515299284294.1931</v>
      </c>
      <c r="AJ246">
        <v>1522813796552.7876</v>
      </c>
      <c r="AK246">
        <v>1519206396841.5649</v>
      </c>
      <c r="AL246">
        <v>1508591699805.1079</v>
      </c>
      <c r="AM246">
        <v>1524338998015.77</v>
      </c>
      <c r="AN246">
        <v>1578857003823.9346</v>
      </c>
      <c r="AO246">
        <v>1660483595880.9319</v>
      </c>
      <c r="AP246">
        <v>1732293908487.0166</v>
      </c>
      <c r="AQ246">
        <v>1775878593408.9607</v>
      </c>
      <c r="AR246">
        <v>1817390891124.3896</v>
      </c>
      <c r="AS246">
        <v>1880899928009.7878</v>
      </c>
      <c r="AT246">
        <v>1961325843112.2061</v>
      </c>
      <c r="AU246">
        <v>2079984349498.7488</v>
      </c>
      <c r="AV246">
        <v>2166780414648.9504</v>
      </c>
      <c r="AW246">
        <v>2309601689808.8164</v>
      </c>
      <c r="AX246">
        <v>2450603524554.7344</v>
      </c>
      <c r="AY246">
        <v>2601868218173.7344</v>
      </c>
      <c r="AZ246">
        <v>2763848971707.1719</v>
      </c>
      <c r="BA246">
        <v>2909152437467.2896</v>
      </c>
      <c r="BB246">
        <v>2992490426965.9004</v>
      </c>
      <c r="BC246">
        <v>3168512988829.6616</v>
      </c>
      <c r="BD246">
        <v>3308288104859.6533</v>
      </c>
      <c r="BE246">
        <v>3426287923574.5757</v>
      </c>
      <c r="BF246">
        <v>3597856511907.6182</v>
      </c>
      <c r="BG246">
        <v>3774481127111.6621</v>
      </c>
      <c r="BH246">
        <v>3888914828751.3022</v>
      </c>
      <c r="BI246">
        <v>3953145891720.814</v>
      </c>
      <c r="BJ246">
        <v>4059781357000.3364</v>
      </c>
      <c r="BK246">
        <v>4175786782851.4302</v>
      </c>
      <c r="BL246">
        <v>4291867110154.4468</v>
      </c>
      <c r="BM246">
        <v>4210521430935.3013</v>
      </c>
      <c r="BN246">
        <v>4391776107273.623</v>
      </c>
      <c r="BO246" s="188">
        <v>4552555143483.7715</v>
      </c>
    </row>
    <row r="247" spans="1:67">
      <c r="A247" t="s">
        <v>970</v>
      </c>
      <c r="B247" t="s">
        <v>971</v>
      </c>
      <c r="C247" t="s">
        <v>486</v>
      </c>
      <c r="D247" t="s">
        <v>487</v>
      </c>
      <c r="AI247">
        <v>12369850660.339867</v>
      </c>
      <c r="AJ247">
        <v>12754850865.274542</v>
      </c>
      <c r="AK247">
        <v>14042195350.016451</v>
      </c>
      <c r="AL247">
        <v>13948236947.394424</v>
      </c>
      <c r="AM247">
        <v>14445795750.635628</v>
      </c>
      <c r="AN247">
        <v>14996168021.643589</v>
      </c>
      <c r="AO247">
        <v>16066066249.732601</v>
      </c>
      <c r="AP247">
        <v>17274693057.861042</v>
      </c>
      <c r="AQ247">
        <v>18678186550.553818</v>
      </c>
      <c r="AR247">
        <v>20177076960.348618</v>
      </c>
      <c r="AS247">
        <v>21569569596.280216</v>
      </c>
      <c r="AT247">
        <v>22468702277.683899</v>
      </c>
      <c r="AU247">
        <v>24251977947.934471</v>
      </c>
      <c r="AV247">
        <v>27754203546.389835</v>
      </c>
      <c r="AW247">
        <v>29960677024.712273</v>
      </c>
      <c r="AX247">
        <v>31820916849.466797</v>
      </c>
      <c r="AY247">
        <v>36023842195.647896</v>
      </c>
      <c r="AZ247">
        <v>37736491195.960098</v>
      </c>
      <c r="BA247">
        <v>39016413759.817566</v>
      </c>
      <c r="BB247">
        <v>37302918505.417107</v>
      </c>
      <c r="BC247">
        <v>38542578310.842392</v>
      </c>
      <c r="BD247">
        <v>38429126532.225281</v>
      </c>
      <c r="BE247">
        <v>40969337813.284554</v>
      </c>
      <c r="BF247">
        <v>42544117761.75885</v>
      </c>
      <c r="BG247">
        <v>43957835140.947609</v>
      </c>
      <c r="BH247">
        <v>43625680082.392265</v>
      </c>
      <c r="BI247">
        <v>40674647471.048828</v>
      </c>
      <c r="BJ247">
        <v>38760092277.219948</v>
      </c>
      <c r="BK247">
        <v>38422504323.803635</v>
      </c>
      <c r="BL247">
        <v>38464920495.817741</v>
      </c>
      <c r="BM247">
        <v>35511456513.309975</v>
      </c>
      <c r="BN247">
        <v>35146917152.727249</v>
      </c>
      <c r="BO247" s="188">
        <v>36018895203.814499</v>
      </c>
    </row>
    <row r="248" spans="1:67">
      <c r="A248" t="s">
        <v>972</v>
      </c>
      <c r="B248" t="s">
        <v>973</v>
      </c>
      <c r="C248" t="s">
        <v>486</v>
      </c>
      <c r="D248" t="s">
        <v>487</v>
      </c>
      <c r="AI248">
        <v>47772969662.420425</v>
      </c>
      <c r="AJ248">
        <v>49638286905.54113</v>
      </c>
      <c r="AK248">
        <v>53512917000.686234</v>
      </c>
      <c r="AL248">
        <v>54684758301.775459</v>
      </c>
      <c r="AM248">
        <v>56422864851.099052</v>
      </c>
      <c r="AN248">
        <v>57749744352.796883</v>
      </c>
      <c r="AO248">
        <v>61876587842.957169</v>
      </c>
      <c r="AP248">
        <v>65243258027.8853</v>
      </c>
      <c r="AQ248">
        <v>68364340525.015442</v>
      </c>
      <c r="AR248">
        <v>72503551457.771393</v>
      </c>
      <c r="AS248">
        <v>75918449092.979019</v>
      </c>
      <c r="AT248">
        <v>78800519662.144745</v>
      </c>
      <c r="AU248">
        <v>79842701567.825699</v>
      </c>
      <c r="AV248">
        <v>83597224393.367874</v>
      </c>
      <c r="AW248">
        <v>88810172356.128342</v>
      </c>
      <c r="AX248">
        <v>91906579462.180542</v>
      </c>
      <c r="AY248">
        <v>96726252241.784866</v>
      </c>
      <c r="AZ248">
        <v>103216120423.82959</v>
      </c>
      <c r="BA248">
        <v>107590194054.39342</v>
      </c>
      <c r="BB248">
        <v>110864647948.44762</v>
      </c>
      <c r="BC248">
        <v>114158583812.55353</v>
      </c>
      <c r="BD248">
        <v>111822175541.78693</v>
      </c>
      <c r="BE248">
        <v>116537355627.75102</v>
      </c>
      <c r="BF248">
        <v>119369132917.3176</v>
      </c>
      <c r="BG248">
        <v>123058030691.87427</v>
      </c>
      <c r="BH248">
        <v>124248867079.79399</v>
      </c>
      <c r="BI248">
        <v>125637256161.77119</v>
      </c>
      <c r="BJ248">
        <v>128448815276.22212</v>
      </c>
      <c r="BK248">
        <v>131820376153.99007</v>
      </c>
      <c r="BL248">
        <v>133913700608.98318</v>
      </c>
      <c r="BM248">
        <v>122105352837.2874</v>
      </c>
      <c r="BN248">
        <v>127484535654.44344</v>
      </c>
      <c r="BO248" s="188">
        <v>130699391527.91821</v>
      </c>
    </row>
    <row r="249" spans="1:67">
      <c r="A249" t="s">
        <v>974</v>
      </c>
      <c r="B249" t="s">
        <v>975</v>
      </c>
      <c r="C249" t="s">
        <v>486</v>
      </c>
      <c r="D249" t="s">
        <v>487</v>
      </c>
      <c r="AI249">
        <v>681003078590.50891</v>
      </c>
      <c r="AJ249">
        <v>685908200997.45544</v>
      </c>
      <c r="AK249">
        <v>720448034016.13049</v>
      </c>
      <c r="AL249">
        <v>775571423748.61292</v>
      </c>
      <c r="AM249">
        <v>739366606775.35522</v>
      </c>
      <c r="AN249">
        <v>797615881250.54736</v>
      </c>
      <c r="AO249">
        <v>856477257076.23669</v>
      </c>
      <c r="AP249">
        <v>921378222805.48291</v>
      </c>
      <c r="AQ249">
        <v>943529539715.79944</v>
      </c>
      <c r="AR249">
        <v>912740581874.78943</v>
      </c>
      <c r="AS249">
        <v>976023074296.95544</v>
      </c>
      <c r="AT249">
        <v>919901683550.05664</v>
      </c>
      <c r="AU249">
        <v>979214387209.34448</v>
      </c>
      <c r="AV249">
        <v>1035648530177.496</v>
      </c>
      <c r="AW249">
        <v>1137100001409.3975</v>
      </c>
      <c r="AX249">
        <v>1239351500966.406</v>
      </c>
      <c r="AY249">
        <v>1325461495593.7429</v>
      </c>
      <c r="AZ249">
        <v>1392311251253.9336</v>
      </c>
      <c r="BA249">
        <v>1403658930084.4041</v>
      </c>
      <c r="BB249">
        <v>1335958298911.1523</v>
      </c>
      <c r="BC249">
        <v>1448540898468.9905</v>
      </c>
      <c r="BD249">
        <v>1610779080942.5742</v>
      </c>
      <c r="BE249">
        <v>1687911119825.1123</v>
      </c>
      <c r="BF249">
        <v>1831144168517.5562</v>
      </c>
      <c r="BG249">
        <v>1921597474636.2834</v>
      </c>
      <c r="BH249">
        <v>2038516821336.5132</v>
      </c>
      <c r="BI249">
        <v>2106258451913.0959</v>
      </c>
      <c r="BJ249">
        <v>2264269908091.1504</v>
      </c>
      <c r="BK249">
        <v>2331742553286.6372</v>
      </c>
      <c r="BL249">
        <v>2350014325734.2637</v>
      </c>
      <c r="BM249">
        <v>2395605361427.1475</v>
      </c>
      <c r="BN249">
        <v>2667590330088.4824</v>
      </c>
      <c r="BO249" s="188">
        <v>2816064674295.6509</v>
      </c>
    </row>
    <row r="250" spans="1:67">
      <c r="A250" t="s">
        <v>976</v>
      </c>
      <c r="B250" t="s">
        <v>977</v>
      </c>
      <c r="C250" t="s">
        <v>486</v>
      </c>
      <c r="D250" t="s">
        <v>487</v>
      </c>
      <c r="AI250">
        <v>24821643.441504933</v>
      </c>
      <c r="AJ250">
        <v>25717502.057888672</v>
      </c>
      <c r="AK250">
        <v>26434708.896046463</v>
      </c>
      <c r="AL250">
        <v>27521393.192300919</v>
      </c>
      <c r="AM250">
        <v>30351521.759015858</v>
      </c>
      <c r="AN250">
        <v>28832594.411804769</v>
      </c>
      <c r="AO250">
        <v>27113776.641472775</v>
      </c>
      <c r="AP250">
        <v>29826049.814715639</v>
      </c>
      <c r="AQ250">
        <v>34449435.345332794</v>
      </c>
      <c r="AR250">
        <v>33910690.676937342</v>
      </c>
      <c r="AS250">
        <v>33581591.084311098</v>
      </c>
      <c r="AT250">
        <v>33581591.084311098</v>
      </c>
      <c r="AU250">
        <v>36779837.854245484</v>
      </c>
      <c r="AV250">
        <v>35180714.469278291</v>
      </c>
      <c r="AW250">
        <v>34381152.776794694</v>
      </c>
      <c r="AX250">
        <v>32782029.391827498</v>
      </c>
      <c r="AY250">
        <v>33581591.084311098</v>
      </c>
      <c r="AZ250">
        <v>35980276.161761887</v>
      </c>
      <c r="BA250">
        <v>38378961.239212684</v>
      </c>
      <c r="BB250">
        <v>35980276.161761887</v>
      </c>
      <c r="BC250">
        <v>35180714.469278291</v>
      </c>
      <c r="BD250">
        <v>37579399.54672908</v>
      </c>
      <c r="BE250">
        <v>36779837.854245484</v>
      </c>
      <c r="BF250">
        <v>38378961.239212684</v>
      </c>
      <c r="BG250">
        <v>38378961.239212684</v>
      </c>
      <c r="BH250">
        <v>42376769.701630667</v>
      </c>
      <c r="BI250">
        <v>44775454.779081464</v>
      </c>
      <c r="BJ250">
        <v>45871771.932355925</v>
      </c>
      <c r="BK250">
        <v>46508128.426569395</v>
      </c>
      <c r="BL250">
        <v>52936474.696576223</v>
      </c>
      <c r="BM250">
        <v>50673529.508769996</v>
      </c>
      <c r="BN250">
        <v>51587711.594752803</v>
      </c>
      <c r="BO250" s="188">
        <v>51937133.029095352</v>
      </c>
    </row>
    <row r="251" spans="1:67">
      <c r="A251" t="s">
        <v>978</v>
      </c>
      <c r="B251" t="s">
        <v>979</v>
      </c>
      <c r="C251" t="s">
        <v>486</v>
      </c>
      <c r="D251" t="s">
        <v>487</v>
      </c>
      <c r="AI251">
        <v>34091922970.875713</v>
      </c>
      <c r="AJ251">
        <v>34798303596.049797</v>
      </c>
      <c r="AK251">
        <v>35001637786.247009</v>
      </c>
      <c r="AL251">
        <v>35423687817.624725</v>
      </c>
      <c r="AM251">
        <v>35979011427.516212</v>
      </c>
      <c r="AN251">
        <v>37263430426.615585</v>
      </c>
      <c r="AO251">
        <v>38956817388.162254</v>
      </c>
      <c r="AP251">
        <v>40330153575.592056</v>
      </c>
      <c r="AQ251">
        <v>41825801997.658638</v>
      </c>
      <c r="AR251">
        <v>43860152021.332153</v>
      </c>
      <c r="AS251">
        <v>45842975034.748955</v>
      </c>
      <c r="AT251">
        <v>48626014162.843475</v>
      </c>
      <c r="AU251">
        <v>52075152160.136215</v>
      </c>
      <c r="AV251">
        <v>55550017616.957352</v>
      </c>
      <c r="AW251">
        <v>59718387982.796242</v>
      </c>
      <c r="AX251">
        <v>64183125324.01545</v>
      </c>
      <c r="AY251">
        <v>68375709165.394936</v>
      </c>
      <c r="AZ251">
        <v>73003743109.739594</v>
      </c>
      <c r="BA251">
        <v>77155040266.190765</v>
      </c>
      <c r="BB251">
        <v>81220420541.890259</v>
      </c>
      <c r="BC251">
        <v>86366971517.420807</v>
      </c>
      <c r="BD251">
        <v>92993179816.734207</v>
      </c>
      <c r="BE251">
        <v>97178015708.647949</v>
      </c>
      <c r="BF251">
        <v>103768226028.94608</v>
      </c>
      <c r="BG251">
        <v>110754382277.782</v>
      </c>
      <c r="BH251">
        <v>117577548620.92702</v>
      </c>
      <c r="BI251">
        <v>125651735505.65828</v>
      </c>
      <c r="BJ251">
        <v>134162009400.53944</v>
      </c>
      <c r="BK251">
        <v>141484012289.16458</v>
      </c>
      <c r="BL251">
        <v>149690085001.8898</v>
      </c>
      <c r="BM251">
        <v>152671858514.5351</v>
      </c>
      <c r="BN251">
        <v>159269396230.96887</v>
      </c>
      <c r="BO251" s="188">
        <v>166528938853.17712</v>
      </c>
    </row>
    <row r="252" spans="1:67">
      <c r="A252" t="s">
        <v>980</v>
      </c>
      <c r="B252" t="s">
        <v>981</v>
      </c>
      <c r="C252" t="s">
        <v>486</v>
      </c>
      <c r="D252" t="s">
        <v>487</v>
      </c>
      <c r="AI252">
        <v>15857175042.111193</v>
      </c>
      <c r="AJ252">
        <v>16737897686.929321</v>
      </c>
      <c r="AK252">
        <v>17310058765.979324</v>
      </c>
      <c r="AL252">
        <v>18751344894.303371</v>
      </c>
      <c r="AM252">
        <v>19952112718.265656</v>
      </c>
      <c r="AN252">
        <v>22251243311.761173</v>
      </c>
      <c r="AO252">
        <v>24269901600.856506</v>
      </c>
      <c r="AP252">
        <v>25507667034.749439</v>
      </c>
      <c r="AQ252">
        <v>26758885821.635338</v>
      </c>
      <c r="AR252">
        <v>28914032671.811531</v>
      </c>
      <c r="AS252">
        <v>29822484786.184032</v>
      </c>
      <c r="AT252">
        <v>31368381336.9352</v>
      </c>
      <c r="AU252">
        <v>34107683508.304573</v>
      </c>
      <c r="AV252">
        <v>36315562088.63649</v>
      </c>
      <c r="AW252">
        <v>38787647140.303574</v>
      </c>
      <c r="AX252">
        <v>41243900152.512444</v>
      </c>
      <c r="AY252">
        <v>45691949358.900558</v>
      </c>
      <c r="AZ252">
        <v>49535750770.890236</v>
      </c>
      <c r="BA252">
        <v>53849696407.988602</v>
      </c>
      <c r="BB252">
        <v>57512292851.017632</v>
      </c>
      <c r="BC252">
        <v>60754612566.097534</v>
      </c>
      <c r="BD252">
        <v>66460476474.297272</v>
      </c>
      <c r="BE252">
        <v>69010867754.47847</v>
      </c>
      <c r="BF252">
        <v>71486222590.766144</v>
      </c>
      <c r="BG252">
        <v>75136528810.84433</v>
      </c>
      <c r="BH252">
        <v>79034506631.068558</v>
      </c>
      <c r="BI252">
        <v>82813146623.456558</v>
      </c>
      <c r="BJ252">
        <v>85406362066.351395</v>
      </c>
      <c r="BK252">
        <v>90790314035.040115</v>
      </c>
      <c r="BL252">
        <v>96636070871.004669</v>
      </c>
      <c r="BM252">
        <v>99488097436.196823</v>
      </c>
      <c r="BN252">
        <v>103006573931.47076</v>
      </c>
      <c r="BO252" s="188">
        <v>107796517351.63412</v>
      </c>
    </row>
    <row r="253" spans="1:67">
      <c r="A253" t="s">
        <v>982</v>
      </c>
      <c r="B253" t="s">
        <v>983</v>
      </c>
      <c r="C253" t="s">
        <v>486</v>
      </c>
      <c r="D253" t="s">
        <v>487</v>
      </c>
      <c r="AI253">
        <v>852496847469.32617</v>
      </c>
      <c r="AJ253">
        <v>778329621741.86816</v>
      </c>
      <c r="AK253">
        <v>701274989173.53223</v>
      </c>
      <c r="AL253">
        <v>601693940715.34839</v>
      </c>
      <c r="AM253">
        <v>463906028296.17706</v>
      </c>
      <c r="AN253">
        <v>407309492840.61761</v>
      </c>
      <c r="AO253">
        <v>366578543556.55585</v>
      </c>
      <c r="AP253">
        <v>355581187255.63776</v>
      </c>
      <c r="AQ253">
        <v>348825144690.16528</v>
      </c>
      <c r="AR253">
        <v>348127494400.41351</v>
      </c>
      <c r="AS253">
        <v>368667016570.90466</v>
      </c>
      <c r="AT253">
        <v>401109714042.68256</v>
      </c>
      <c r="AU253">
        <v>422527557686.3335</v>
      </c>
      <c r="AV253">
        <v>462737856920.76599</v>
      </c>
      <c r="AW253">
        <v>517319418425.6084</v>
      </c>
      <c r="AX253">
        <v>533207489630.35211</v>
      </c>
      <c r="AY253">
        <v>573578872211.32031</v>
      </c>
      <c r="AZ253">
        <v>620703220159.77161</v>
      </c>
      <c r="BA253">
        <v>634628644741.91345</v>
      </c>
      <c r="BB253">
        <v>538568283581.93286</v>
      </c>
      <c r="BC253">
        <v>560606521263.6637</v>
      </c>
      <c r="BD253">
        <v>591133120588.36023</v>
      </c>
      <c r="BE253">
        <v>592033504807.09656</v>
      </c>
      <c r="BF253">
        <v>592302519470.77429</v>
      </c>
      <c r="BG253">
        <v>532604970545.16455</v>
      </c>
      <c r="BH253">
        <v>480553554878.68823</v>
      </c>
      <c r="BI253">
        <v>492283780388.95148</v>
      </c>
      <c r="BJ253">
        <v>503901541149.9646</v>
      </c>
      <c r="BK253">
        <v>521479452743.26129</v>
      </c>
      <c r="BL253">
        <v>538164207981.35626</v>
      </c>
      <c r="BM253">
        <v>517967959519.77124</v>
      </c>
      <c r="BN253">
        <v>535815196043.2312</v>
      </c>
      <c r="BO253" s="188">
        <v>379892973994.65094</v>
      </c>
    </row>
    <row r="254" spans="1:67">
      <c r="A254" t="s">
        <v>984</v>
      </c>
      <c r="B254" t="s">
        <v>985</v>
      </c>
      <c r="C254" t="s">
        <v>486</v>
      </c>
      <c r="D254" t="s">
        <v>487</v>
      </c>
      <c r="AI254">
        <v>12318664637008.115</v>
      </c>
      <c r="AJ254">
        <v>12407812583264.955</v>
      </c>
      <c r="AK254">
        <v>12406589135322.76</v>
      </c>
      <c r="AL254">
        <v>12832541683069.297</v>
      </c>
      <c r="AM254">
        <v>13170145107312.404</v>
      </c>
      <c r="AN254">
        <v>13603904123317.826</v>
      </c>
      <c r="AO254">
        <v>14276904213504.973</v>
      </c>
      <c r="AP254">
        <v>15034873282242.092</v>
      </c>
      <c r="AQ254">
        <v>15179462647752.629</v>
      </c>
      <c r="AR254">
        <v>15677334070001.633</v>
      </c>
      <c r="AS254">
        <v>16673716054081.684</v>
      </c>
      <c r="AT254">
        <v>17227383917006.375</v>
      </c>
      <c r="AU254">
        <v>18009622008400.832</v>
      </c>
      <c r="AV254">
        <v>19038648517466.406</v>
      </c>
      <c r="AW254">
        <v>20515374188638.262</v>
      </c>
      <c r="AX254">
        <v>22007740445197.621</v>
      </c>
      <c r="AY254">
        <v>23832537594965.355</v>
      </c>
      <c r="AZ254">
        <v>25956330815988.367</v>
      </c>
      <c r="BA254">
        <v>27521452039899.871</v>
      </c>
      <c r="BB254">
        <v>28000914236756.465</v>
      </c>
      <c r="BC254">
        <v>30207903034475.977</v>
      </c>
      <c r="BD254">
        <v>32157957298843.082</v>
      </c>
      <c r="BE254">
        <v>34013439365704.965</v>
      </c>
      <c r="BF254">
        <v>35791455368244.227</v>
      </c>
      <c r="BG254">
        <v>37348617410107.055</v>
      </c>
      <c r="BH254">
        <v>38818387003792.813</v>
      </c>
      <c r="BI254">
        <v>40355321487665.047</v>
      </c>
      <c r="BJ254">
        <v>42364792145182.734</v>
      </c>
      <c r="BK254">
        <v>44360399100007.031</v>
      </c>
      <c r="BL254">
        <v>46080059818594.203</v>
      </c>
      <c r="BM254">
        <v>45565296276065.633</v>
      </c>
      <c r="BN254">
        <v>48879806923213.086</v>
      </c>
      <c r="BO254" s="188">
        <v>50384678329252.109</v>
      </c>
    </row>
    <row r="255" spans="1:67">
      <c r="A255" t="s">
        <v>986</v>
      </c>
      <c r="B255" t="s">
        <v>987</v>
      </c>
      <c r="C255" t="s">
        <v>486</v>
      </c>
      <c r="D255" t="s">
        <v>487</v>
      </c>
      <c r="AI255">
        <v>34638532725.916634</v>
      </c>
      <c r="AJ255">
        <v>35864324067.859917</v>
      </c>
      <c r="AK255">
        <v>38708934640.369362</v>
      </c>
      <c r="AL255">
        <v>39737642425.960045</v>
      </c>
      <c r="AM255">
        <v>42631076329.681953</v>
      </c>
      <c r="AN255">
        <v>42013949308.283714</v>
      </c>
      <c r="AO255">
        <v>44357469655.628777</v>
      </c>
      <c r="AP255">
        <v>48149005637.823067</v>
      </c>
      <c r="AQ255">
        <v>50324806285.293953</v>
      </c>
      <c r="AR255">
        <v>49559393197.389946</v>
      </c>
      <c r="AS255">
        <v>48602931285.309402</v>
      </c>
      <c r="AT255">
        <v>46734571442.622414</v>
      </c>
      <c r="AU255">
        <v>43121051006.592369</v>
      </c>
      <c r="AV255">
        <v>43468297894.71283</v>
      </c>
      <c r="AW255">
        <v>45643521225.233536</v>
      </c>
      <c r="AX255">
        <v>49048588217.533432</v>
      </c>
      <c r="AY255">
        <v>51058882546.896645</v>
      </c>
      <c r="AZ255">
        <v>54398904886.062302</v>
      </c>
      <c r="BA255">
        <v>58302648996.617668</v>
      </c>
      <c r="BB255">
        <v>60776718522.101303</v>
      </c>
      <c r="BC255">
        <v>65519374840.644005</v>
      </c>
      <c r="BD255">
        <v>68901572126.827988</v>
      </c>
      <c r="BE255">
        <v>71339432889.956711</v>
      </c>
      <c r="BF255">
        <v>74647826647.955231</v>
      </c>
      <c r="BG255">
        <v>77065513910.459213</v>
      </c>
      <c r="BH255">
        <v>77351227565.969437</v>
      </c>
      <c r="BI255">
        <v>78658307185.602112</v>
      </c>
      <c r="BJ255">
        <v>80027257873.356674</v>
      </c>
      <c r="BK255">
        <v>80152100396.549744</v>
      </c>
      <c r="BL255">
        <v>80748777996.01593</v>
      </c>
      <c r="BM255">
        <v>75691500748.602036</v>
      </c>
      <c r="BN255">
        <v>79685407343.266113</v>
      </c>
      <c r="BO255" s="188">
        <v>83607423058.246429</v>
      </c>
    </row>
    <row r="256" spans="1:67">
      <c r="A256" t="s">
        <v>988</v>
      </c>
      <c r="B256" t="s">
        <v>989</v>
      </c>
      <c r="C256" t="s">
        <v>486</v>
      </c>
      <c r="D256" t="s">
        <v>487</v>
      </c>
      <c r="AI256">
        <v>10097624386310.635</v>
      </c>
      <c r="AJ256">
        <v>10086692214387.418</v>
      </c>
      <c r="AK256">
        <v>10441989948821.607</v>
      </c>
      <c r="AL256">
        <v>10729330649577.102</v>
      </c>
      <c r="AM256">
        <v>11161593199621.689</v>
      </c>
      <c r="AN256">
        <v>11461194612125.004</v>
      </c>
      <c r="AO256">
        <v>11893575685859.824</v>
      </c>
      <c r="AP256">
        <v>12422503803855.162</v>
      </c>
      <c r="AQ256">
        <v>12979205197580.605</v>
      </c>
      <c r="AR256">
        <v>13601493066785.027</v>
      </c>
      <c r="AS256">
        <v>14156047630699.59</v>
      </c>
      <c r="AT256">
        <v>14291144275693.76</v>
      </c>
      <c r="AU256">
        <v>14533513925617.32</v>
      </c>
      <c r="AV256">
        <v>14939901364652.82</v>
      </c>
      <c r="AW256">
        <v>15515468923210.326</v>
      </c>
      <c r="AX256">
        <v>16055906889526.064</v>
      </c>
      <c r="AY256">
        <v>16502712372523.299</v>
      </c>
      <c r="AZ256">
        <v>16834500650997.197</v>
      </c>
      <c r="BA256">
        <v>16855070465225.207</v>
      </c>
      <c r="BB256">
        <v>16416857451632.553</v>
      </c>
      <c r="BC256">
        <v>16861566593687.846</v>
      </c>
      <c r="BD256">
        <v>17122903162843.045</v>
      </c>
      <c r="BE256">
        <v>17513423092584.549</v>
      </c>
      <c r="BF256">
        <v>17835998523381.84</v>
      </c>
      <c r="BG256">
        <v>18244046204930.383</v>
      </c>
      <c r="BH256">
        <v>18737797521903.59</v>
      </c>
      <c r="BI256">
        <v>19050245063231.605</v>
      </c>
      <c r="BJ256">
        <v>19477336548999.898</v>
      </c>
      <c r="BK256">
        <v>20051019065249.121</v>
      </c>
      <c r="BL256">
        <v>20511077482157.891</v>
      </c>
      <c r="BM256">
        <v>19943371364490.344</v>
      </c>
      <c r="BN256">
        <v>21129101469839.973</v>
      </c>
      <c r="BO256" s="188">
        <v>21564697571746.102</v>
      </c>
    </row>
    <row r="257" spans="1:67">
      <c r="A257" t="s">
        <v>990</v>
      </c>
      <c r="B257" t="s">
        <v>991</v>
      </c>
      <c r="C257" t="s">
        <v>486</v>
      </c>
      <c r="D257" t="s">
        <v>487</v>
      </c>
      <c r="AI257">
        <v>74633363994.724991</v>
      </c>
      <c r="AJ257">
        <v>74266167840.555313</v>
      </c>
      <c r="AK257">
        <v>65948357044.287399</v>
      </c>
      <c r="AL257">
        <v>64431544828.665077</v>
      </c>
      <c r="AM257">
        <v>61081104502.560616</v>
      </c>
      <c r="AN257">
        <v>60531374558.344757</v>
      </c>
      <c r="AO257">
        <v>61560407928.051659</v>
      </c>
      <c r="AP257">
        <v>64761549138.544342</v>
      </c>
      <c r="AQ257">
        <v>67546295751.629196</v>
      </c>
      <c r="AR257">
        <v>70450786470.878021</v>
      </c>
      <c r="AS257">
        <v>73152574131.569794</v>
      </c>
      <c r="AT257">
        <v>76198528994.104111</v>
      </c>
      <c r="AU257">
        <v>79226268546.427628</v>
      </c>
      <c r="AV257">
        <v>82579621282.291443</v>
      </c>
      <c r="AW257">
        <v>88730977771.336884</v>
      </c>
      <c r="AX257">
        <v>94897787112.160477</v>
      </c>
      <c r="AY257">
        <v>101969018354.14581</v>
      </c>
      <c r="AZ257">
        <v>111628548872.1729</v>
      </c>
      <c r="BA257">
        <v>121707670291.02745</v>
      </c>
      <c r="BB257">
        <v>131506273681.5641</v>
      </c>
      <c r="BC257">
        <v>141497026172.21411</v>
      </c>
      <c r="BD257">
        <v>152144875337.84811</v>
      </c>
      <c r="BE257">
        <v>162950881257.21945</v>
      </c>
      <c r="BF257">
        <v>174840674385.92511</v>
      </c>
      <c r="BG257">
        <v>186858939872.0705</v>
      </c>
      <c r="BH257">
        <v>200347863521.37204</v>
      </c>
      <c r="BI257">
        <v>212232800909.88065</v>
      </c>
      <c r="BJ257">
        <v>221561015372.14807</v>
      </c>
      <c r="BK257">
        <v>234588233382.45325</v>
      </c>
      <c r="BL257">
        <v>248620273874.5704</v>
      </c>
      <c r="BM257">
        <v>253581702961.77667</v>
      </c>
      <c r="BN257">
        <v>272355289957.89041</v>
      </c>
      <c r="BO257" s="188">
        <v>287794613084.96716</v>
      </c>
    </row>
    <row r="258" spans="1:67">
      <c r="A258" t="s">
        <v>992</v>
      </c>
      <c r="B258" t="s">
        <v>993</v>
      </c>
      <c r="C258" t="s">
        <v>486</v>
      </c>
      <c r="D258" t="s">
        <v>487</v>
      </c>
      <c r="AI258">
        <v>728920520.11614227</v>
      </c>
      <c r="AJ258">
        <v>737197960.68520534</v>
      </c>
      <c r="AK258">
        <v>784216008.92177379</v>
      </c>
      <c r="AL258">
        <v>817550920.14741886</v>
      </c>
      <c r="AM258">
        <v>807350963.85120809</v>
      </c>
      <c r="AN258">
        <v>870055089.45955491</v>
      </c>
      <c r="AO258">
        <v>881260633.39064264</v>
      </c>
      <c r="AP258">
        <v>912150148.17275155</v>
      </c>
      <c r="AQ258">
        <v>949458867.3170234</v>
      </c>
      <c r="AR258">
        <v>975192152.71241546</v>
      </c>
      <c r="AS258">
        <v>991175863.22013688</v>
      </c>
      <c r="AT258">
        <v>1008503907.1265686</v>
      </c>
      <c r="AU258">
        <v>1062379467.3952277</v>
      </c>
      <c r="AV258">
        <v>1133466854.0965998</v>
      </c>
      <c r="AW258">
        <v>1180105601.1909201</v>
      </c>
      <c r="AX258">
        <v>1209473205.7418065</v>
      </c>
      <c r="AY258">
        <v>1294099154.1737969</v>
      </c>
      <c r="AZ258">
        <v>1337101662.6977663</v>
      </c>
      <c r="BA258">
        <v>1342512121.6780303</v>
      </c>
      <c r="BB258">
        <v>1324009705.4625838</v>
      </c>
      <c r="BC258">
        <v>1264820276.1225581</v>
      </c>
      <c r="BD258">
        <v>1257151966.1052005</v>
      </c>
      <c r="BE258">
        <v>1271849482.9093752</v>
      </c>
      <c r="BF258">
        <v>1303168575.1196463</v>
      </c>
      <c r="BG258">
        <v>1318099708.6634057</v>
      </c>
      <c r="BH258">
        <v>1354811720.5401707</v>
      </c>
      <c r="BI258">
        <v>1411030517.7870018</v>
      </c>
      <c r="BJ258">
        <v>1432875084.023169</v>
      </c>
      <c r="BK258">
        <v>1478374241.4140155</v>
      </c>
      <c r="BL258">
        <v>1488162161.4965067</v>
      </c>
      <c r="BM258">
        <v>1432513928.5124013</v>
      </c>
      <c r="BN258">
        <v>1443311284.8693085</v>
      </c>
      <c r="BO258" s="188">
        <v>1514798395.8824151</v>
      </c>
    </row>
    <row r="259" spans="1:67">
      <c r="A259" t="s">
        <v>994</v>
      </c>
      <c r="B259" t="s">
        <v>995</v>
      </c>
      <c r="C259" t="s">
        <v>486</v>
      </c>
      <c r="D259" t="s">
        <v>487</v>
      </c>
    </row>
    <row r="260" spans="1:67">
      <c r="A260" t="s">
        <v>996</v>
      </c>
      <c r="B260" t="s">
        <v>997</v>
      </c>
      <c r="C260" t="s">
        <v>486</v>
      </c>
      <c r="D260" t="s">
        <v>487</v>
      </c>
    </row>
    <row r="261" spans="1:67">
      <c r="A261" t="s">
        <v>998</v>
      </c>
      <c r="B261" t="s">
        <v>999</v>
      </c>
      <c r="C261" t="s">
        <v>486</v>
      </c>
      <c r="D261" t="s">
        <v>487</v>
      </c>
    </row>
    <row r="262" spans="1:67">
      <c r="A262" t="s">
        <v>1000</v>
      </c>
      <c r="B262" t="s">
        <v>1001</v>
      </c>
      <c r="C262" t="s">
        <v>486</v>
      </c>
      <c r="D262" t="s">
        <v>487</v>
      </c>
      <c r="AI262">
        <v>140475981684.95392</v>
      </c>
      <c r="AJ262">
        <v>148849535715.98975</v>
      </c>
      <c r="AK262">
        <v>161719137217.32257</v>
      </c>
      <c r="AL262">
        <v>174774287585.90198</v>
      </c>
      <c r="AM262">
        <v>190222553575.29434</v>
      </c>
      <c r="AN262">
        <v>208370698587.34821</v>
      </c>
      <c r="AO262">
        <v>227832558291.91669</v>
      </c>
      <c r="AP262">
        <v>246405660149.71259</v>
      </c>
      <c r="AQ262">
        <v>260609604689.6824</v>
      </c>
      <c r="AR262">
        <v>273050030588.6539</v>
      </c>
      <c r="AS262">
        <v>291582800117.4635</v>
      </c>
      <c r="AT262">
        <v>309640211844.32349</v>
      </c>
      <c r="AU262">
        <v>329212015340.98999</v>
      </c>
      <c r="AV262">
        <v>351924561301.79254</v>
      </c>
      <c r="AW262">
        <v>378447041285.35187</v>
      </c>
      <c r="AX262">
        <v>407009377007.51306</v>
      </c>
      <c r="AY262">
        <v>435410307415.0282</v>
      </c>
      <c r="AZ262">
        <v>466452904805.81116</v>
      </c>
      <c r="BA262">
        <v>492862401069.10614</v>
      </c>
      <c r="BB262">
        <v>519466608505.64923</v>
      </c>
      <c r="BC262">
        <v>552833186228.6311</v>
      </c>
      <c r="BD262">
        <v>588287360787.32629</v>
      </c>
      <c r="BE262">
        <v>620669906937.40149</v>
      </c>
      <c r="BF262">
        <v>655138811738.53955</v>
      </c>
      <c r="BG262">
        <v>697213442167.64319</v>
      </c>
      <c r="BH262">
        <v>745928907792.47034</v>
      </c>
      <c r="BI262">
        <v>795831620448.52136</v>
      </c>
      <c r="BJ262">
        <v>851063829337.69836</v>
      </c>
      <c r="BK262">
        <v>914595669793.0426</v>
      </c>
      <c r="BL262">
        <v>981903335145.61511</v>
      </c>
      <c r="BM262">
        <v>1010038910610.2385</v>
      </c>
      <c r="BN262">
        <v>1035911573862.9015</v>
      </c>
      <c r="BO262" s="188">
        <v>1118989594291.353</v>
      </c>
    </row>
    <row r="263" spans="1:67">
      <c r="A263" t="s">
        <v>1002</v>
      </c>
      <c r="B263" t="s">
        <v>1003</v>
      </c>
      <c r="C263" t="s">
        <v>486</v>
      </c>
      <c r="D263" t="s">
        <v>487</v>
      </c>
      <c r="AI263">
        <v>418567542.45704561</v>
      </c>
      <c r="AJ263">
        <v>431742535.48936856</v>
      </c>
      <c r="AK263">
        <v>442904866.26951754</v>
      </c>
      <c r="AL263">
        <v>446162201.23027277</v>
      </c>
      <c r="AM263">
        <v>486680270.25430113</v>
      </c>
      <c r="AN263">
        <v>491566272.69543391</v>
      </c>
      <c r="AO263">
        <v>503006668.65515953</v>
      </c>
      <c r="AP263">
        <v>527688263.64234543</v>
      </c>
      <c r="AQ263">
        <v>533898385.98622429</v>
      </c>
      <c r="AR263">
        <v>535699189.05395895</v>
      </c>
      <c r="AS263">
        <v>567438343.12278116</v>
      </c>
      <c r="AT263">
        <v>548159157.338799</v>
      </c>
      <c r="AU263">
        <v>519664097.0317046</v>
      </c>
      <c r="AV263">
        <v>541949034.99492013</v>
      </c>
      <c r="AW263">
        <v>563558671.80773532</v>
      </c>
      <c r="AX263">
        <v>593457299.21174049</v>
      </c>
      <c r="AY263">
        <v>643667925.92386973</v>
      </c>
      <c r="AZ263">
        <v>662179122.1642592</v>
      </c>
      <c r="BA263">
        <v>699267720.64017522</v>
      </c>
      <c r="BB263">
        <v>720506603.88022149</v>
      </c>
      <c r="BC263">
        <v>729576825.2140317</v>
      </c>
      <c r="BD263">
        <v>752484099.53153789</v>
      </c>
      <c r="BE263">
        <v>760084547.77330017</v>
      </c>
      <c r="BF263">
        <v>763606706.7146045</v>
      </c>
      <c r="BG263">
        <v>787560035.75528014</v>
      </c>
      <c r="BH263">
        <v>790446617.14326644</v>
      </c>
      <c r="BI263">
        <v>827508733.22112763</v>
      </c>
      <c r="BJ263">
        <v>879784986.98154068</v>
      </c>
      <c r="BK263">
        <v>905300777.50745654</v>
      </c>
      <c r="BL263">
        <v>934643274.55230832</v>
      </c>
      <c r="BM263">
        <v>887981289.17953861</v>
      </c>
      <c r="BN263">
        <v>893741210.75648367</v>
      </c>
      <c r="BO263" s="188">
        <v>910266227.1427542</v>
      </c>
    </row>
    <row r="264" spans="1:67">
      <c r="A264" s="185" t="s">
        <v>198</v>
      </c>
      <c r="B264" s="185" t="s">
        <v>1004</v>
      </c>
      <c r="C264" s="185" t="s">
        <v>486</v>
      </c>
      <c r="D264" s="185" t="s">
        <v>487</v>
      </c>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v>51377597243461.891</v>
      </c>
      <c r="AJ264" s="185">
        <v>52047393869457.648</v>
      </c>
      <c r="AK264" s="185">
        <v>52874010505264.406</v>
      </c>
      <c r="AL264" s="185">
        <v>53761621209328.93</v>
      </c>
      <c r="AM264" s="185">
        <v>55290725056165.445</v>
      </c>
      <c r="AN264" s="185">
        <v>57022104191630.188</v>
      </c>
      <c r="AO264" s="185">
        <v>59159360419755.789</v>
      </c>
      <c r="AP264" s="185">
        <v>61461150408486.406</v>
      </c>
      <c r="AQ264" s="185">
        <v>62981217441550.867</v>
      </c>
      <c r="AR264" s="185">
        <v>65199281872256.797</v>
      </c>
      <c r="AS264" s="185">
        <v>68291936063103.391</v>
      </c>
      <c r="AT264" s="185">
        <v>69869979379910.336</v>
      </c>
      <c r="AU264" s="185">
        <v>71751334840060.203</v>
      </c>
      <c r="AV264" s="185">
        <v>74404801670351.859</v>
      </c>
      <c r="AW264" s="185">
        <v>78178796024598.016</v>
      </c>
      <c r="AX264" s="185">
        <v>81716841231826.5</v>
      </c>
      <c r="AY264" s="185">
        <v>85870534848983</v>
      </c>
      <c r="AZ264" s="185">
        <v>90267908560676.25</v>
      </c>
      <c r="BA264" s="185">
        <v>92716950123615.203</v>
      </c>
      <c r="BB264" s="185">
        <v>92053342870401.219</v>
      </c>
      <c r="BC264" s="185">
        <v>96726192104534.953</v>
      </c>
      <c r="BD264" s="185">
        <v>100461534451157.44</v>
      </c>
      <c r="BE264" s="185">
        <v>103666962744467.28</v>
      </c>
      <c r="BF264" s="185">
        <v>107009658651330.7</v>
      </c>
      <c r="BG264" s="185">
        <v>110653058196182.38</v>
      </c>
      <c r="BH264" s="185">
        <v>114359602452386.86</v>
      </c>
      <c r="BI264" s="185">
        <v>118091663788882.38</v>
      </c>
      <c r="BJ264" s="185">
        <v>122541297251838.25</v>
      </c>
      <c r="BK264" s="185">
        <v>126986229296715.06</v>
      </c>
      <c r="BL264" s="185">
        <v>130579519342312.61</v>
      </c>
      <c r="BM264" s="185">
        <v>126732219588075.97</v>
      </c>
      <c r="BN264" s="185">
        <v>134535410379136.52</v>
      </c>
      <c r="BO264" s="189">
        <v>139033278700564.67</v>
      </c>
    </row>
    <row r="265" spans="1:67">
      <c r="A265" t="s">
        <v>1005</v>
      </c>
      <c r="B265" t="s">
        <v>1006</v>
      </c>
      <c r="C265" t="s">
        <v>486</v>
      </c>
      <c r="D265" t="s">
        <v>487</v>
      </c>
      <c r="AI265">
        <v>614879921.57729566</v>
      </c>
      <c r="AJ265">
        <v>600737607.40141511</v>
      </c>
      <c r="AK265">
        <v>599536209.41100919</v>
      </c>
      <c r="AL265">
        <v>624117140.099388</v>
      </c>
      <c r="AM265">
        <v>608251455.27948296</v>
      </c>
      <c r="AN265">
        <v>648843986.83820844</v>
      </c>
      <c r="AO265">
        <v>695424294.32970071</v>
      </c>
      <c r="AP265">
        <v>699898828.12555563</v>
      </c>
      <c r="AQ265">
        <v>715260835.53953969</v>
      </c>
      <c r="AR265">
        <v>730892391.70299339</v>
      </c>
      <c r="AS265">
        <v>768117067.86610115</v>
      </c>
      <c r="AT265">
        <v>824881910.52658129</v>
      </c>
      <c r="AU265">
        <v>871503899.54867923</v>
      </c>
      <c r="AV265">
        <v>916932163.91074789</v>
      </c>
      <c r="AW265">
        <v>945240246.01629925</v>
      </c>
      <c r="AX265">
        <v>1007996670.5814129</v>
      </c>
      <c r="AY265">
        <v>1029488441.2334523</v>
      </c>
      <c r="AZ265">
        <v>1034491575.4122915</v>
      </c>
      <c r="BA265">
        <v>1071279178.677147</v>
      </c>
      <c r="BB265">
        <v>1065476299.3131355</v>
      </c>
      <c r="BC265">
        <v>1130733738.4878817</v>
      </c>
      <c r="BD265">
        <v>1174256561.450829</v>
      </c>
      <c r="BE265">
        <v>1130431777.5909011</v>
      </c>
      <c r="BF265">
        <v>1131644654.8835504</v>
      </c>
      <c r="BG265">
        <v>1139112646.9392874</v>
      </c>
      <c r="BH265">
        <v>1182972605.3456621</v>
      </c>
      <c r="BI265">
        <v>1277419516.0463393</v>
      </c>
      <c r="BJ265">
        <v>1295383641.8709979</v>
      </c>
      <c r="BK265">
        <v>1287486373.0206711</v>
      </c>
      <c r="BL265">
        <v>1344803449.9216959</v>
      </c>
      <c r="BM265">
        <v>1303000987.6291854</v>
      </c>
      <c r="BN265">
        <v>1210688736.0526397</v>
      </c>
      <c r="BO265" s="188">
        <v>1137780925.1057651</v>
      </c>
    </row>
    <row r="266" spans="1:67">
      <c r="A266" t="s">
        <v>1007</v>
      </c>
      <c r="B266" t="s">
        <v>1008</v>
      </c>
      <c r="C266" t="s">
        <v>486</v>
      </c>
      <c r="D266" t="s">
        <v>487</v>
      </c>
      <c r="BA266">
        <v>12288387592.473253</v>
      </c>
      <c r="BB266">
        <v>12907093632.260628</v>
      </c>
      <c r="BC266">
        <v>13544694254.353827</v>
      </c>
      <c r="BD266">
        <v>14400703520.441679</v>
      </c>
      <c r="BE266">
        <v>14647271671.16876</v>
      </c>
      <c r="BF266">
        <v>15429569001.215084</v>
      </c>
      <c r="BG266">
        <v>15946275073.107109</v>
      </c>
      <c r="BH266">
        <v>16889699832.098724</v>
      </c>
      <c r="BI266">
        <v>17830752781.552811</v>
      </c>
      <c r="BJ266">
        <v>18691209711.571312</v>
      </c>
      <c r="BK266">
        <v>19327950257.446747</v>
      </c>
      <c r="BL266">
        <v>20247348113.406563</v>
      </c>
      <c r="BM266">
        <v>19166083982.736031</v>
      </c>
      <c r="BN266">
        <v>21225596927.722721</v>
      </c>
      <c r="BO266" s="188">
        <v>21970977635.370029</v>
      </c>
    </row>
    <row r="267" spans="1:67">
      <c r="A267" t="s">
        <v>1009</v>
      </c>
      <c r="B267" t="s">
        <v>1010</v>
      </c>
      <c r="C267" t="s">
        <v>486</v>
      </c>
      <c r="D267" t="s">
        <v>487</v>
      </c>
    </row>
    <row r="268" spans="1:67">
      <c r="A268" t="s">
        <v>1011</v>
      </c>
      <c r="B268" t="s">
        <v>1012</v>
      </c>
      <c r="C268" t="s">
        <v>486</v>
      </c>
      <c r="D268" t="s">
        <v>487</v>
      </c>
      <c r="AI268">
        <v>414406277318.95636</v>
      </c>
      <c r="AJ268">
        <v>410186606254.96765</v>
      </c>
      <c r="AK268">
        <v>401420783753.48682</v>
      </c>
      <c r="AL268">
        <v>406372541698.85864</v>
      </c>
      <c r="AM268">
        <v>419376463045.29834</v>
      </c>
      <c r="AN268">
        <v>432377133401.98444</v>
      </c>
      <c r="AO268">
        <v>450969350126.45673</v>
      </c>
      <c r="AP268">
        <v>462694553236.34448</v>
      </c>
      <c r="AQ268">
        <v>465008026004.1059</v>
      </c>
      <c r="AR268">
        <v>476168218616.40906</v>
      </c>
      <c r="AS268">
        <v>496167283801.52795</v>
      </c>
      <c r="AT268">
        <v>509563800465.117</v>
      </c>
      <c r="AU268">
        <v>528419568909.91766</v>
      </c>
      <c r="AV268">
        <v>544003060782.33185</v>
      </c>
      <c r="AW268">
        <v>568780006082.76135</v>
      </c>
      <c r="AX268">
        <v>598794822615.52332</v>
      </c>
      <c r="AY268">
        <v>632350125561.16357</v>
      </c>
      <c r="AZ268">
        <v>666247089971.93689</v>
      </c>
      <c r="BA268">
        <v>687507327004.32996</v>
      </c>
      <c r="BB268">
        <v>676932851503.58862</v>
      </c>
      <c r="BC268">
        <v>697509801974.92664</v>
      </c>
      <c r="BD268">
        <v>719610792599.17114</v>
      </c>
      <c r="BE268">
        <v>736854339454.92261</v>
      </c>
      <c r="BF268">
        <v>755168618329.59363</v>
      </c>
      <c r="BG268">
        <v>765845392014.53711</v>
      </c>
      <c r="BH268">
        <v>775968813043.7146</v>
      </c>
      <c r="BI268">
        <v>781125531699.05579</v>
      </c>
      <c r="BJ268">
        <v>790170550983.23206</v>
      </c>
      <c r="BK268">
        <v>802199549486.89868</v>
      </c>
      <c r="BL268">
        <v>804633849972.88208</v>
      </c>
      <c r="BM268">
        <v>753600180180.90515</v>
      </c>
      <c r="BN268">
        <v>790625285643.37183</v>
      </c>
      <c r="BO268" s="188">
        <v>806772220732.9176</v>
      </c>
    </row>
    <row r="269" spans="1:67">
      <c r="A269" t="s">
        <v>1013</v>
      </c>
      <c r="B269" t="s">
        <v>1014</v>
      </c>
      <c r="C269" t="s">
        <v>486</v>
      </c>
      <c r="D269" t="s">
        <v>487</v>
      </c>
      <c r="AI269">
        <v>17602159796.416958</v>
      </c>
      <c r="AJ269">
        <v>17595799540.446136</v>
      </c>
      <c r="AK269">
        <v>17291229944.591431</v>
      </c>
      <c r="AL269">
        <v>18466562230.380363</v>
      </c>
      <c r="AM269">
        <v>16873739624.611189</v>
      </c>
      <c r="AN269">
        <v>17362684728.869724</v>
      </c>
      <c r="AO269">
        <v>18442391350.463085</v>
      </c>
      <c r="AP269">
        <v>19145785539.229675</v>
      </c>
      <c r="AQ269">
        <v>19071931409.430813</v>
      </c>
      <c r="AR269">
        <v>19958812408.267666</v>
      </c>
      <c r="AS269">
        <v>20736671783.489033</v>
      </c>
      <c r="AT269">
        <v>21839213306.667065</v>
      </c>
      <c r="AU269">
        <v>22823291376.976345</v>
      </c>
      <c r="AV269">
        <v>24408363024.99184</v>
      </c>
      <c r="AW269">
        <v>26124855554.04998</v>
      </c>
      <c r="AX269">
        <v>28015145342.982861</v>
      </c>
      <c r="AY269">
        <v>30229376829.159069</v>
      </c>
      <c r="AZ269">
        <v>32754266255.916393</v>
      </c>
      <c r="BA269">
        <v>35300548789.757797</v>
      </c>
      <c r="BB269">
        <v>38555382377.356277</v>
      </c>
      <c r="BC269">
        <v>42525901758.045326</v>
      </c>
      <c r="BD269">
        <v>44892299080.979454</v>
      </c>
      <c r="BE269">
        <v>48303033348.007629</v>
      </c>
      <c r="BF269">
        <v>50745829681.767967</v>
      </c>
      <c r="BG269">
        <v>53129864884.519836</v>
      </c>
      <c r="BH269">
        <v>54681456235.742004</v>
      </c>
      <c r="BI269">
        <v>56746599390.272568</v>
      </c>
      <c r="BJ269">
        <v>58735190955.723938</v>
      </c>
      <c r="BK269">
        <v>61104858650.031059</v>
      </c>
      <c r="BL269">
        <v>61985566659.955864</v>
      </c>
      <c r="BM269">
        <v>60259234495.843842</v>
      </c>
      <c r="BN269">
        <v>63030396421.308517</v>
      </c>
      <c r="BO269" s="188">
        <v>66021152485.455132</v>
      </c>
    </row>
    <row r="270" spans="1:67">
      <c r="A270" t="s">
        <v>1015</v>
      </c>
      <c r="B270" t="s">
        <v>1016</v>
      </c>
      <c r="C270" t="s">
        <v>486</v>
      </c>
      <c r="D270" t="s">
        <v>487</v>
      </c>
      <c r="AI270">
        <v>27355625915.758335</v>
      </c>
      <c r="AJ270">
        <v>28868879608.451412</v>
      </c>
      <c r="AK270">
        <v>26266185537.48708</v>
      </c>
      <c r="AL270">
        <v>26542363616.616756</v>
      </c>
      <c r="AM270">
        <v>28993603669.520859</v>
      </c>
      <c r="AN270">
        <v>29039421010.957993</v>
      </c>
      <c r="AO270">
        <v>32048107364.581707</v>
      </c>
      <c r="AP270">
        <v>32907187064.985428</v>
      </c>
      <c r="AQ270">
        <v>33856629107.980881</v>
      </c>
      <c r="AR270">
        <v>33579742474.05574</v>
      </c>
      <c r="AS270">
        <v>32552474434.486256</v>
      </c>
      <c r="AT270">
        <v>33021104868.14835</v>
      </c>
      <c r="AU270">
        <v>30084199997.821537</v>
      </c>
      <c r="AV270">
        <v>24971367726.972401</v>
      </c>
      <c r="AW270">
        <v>23521146051.430382</v>
      </c>
      <c r="AX270">
        <v>22177833711.704243</v>
      </c>
      <c r="AY270">
        <v>21410149065.01226</v>
      </c>
      <c r="AZ270">
        <v>20627966343.730644</v>
      </c>
      <c r="BA270">
        <v>16983222041.464664</v>
      </c>
      <c r="BB270">
        <v>19024530600.399143</v>
      </c>
      <c r="BC270">
        <v>23105684494.254879</v>
      </c>
      <c r="BD270">
        <v>26483783455.047237</v>
      </c>
      <c r="BE270">
        <v>30653622606.267227</v>
      </c>
      <c r="BF270">
        <v>31633536428.063911</v>
      </c>
      <c r="BG270">
        <v>32103149759.064819</v>
      </c>
      <c r="BH270">
        <v>32752805147.857121</v>
      </c>
      <c r="BI270">
        <v>33047893313.279152</v>
      </c>
      <c r="BJ270">
        <v>34396334574.952065</v>
      </c>
      <c r="BK270">
        <v>36119545115.496086</v>
      </c>
      <c r="BL270">
        <v>33832294278.593006</v>
      </c>
      <c r="BM270">
        <v>31187640532.150631</v>
      </c>
      <c r="BN270">
        <v>33828615202.374428</v>
      </c>
      <c r="BO270" s="188">
        <v>34978788119.35083</v>
      </c>
    </row>
  </sheetData>
  <hyperlinks>
    <hyperlink ref="C2" r:id="rId1" xr:uid="{970718BE-302C-437F-ACD2-CAE538295726}"/>
  </hyperlinks>
  <pageMargins left="0.7" right="0.7" top="0.75" bottom="0.75" header="0.3" footer="0.3"/>
  <pageSetup orientation="portrait" r:id="rId2"/>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eDocument" ma:contentTypeID="0x0101004B7FDCD57A2D7A4DA50834723978B114" ma:contentTypeVersion="135" ma:contentTypeDescription="Create a new document." ma:contentTypeScope="" ma:versionID="5b743ecabf65e24645396e93ae6e3f7d">
  <xsd:schema xmlns:xsd="http://www.w3.org/2001/XMLSchema" xmlns:xs="http://www.w3.org/2001/XMLSchema" xmlns:p="http://schemas.microsoft.com/office/2006/metadata/properties" xmlns:ns2="23981a59-73b4-45c4-9c2e-65373b1c664d" xmlns:ns3="02bffcbe-7cf8-467d-a91b-a3e0dbcae01e" xmlns:ns4="a9df0e0e-9b5b-47bc-81c1-d190dfb54f87" xmlns:ns5="b30672e7-690a-4c93-a50a-a028bc8f475d" xmlns:ns6="70761194-623b-4751-a0da-29ad6551f95e" xmlns:ns7="c605bdf2-3a00-4391-b6ee-ec78e0d6979b" targetNamespace="http://schemas.microsoft.com/office/2006/metadata/properties" ma:root="true" ma:fieldsID="aba8b5a3f0d565b6493fb119f4710b68" ns2:_="" ns3:_="" ns4:_="" ns5:_="" ns6:_="" ns7:_="">
    <xsd:import namespace="23981a59-73b4-45c4-9c2e-65373b1c664d"/>
    <xsd:import namespace="02bffcbe-7cf8-467d-a91b-a3e0dbcae01e"/>
    <xsd:import namespace="a9df0e0e-9b5b-47bc-81c1-d190dfb54f87"/>
    <xsd:import namespace="b30672e7-690a-4c93-a50a-a028bc8f475d"/>
    <xsd:import namespace="70761194-623b-4751-a0da-29ad6551f95e"/>
    <xsd:import namespace="c605bdf2-3a00-4391-b6ee-ec78e0d6979b"/>
    <xsd:element name="properties">
      <xsd:complexType>
        <xsd:sequence>
          <xsd:element name="documentManagement">
            <xsd:complexType>
              <xsd:all>
                <xsd:element ref="ns2:_dlc_DocId" minOccurs="0"/>
                <xsd:element ref="ns2:_dlc_DocIdUrl" minOccurs="0"/>
                <xsd:element ref="ns2:_dlc_DocIdPersistId" minOccurs="0"/>
                <xsd:element ref="ns3:DocumentType" minOccurs="0"/>
                <xsd:element ref="ns4:Narrative" minOccurs="0"/>
                <xsd:element ref="ns5:OTDocID" minOccurs="0"/>
                <xsd:element ref="ns5:OTModifiedBy" minOccurs="0"/>
                <xsd:element ref="ns5:LegacyMetadata" minOccurs="0"/>
                <xsd:element ref="ns5:OTCreatedBy" minOccurs="0"/>
                <xsd:element ref="ns4:PraText3" minOccurs="0"/>
                <xsd:element ref="ns4:PraText4" minOccurs="0"/>
                <xsd:element ref="ns4:PraText5" minOccurs="0"/>
                <xsd:element ref="ns4:PraDate1" minOccurs="0"/>
                <xsd:element ref="ns4:PraDate2" minOccurs="0"/>
                <xsd:element ref="ns4:PraDate3" minOccurs="0"/>
                <xsd:element ref="ns4:PraDateTrigger" minOccurs="0"/>
                <xsd:element ref="ns4:PraDateDisposal" minOccurs="0"/>
                <xsd:element ref="ns6:Activity" minOccurs="0"/>
                <xsd:element ref="ns6:Function" minOccurs="0"/>
                <xsd:element ref="ns6:Subactivity" minOccurs="0"/>
                <xsd:element ref="ns6:Year" minOccurs="0"/>
                <xsd:element ref="ns6:Project" minOccurs="0"/>
                <xsd:element ref="ns6:AggregationNarrative" minOccurs="0"/>
                <xsd:element ref="ns6:Case" minOccurs="0"/>
                <xsd:element ref="ns6:CategoryName" minOccurs="0"/>
                <xsd:element ref="ns6:CategoryValue" minOccurs="0"/>
                <xsd:element ref="ns4:PraText1" minOccurs="0"/>
                <xsd:element ref="ns4:PraText2" minOccurs="0"/>
                <xsd:element ref="ns6:PRAType" minOccurs="0"/>
                <xsd:element ref="ns4:AggregationStatus" minOccurs="0"/>
                <xsd:element ref="ns5:Channel" minOccurs="0"/>
                <xsd:element ref="ns7:MediaServiceMetadata" minOccurs="0"/>
                <xsd:element ref="ns7:MediaServiceFastMetadata" minOccurs="0"/>
                <xsd:element ref="ns7:MediaServiceObjectDetectorVersions" minOccurs="0"/>
                <xsd:element ref="ns2:SharedWithUsers" minOccurs="0"/>
                <xsd:element ref="ns2:SharedWithDetails" minOccurs="0"/>
                <xsd:element ref="ns7:MediaServiceSearchProperties" minOccurs="0"/>
                <xsd:element ref="ns7:lcf76f155ced4ddcb4097134ff3c332f" minOccurs="0"/>
                <xsd:element ref="ns2:TaxCatchAll" minOccurs="0"/>
                <xsd:element ref="ns7:MediaServiceOCR" minOccurs="0"/>
                <xsd:element ref="ns7:MediaServiceGenerationTime" minOccurs="0"/>
                <xsd:element ref="ns7:MediaServiceEventHashCode" minOccurs="0"/>
                <xsd:element ref="ns7: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81a59-73b4-45c4-9c2e-65373b1c664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4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3" nillable="true" ma:displayName="Shared With Details" ma:internalName="SharedWithDetails" ma:readOnly="true">
      <xsd:simpleType>
        <xsd:restriction base="dms:Note">
          <xsd:maxLength value="255"/>
        </xsd:restriction>
      </xsd:simpleType>
    </xsd:element>
    <xsd:element name="TaxCatchAll" ma:index="47" nillable="true" ma:displayName="Taxonomy Catch All Column" ma:hidden="true" ma:list="{58cea353-2b96-4cff-be3c-d26fad98b142}" ma:internalName="TaxCatchAll" ma:showField="CatchAllData" ma:web="23981a59-73b4-45c4-9c2e-65373b1c664d">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2bffcbe-7cf8-467d-a91b-a3e0dbcae01e" elementFormDefault="qualified">
    <xsd:import namespace="http://schemas.microsoft.com/office/2006/documentManagement/types"/>
    <xsd:import namespace="http://schemas.microsoft.com/office/infopath/2007/PartnerControls"/>
    <xsd:element name="DocumentType" ma:index="11" nillable="true" ma:displayName="Document Type" ma:description="Specify the document type to help refine search and to classify the document" ma:format="Dropdown" ma:internalName="DocumentType" ma:readOnly="false">
      <xsd:simpleType>
        <xsd:restriction base="dms:Choice">
          <xsd:enumeration value="APPLICATION, certificate, consent related"/>
          <xsd:enumeration value="CONTRACT, Variation, Agreement"/>
          <xsd:enumeration value="CORRESPONDENCE, Memo, Filenote, Email"/>
          <xsd:enumeration value="DRAWING, Plan, Map"/>
          <xsd:enumeration value="EMPLOYMENT related"/>
          <xsd:enumeration value="FINANCIAL related"/>
          <xsd:enumeration value="KNOWLEDGE article"/>
          <xsd:enumeration value="MEETING related"/>
          <xsd:enumeration value="MODEL, Calculation, Working"/>
          <xsd:enumeration value="PHOTO, Image or Multi-media"/>
          <xsd:enumeration value="PRESENTATION"/>
          <xsd:enumeration value="PUBLICATION material"/>
          <xsd:enumeration value="PURCHASING related"/>
          <xsd:enumeration value="REPORT, or planning related"/>
          <xsd:enumeration value="RULES, Policy, Bylaw, procedure"/>
          <xsd:enumeration value="SERVICE REQUEST related"/>
          <xsd:enumeration value="SPECIFICATION or standard"/>
          <xsd:enumeration value="SUPPLIER PRODUCT Info"/>
          <xsd:enumeration value="TEMPLATE, Checklist or Form"/>
        </xsd:restriction>
      </xsd:simpleType>
    </xsd:element>
  </xsd:schema>
  <xsd:schema xmlns:xsd="http://www.w3.org/2001/XMLSchema" xmlns:xs="http://www.w3.org/2001/XMLSchema" xmlns:dms="http://schemas.microsoft.com/office/2006/documentManagement/types" xmlns:pc="http://schemas.microsoft.com/office/infopath/2007/PartnerControls" targetNamespace="a9df0e0e-9b5b-47bc-81c1-d190dfb54f87" elementFormDefault="qualified">
    <xsd:import namespace="http://schemas.microsoft.com/office/2006/documentManagement/types"/>
    <xsd:import namespace="http://schemas.microsoft.com/office/infopath/2007/PartnerControls"/>
    <xsd:element name="Narrative" ma:index="12" nillable="true" ma:displayName="Narrative" ma:internalName="Narrative0" ma:readOnly="false">
      <xsd:simpleType>
        <xsd:restriction base="dms:Note">
          <xsd:maxLength value="255"/>
        </xsd:restriction>
      </xsd:simpleType>
    </xsd:element>
    <xsd:element name="PraText3" ma:index="17" nillable="true" ma:displayName="PRA Text 3" ma:hidden="true" ma:internalName="PraText30" ma:readOnly="false">
      <xsd:simpleType>
        <xsd:restriction base="dms:Text">
          <xsd:maxLength value="255"/>
        </xsd:restriction>
      </xsd:simpleType>
    </xsd:element>
    <xsd:element name="PraText4" ma:index="18" nillable="true" ma:displayName="PRA Text 4" ma:hidden="true" ma:internalName="PraText40" ma:readOnly="false">
      <xsd:simpleType>
        <xsd:restriction base="dms:Text">
          <xsd:maxLength value="255"/>
        </xsd:restriction>
      </xsd:simpleType>
    </xsd:element>
    <xsd:element name="PraText5" ma:index="19" nillable="true" ma:displayName="PRA Text 5" ma:hidden="true" ma:internalName="PraText50" ma:readOnly="false">
      <xsd:simpleType>
        <xsd:restriction base="dms:Text">
          <xsd:maxLength value="255"/>
        </xsd:restriction>
      </xsd:simpleType>
    </xsd:element>
    <xsd:element name="PraDate1" ma:index="20" nillable="true" ma:displayName="PRA Date 1" ma:format="DateTime" ma:hidden="true" ma:internalName="PraDate1" ma:readOnly="false">
      <xsd:simpleType>
        <xsd:restriction base="dms:DateTime"/>
      </xsd:simpleType>
    </xsd:element>
    <xsd:element name="PraDate2" ma:index="21" nillable="true" ma:displayName="PRA Date 2" ma:format="DateTime" ma:hidden="true" ma:internalName="PraDate2" ma:readOnly="false">
      <xsd:simpleType>
        <xsd:restriction base="dms:DateTime"/>
      </xsd:simpleType>
    </xsd:element>
    <xsd:element name="PraDate3" ma:index="22" nillable="true" ma:displayName="PRA Date 3" ma:format="DateTime" ma:hidden="true" ma:internalName="PraDate3" ma:readOnly="false">
      <xsd:simpleType>
        <xsd:restriction base="dms:DateTime"/>
      </xsd:simpleType>
    </xsd:element>
    <xsd:element name="PraDateTrigger" ma:index="23" nillable="true" ma:displayName="PRA Date Trigger" ma:format="DateTime" ma:hidden="true" ma:internalName="PraDateTrigger" ma:readOnly="false">
      <xsd:simpleType>
        <xsd:restriction base="dms:DateTime"/>
      </xsd:simpleType>
    </xsd:element>
    <xsd:element name="PraDateDisposal" ma:index="24" nillable="true" ma:displayName="PRA Date Disposal" ma:format="DateTime" ma:hidden="true" ma:internalName="PraDateDisposal0" ma:readOnly="false">
      <xsd:simpleType>
        <xsd:restriction base="dms:DateTime"/>
      </xsd:simpleType>
    </xsd:element>
    <xsd:element name="PraText1" ma:index="34" nillable="true" ma:displayName="PRA Text 1" ma:hidden="true" ma:internalName="PraText10" ma:readOnly="false">
      <xsd:simpleType>
        <xsd:restriction base="dms:Text">
          <xsd:maxLength value="255"/>
        </xsd:restriction>
      </xsd:simpleType>
    </xsd:element>
    <xsd:element name="PraText2" ma:index="35" nillable="true" ma:displayName="PRA Text 2" ma:hidden="true" ma:internalName="PraText20" ma:readOnly="false">
      <xsd:simpleType>
        <xsd:restriction base="dms:Text">
          <xsd:maxLength value="255"/>
        </xsd:restriction>
      </xsd:simpleType>
    </xsd:element>
    <xsd:element name="AggregationStatus" ma:index="37" nillable="true" ma:displayName="Aggregation Status" ma:default="Normal" ma:format="Dropdown" ma:hidden="true" ma:internalName="AggregationStatus0" ma:readOnly="false">
      <xsd:simpleType>
        <xsd:restriction base="dms:Choice">
          <xsd:enumeration value="Delete Soon"/>
          <xsd:enumeration value="Transfer Soon"/>
          <xsd:enumeration value="Appraise Soon"/>
          <xsd:enumeration value="Delete"/>
          <xsd:enumeration value="Transfer"/>
          <xsd:enumeration value="Appraise"/>
          <xsd:enumeration value="Hold"/>
          <xsd:enumeration value="Normal"/>
        </xsd:restriction>
      </xsd:simpleType>
    </xsd:element>
  </xsd:schema>
  <xsd:schema xmlns:xsd="http://www.w3.org/2001/XMLSchema" xmlns:xs="http://www.w3.org/2001/XMLSchema" xmlns:dms="http://schemas.microsoft.com/office/2006/documentManagement/types" xmlns:pc="http://schemas.microsoft.com/office/infopath/2007/PartnerControls" targetNamespace="b30672e7-690a-4c93-a50a-a028bc8f475d" elementFormDefault="qualified">
    <xsd:import namespace="http://schemas.microsoft.com/office/2006/documentManagement/types"/>
    <xsd:import namespace="http://schemas.microsoft.com/office/infopath/2007/PartnerControls"/>
    <xsd:element name="OTDocID" ma:index="13" nillable="true" ma:displayName="OTDocID" ma:internalName="OTDocID" ma:readOnly="false">
      <xsd:simpleType>
        <xsd:restriction base="dms:Text">
          <xsd:maxLength value="255"/>
        </xsd:restriction>
      </xsd:simpleType>
    </xsd:element>
    <xsd:element name="OTModifiedBy" ma:index="14" nillable="true" ma:displayName="OTModifiedBy" ma:internalName="OTModifiedBy" ma:readOnly="false">
      <xsd:simpleType>
        <xsd:restriction base="dms:Text">
          <xsd:maxLength value="255"/>
        </xsd:restriction>
      </xsd:simpleType>
    </xsd:element>
    <xsd:element name="LegacyMetadata" ma:index="15" nillable="true" ma:displayName="LegacyMetadata" ma:internalName="LegacyMetadata" ma:readOnly="false">
      <xsd:simpleType>
        <xsd:restriction base="dms:Note">
          <xsd:maxLength value="255"/>
        </xsd:restriction>
      </xsd:simpleType>
    </xsd:element>
    <xsd:element name="OTCreatedBy" ma:index="16" nillable="true" ma:displayName="OTCreatedBy" ma:internalName="OTCreatedBy" ma:readOnly="false">
      <xsd:simpleType>
        <xsd:restriction base="dms:Text">
          <xsd:maxLength value="255"/>
        </xsd:restriction>
      </xsd:simpleType>
    </xsd:element>
    <xsd:element name="Channel" ma:index="38" nillable="true" ma:displayName="Channel" ma:hidden="true" ma:internalName="Channel"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0761194-623b-4751-a0da-29ad6551f95e" elementFormDefault="qualified">
    <xsd:import namespace="http://schemas.microsoft.com/office/2006/documentManagement/types"/>
    <xsd:import namespace="http://schemas.microsoft.com/office/infopath/2007/PartnerControls"/>
    <xsd:element name="Activity" ma:index="25" nillable="true" ma:displayName="Activity" ma:default="Advice" ma:format="Dropdown" ma:hidden="true" ma:internalName="Activity" ma:readOnly="false">
      <xsd:simpleType>
        <xsd:union memberTypes="dms:Text">
          <xsd:simpleType>
            <xsd:restriction base="dms:Choice">
              <xsd:enumeration value="Advice"/>
            </xsd:restriction>
          </xsd:simpleType>
        </xsd:union>
      </xsd:simpleType>
    </xsd:element>
    <xsd:element name="Function" ma:index="26" nillable="true" ma:displayName="Function" ma:default="Programmes and Projects" ma:format="Dropdown" ma:hidden="true" ma:internalName="Function" ma:readOnly="false">
      <xsd:simpleType>
        <xsd:union memberTypes="dms:Text">
          <xsd:simpleType>
            <xsd:restriction base="dms:Choice">
              <xsd:enumeration value="Programmes and Projects"/>
            </xsd:restriction>
          </xsd:simpleType>
        </xsd:union>
      </xsd:simpleType>
    </xsd:element>
    <xsd:element name="Subactivity" ma:index="27" nillable="true" ma:displayName="Subactivity" ma:default="NA" ma:hidden="true" ma:internalName="Subactivity" ma:readOnly="false">
      <xsd:simpleType>
        <xsd:restriction base="dms:Text">
          <xsd:maxLength value="255"/>
        </xsd:restriction>
      </xsd:simpleType>
    </xsd:element>
    <xsd:element name="Year" ma:index="28" nillable="true" ma:displayName="Year" ma:format="Dropdown" ma:hidden="true" ma:internalName="Year" ma:readOnly="false">
      <xsd:simpleType>
        <xsd:restriction base="dms:Choice">
          <xsd:enumeration value="2019"/>
          <xsd:enumeration value="2020"/>
          <xsd:enumeration value="2021"/>
          <xsd:enumeration value="2022"/>
          <xsd:enumeration value="2023"/>
        </xsd:restriction>
      </xsd:simpleType>
    </xsd:element>
    <xsd:element name="Project" ma:index="29" nillable="true" ma:displayName="Project" ma:hidden="true" ma:internalName="Project" ma:readOnly="false">
      <xsd:simpleType>
        <xsd:restriction base="dms:Text">
          <xsd:maxLength value="255"/>
        </xsd:restriction>
      </xsd:simpleType>
    </xsd:element>
    <xsd:element name="AggregationNarrative" ma:index="30" nillable="true" ma:displayName="Aggregation Narrative" ma:hidden="true" ma:internalName="AggregationNarrative" ma:readOnly="false">
      <xsd:simpleType>
        <xsd:restriction base="dms:Text">
          <xsd:maxLength value="255"/>
        </xsd:restriction>
      </xsd:simpleType>
    </xsd:element>
    <xsd:element name="Case" ma:index="31" nillable="true" ma:displayName="Case" ma:default="2050 Target Review" ma:format="Dropdown" ma:hidden="true" ma:internalName="Case" ma:readOnly="false">
      <xsd:simpleType>
        <xsd:restriction base="dms:Choice">
          <xsd:enumeration value="2050 Target Review"/>
        </xsd:restriction>
      </xsd:simpleType>
    </xsd:element>
    <xsd:element name="CategoryName" ma:index="32" nillable="true" ma:displayName="Category" ma:default="NA" ma:hidden="true" ma:internalName="CategoryName" ma:readOnly="false">
      <xsd:simpleType>
        <xsd:restriction base="dms:Text">
          <xsd:maxLength value="255"/>
        </xsd:restriction>
      </xsd:simpleType>
    </xsd:element>
    <xsd:element name="CategoryValue" ma:index="33" nillable="true" ma:displayName="Category Value" ma:hidden="true" ma:internalName="CategoryValue" ma:readOnly="false">
      <xsd:simpleType>
        <xsd:restriction base="dms:Text">
          <xsd:maxLength value="255"/>
        </xsd:restriction>
      </xsd:simpleType>
    </xsd:element>
    <xsd:element name="PRAType" ma:index="36" nillable="true" ma:displayName="PRA Type" ma:hidden="true" ma:internalName="PRAType"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605bdf2-3a00-4391-b6ee-ec78e0d6979b" elementFormDefault="qualified">
    <xsd:import namespace="http://schemas.microsoft.com/office/2006/documentManagement/types"/>
    <xsd:import namespace="http://schemas.microsoft.com/office/infopath/2007/PartnerControls"/>
    <xsd:element name="MediaServiceMetadata" ma:index="39" nillable="true" ma:displayName="MediaServiceMetadata" ma:hidden="true" ma:internalName="MediaServiceMetadata" ma:readOnly="true">
      <xsd:simpleType>
        <xsd:restriction base="dms:Note"/>
      </xsd:simpleType>
    </xsd:element>
    <xsd:element name="MediaServiceFastMetadata" ma:index="40" nillable="true" ma:displayName="MediaServiceFastMetadata" ma:hidden="true" ma:internalName="MediaServiceFastMetadata" ma:readOnly="true">
      <xsd:simpleType>
        <xsd:restriction base="dms:Note"/>
      </xsd:simpleType>
    </xsd:element>
    <xsd:element name="MediaServiceObjectDetectorVersions" ma:index="41" nillable="true" ma:displayName="MediaServiceObjectDetectorVersions"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element name="lcf76f155ced4ddcb4097134ff3c332f" ma:index="46" nillable="true" ma:taxonomy="true" ma:internalName="lcf76f155ced4ddcb4097134ff3c332f" ma:taxonomyFieldName="MediaServiceImageTags" ma:displayName="Image Tags" ma:readOnly="false" ma:fieldId="{5cf76f15-5ced-4ddc-b409-7134ff3c332f}" ma:taxonomyMulti="true" ma:sspId="c284cdd8-0240-42f9-af2b-4d59cbd29a82" ma:termSetId="09814cd3-568e-fe90-9814-8d621ff8fb84" ma:anchorId="fba54fb3-c3e1-fe81-a776-ca4b69148c4d" ma:open="true" ma:isKeyword="false">
      <xsd:complexType>
        <xsd:sequence>
          <xsd:element ref="pc:Terms" minOccurs="0" maxOccurs="1"/>
        </xsd:sequence>
      </xsd:complexType>
    </xsd:element>
    <xsd:element name="MediaServiceOCR" ma:index="48" nillable="true" ma:displayName="Extracted Text" ma:internalName="MediaServiceOCR" ma:readOnly="true">
      <xsd:simpleType>
        <xsd:restriction base="dms:Note">
          <xsd:maxLength value="255"/>
        </xsd:restriction>
      </xsd:simpleType>
    </xsd:element>
    <xsd:element name="MediaServiceGenerationTime" ma:index="49" nillable="true" ma:displayName="MediaServiceGenerationTime" ma:hidden="true" ma:internalName="MediaServiceGenerationTime" ma:readOnly="true">
      <xsd:simpleType>
        <xsd:restriction base="dms:Text"/>
      </xsd:simpleType>
    </xsd:element>
    <xsd:element name="MediaServiceEventHashCode" ma:index="50" nillable="true" ma:displayName="MediaServiceEventHashCode" ma:hidden="true" ma:internalName="MediaServiceEventHashCode" ma:readOnly="true">
      <xsd:simpleType>
        <xsd:restriction base="dms:Text"/>
      </xsd:simpleType>
    </xsd:element>
    <xsd:element name="MediaServiceDateTaken" ma:index="51" nillable="true" ma:displayName="MediaServiceDateTaken" ma:hidden="true" ma:indexed="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egacyMetadata xmlns="b30672e7-690a-4c93-a50a-a028bc8f475d" xsi:nil="true"/>
    <Channel xmlns="b30672e7-690a-4c93-a50a-a028bc8f475d" xsi:nil="true"/>
    <OTModifiedBy xmlns="b30672e7-690a-4c93-a50a-a028bc8f475d" xsi:nil="true"/>
    <Activity xmlns="70761194-623b-4751-a0da-29ad6551f95e">Advice</Activity>
    <Function xmlns="70761194-623b-4751-a0da-29ad6551f95e">Programmes and Projects</Function>
    <PraText1 xmlns="a9df0e0e-9b5b-47bc-81c1-d190dfb54f87" xsi:nil="true"/>
    <Year xmlns="70761194-623b-4751-a0da-29ad6551f95e" xsi:nil="true"/>
    <CategoryName xmlns="70761194-623b-4751-a0da-29ad6551f95e">Contribute analysis</CategoryName>
    <CategoryValue xmlns="70761194-623b-4751-a0da-29ad6551f95e" xsi:nil="true"/>
    <AggregationStatus xmlns="a9df0e0e-9b5b-47bc-81c1-d190dfb54f87">Normal</AggregationStatus>
    <Narrative xmlns="a9df0e0e-9b5b-47bc-81c1-d190dfb54f87" xsi:nil="true"/>
    <PraText5 xmlns="a9df0e0e-9b5b-47bc-81c1-d190dfb54f87" xsi:nil="true"/>
    <PRAType xmlns="70761194-623b-4751-a0da-29ad6551f95e" xsi:nil="true"/>
    <PraDate3 xmlns="a9df0e0e-9b5b-47bc-81c1-d190dfb54f87" xsi:nil="true"/>
    <PraDateTrigger xmlns="a9df0e0e-9b5b-47bc-81c1-d190dfb54f87" xsi:nil="true"/>
    <Project xmlns="70761194-623b-4751-a0da-29ad6551f95e" xsi:nil="true"/>
    <PraText4 xmlns="a9df0e0e-9b5b-47bc-81c1-d190dfb54f87" xsi:nil="true"/>
    <Subactivity xmlns="70761194-623b-4751-a0da-29ad6551f95e">Analysis</Subactivity>
    <PraDateDisposal xmlns="a9df0e0e-9b5b-47bc-81c1-d190dfb54f87" xsi:nil="true"/>
    <PraDate2 xmlns="a9df0e0e-9b5b-47bc-81c1-d190dfb54f87" xsi:nil="true"/>
    <PraText3 xmlns="a9df0e0e-9b5b-47bc-81c1-d190dfb54f87" xsi:nil="true"/>
    <DocumentType xmlns="02bffcbe-7cf8-467d-a91b-a3e0dbcae01e" xsi:nil="true"/>
    <AggregationNarrative xmlns="70761194-623b-4751-a0da-29ad6551f95e" xsi:nil="true"/>
    <Case xmlns="70761194-623b-4751-a0da-29ad6551f95e">2050 Target Review</Case>
    <OTDocID xmlns="b30672e7-690a-4c93-a50a-a028bc8f475d" xsi:nil="true"/>
    <OTCreatedBy xmlns="b30672e7-690a-4c93-a50a-a028bc8f475d" xsi:nil="true"/>
    <PraDate1 xmlns="a9df0e0e-9b5b-47bc-81c1-d190dfb54f87" xsi:nil="true"/>
    <PraText2 xmlns="a9df0e0e-9b5b-47bc-81c1-d190dfb54f87" xsi:nil="true"/>
    <_dlc_DocId xmlns="23981a59-73b4-45c4-9c2e-65373b1c664d">ZRPJAS3TEE2M-271766494-1238</_dlc_DocId>
    <_dlc_DocIdUrl xmlns="23981a59-73b4-45c4-9c2e-65373b1c664d">
      <Url>https://climatechangegovt.sharepoint.com/sites/2050Target/_layouts/15/DocIdRedir.aspx?ID=ZRPJAS3TEE2M-271766494-1238</Url>
      <Description>ZRPJAS3TEE2M-271766494-1238</Description>
    </_dlc_DocIdUrl>
    <lcf76f155ced4ddcb4097134ff3c332f xmlns="c605bdf2-3a00-4391-b6ee-ec78e0d6979b">
      <Terms xmlns="http://schemas.microsoft.com/office/infopath/2007/PartnerControls"/>
    </lcf76f155ced4ddcb4097134ff3c332f>
    <TaxCatchAll xmlns="23981a59-73b4-45c4-9c2e-65373b1c664d" xsi:nil="true"/>
  </documentManagement>
</p:properti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D5364A2-60EB-4A65-95CE-B9C62E17D2BA}"/>
</file>

<file path=customXml/itemProps2.xml><?xml version="1.0" encoding="utf-8"?>
<ds:datastoreItem xmlns:ds="http://schemas.openxmlformats.org/officeDocument/2006/customXml" ds:itemID="{C80F4AC0-861C-4342-8894-FBFC2717D6C1}"/>
</file>

<file path=customXml/itemProps3.xml><?xml version="1.0" encoding="utf-8"?>
<ds:datastoreItem xmlns:ds="http://schemas.openxmlformats.org/officeDocument/2006/customXml" ds:itemID="{36F759C7-CDBB-40A1-B2DE-F99BDC0627A3}"/>
</file>

<file path=customXml/itemProps4.xml><?xml version="1.0" encoding="utf-8"?>
<ds:datastoreItem xmlns:ds="http://schemas.openxmlformats.org/officeDocument/2006/customXml" ds:itemID="{047C908C-A894-4DCE-AD19-6B771BDDBF5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Matthew Smith</dc:creator>
  <cp:keywords/>
  <dc:description/>
  <cp:lastModifiedBy/>
  <cp:revision/>
  <dcterms:created xsi:type="dcterms:W3CDTF">2023-08-31T22:37:55Z</dcterms:created>
  <dcterms:modified xsi:type="dcterms:W3CDTF">2024-05-02T04:57:41Z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0x0101004B7FDCD57A2D7A4DA50834723978B114</vt:lpwstr>
  </property>
  <property fmtid="{D5CDD505-2E9C-101B-9397-08002B2CF9AE}" pid="3" name="_dlc_DocIdItemGuid">
    <vt:lpwstr>d5bd04fd-a4aa-46d4-a73a-f97395645db8</vt:lpwstr>
  </property>
  <property fmtid="{D5CDD505-2E9C-101B-9397-08002B2CF9AE}" pid="4" name="MediaServiceImageTags">
    <vt:lpwstr/>
  </property>
</Properties>
</file>