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limatechangegovt.sharepoint.com/sites/ETSUnitPrice22/Shared Documents/Report/Final publications/"/>
    </mc:Choice>
  </mc:AlternateContent>
  <xr:revisionPtr revIDLastSave="4006" documentId="8_{6879A42F-813A-4047-A272-F577B6A18489}" xr6:coauthVersionLast="47" xr6:coauthVersionMax="47" xr10:uidLastSave="{FF40E21D-9088-4E9D-8F91-813DA38C3C0D}"/>
  <bookViews>
    <workbookView xWindow="-110" yWindow="-110" windowWidth="19420" windowHeight="10420" xr2:uid="{DFBD3FAC-1672-42F8-8840-0671C26A52F3}"/>
  </bookViews>
  <sheets>
    <sheet name="Contents" sheetId="60" r:id="rId1"/>
    <sheet name="2. Allocate emissions budget" sheetId="61" r:id="rId2"/>
    <sheet name="3. Technical adjustments" sheetId="10" r:id="rId3"/>
    <sheet name="Emissions comparisons" sheetId="63" r:id="rId4"/>
    <sheet name="4. Industrial free allocation" sheetId="62" r:id="rId5"/>
    <sheet name="5. Surplus reduction volume" sheetId="42" r:id="rId6"/>
    <sheet name="Hedging profile" sheetId="50" r:id="rId7"/>
    <sheet name="P90 trends" sheetId="52" r:id="rId8"/>
    <sheet name="Privately held units" sheetId="43" r:id="rId9"/>
    <sheet name="7. Auction volume" sheetId="33" r:id="rId10"/>
    <sheet name="Sensitivity analysis" sheetId="37" r:id="rId11"/>
    <sheet name="CCR volumes" sheetId="28" r:id="rId12"/>
    <sheet name="Current policy reference data" sheetId="49" r:id="rId13"/>
    <sheet name="Demonstration path data" sheetId="48" r:id="rId14"/>
  </sheets>
  <externalReferences>
    <externalReference r:id="rId15"/>
    <externalReference r:id="rId16"/>
  </externalReferences>
  <definedNames>
    <definedName name="averageage_DF">#REF!</definedName>
    <definedName name="averageage_pine">#REF!</definedName>
    <definedName name="averageCO2_DF">#REF!</definedName>
    <definedName name="averageCO2_pine">#REF!</definedName>
    <definedName name="CO_Macro_Drivers_TL" localSheetId="12">'Current policy reference data'!$D$7</definedName>
    <definedName name="CO_Macro_Drivers_TL" localSheetId="13">'Demonstration path data'!$D$7</definedName>
    <definedName name="Cur_Dump_Res_Out" localSheetId="12">'Current policy reference data'!#REF!</definedName>
    <definedName name="Cur_Dump_Res_Out" localSheetId="13">'Demonstration path data'!#REF!</definedName>
    <definedName name="GWP_CH4_AR4" localSheetId="7">'[1]AR4 vs AR5'!$B$3</definedName>
    <definedName name="GWP_CH4_AR4">#REF!</definedName>
    <definedName name="GWP_CH4_AR5" localSheetId="7">'[1]AR4 vs AR5'!$C$3</definedName>
    <definedName name="GWP_CH4_AR5">#REF!</definedName>
    <definedName name="GWP_CH4_AR5_conversion">#REF!</definedName>
    <definedName name="GWP_CH4_conversion">#REF!</definedName>
    <definedName name="GWP_Fgas_conversion" localSheetId="7">'[1]AR4 vs AR5'!$E$6</definedName>
    <definedName name="GWP_Fgas_conversion">#REF!</definedName>
    <definedName name="GWP_N2O_AR4" localSheetId="7">'[1]AR4 vs AR5'!$B$4</definedName>
    <definedName name="GWP_N2O_AR4">#REF!</definedName>
    <definedName name="GWP_N2O_AR5" localSheetId="7">'[1]AR4 vs AR5'!$C$4</definedName>
    <definedName name="GWP_N2O_AR5">#REF!</definedName>
    <definedName name="GWP_N2O_AR5_conversion">#REF!</definedName>
    <definedName name="GWP_N2O_conversion">#REF!</definedName>
    <definedName name="GWP_NO2_AR5_conversion">#REF!</definedName>
    <definedName name="harvestpercent_SC_DF">#REF!</definedName>
    <definedName name="harvestpercent_SC_pine">#REF!</definedName>
    <definedName name="IADemopath">#REF!</definedName>
    <definedName name="lambda" localSheetId="4">'4. Industrial free allocation'!#REF!</definedName>
    <definedName name="lambda" localSheetId="7">#REF!</definedName>
    <definedName name="lambda">#REF!</definedName>
    <definedName name="LO_Afforestation_TL" localSheetId="12">'Current policy reference data'!#REF!</definedName>
    <definedName name="LO_Afforestation_TL" localSheetId="13">'Demonstration path data'!#REF!</definedName>
    <definedName name="LO_Agri_CH4_TL" localSheetId="12">'Current policy reference data'!#REF!</definedName>
    <definedName name="LO_Agri_CH4_TL" localSheetId="13">'Demonstration path data'!#REF!</definedName>
    <definedName name="LO_Agri_N20_TL" localSheetId="12">'Current policy reference data'!#REF!</definedName>
    <definedName name="LO_Agri_N20_TL" localSheetId="13">'Demonstration path data'!#REF!</definedName>
    <definedName name="LO_AgriGas_TL" localSheetId="12">'Current policy reference data'!#REF!</definedName>
    <definedName name="LO_AgriGas_TL" localSheetId="13">'Demonstration path data'!#REF!</definedName>
    <definedName name="LO_Deforestation_TL" localSheetId="12">'Current policy reference data'!#REF!</definedName>
    <definedName name="LO_Deforestation_TL" localSheetId="13">'Demonstration path data'!#REF!</definedName>
    <definedName name="LO_Forest_Emissions_TL" localSheetId="12">'Current policy reference data'!#REF!</definedName>
    <definedName name="LO_Forest_Emissions_TL" localSheetId="13">'Demonstration path data'!#REF!</definedName>
    <definedName name="LO_GHG_Agri_Sector_TL" localSheetId="12">'Current policy reference data'!#REF!</definedName>
    <definedName name="LO_GHG_Agri_Sector_TL" localSheetId="13">'Demonstration path data'!#REF!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xidation">'[2]Other parameters'!$B$12</definedName>
    <definedName name="propbiomassremoved_DF" localSheetId="7">#REF!</definedName>
    <definedName name="propbiomassremoved_DF">#REF!</definedName>
    <definedName name="propbiomassremoved_pine" localSheetId="7">#REF!</definedName>
    <definedName name="propbiomassremoved_pine">#REF!</definedName>
    <definedName name="replantlag_DF" localSheetId="7">#REF!</definedName>
    <definedName name="replantlag_DF">#REF!</definedName>
    <definedName name="replantlag_pine">#REF!</definedName>
    <definedName name="rotationlength_DF">#REF!</definedName>
    <definedName name="rotationlength_pine">#REF!</definedName>
    <definedName name="Scn_ID" localSheetId="12">'Current policy reference data'!$A$1</definedName>
    <definedName name="Scn_ID" localSheetId="13">'Demonstration path data'!$A$1</definedName>
    <definedName name="tC">3.666667</definedName>
    <definedName name="TO_FleetEntry_TL" localSheetId="12">'Current policy reference data'!#REF!</definedName>
    <definedName name="TO_FleetEntry_TL" localSheetId="13">'Demonstration path data'!#REF!</definedName>
    <definedName name="TO_FleetExit_TL" localSheetId="12">'Current policy reference data'!#REF!</definedName>
    <definedName name="TO_FleetExit_TL" localSheetId="13">'Demonstration path data'!#REF!</definedName>
    <definedName name="TO_FleetNum_TL" localSheetId="12">'Current policy reference data'!#REF!</definedName>
    <definedName name="TO_FleetNum_TL" localSheetId="13">'Demonstration path data'!#REF!</definedName>
    <definedName name="TO_Freight_ModeShare_TL" localSheetId="12">'Current policy reference data'!#REF!</definedName>
    <definedName name="TO_Freight_ModeShare_TL" localSheetId="13">'Demonstration path data'!#REF!</definedName>
    <definedName name="TO_ICE_Emissions_Eff_TL" localSheetId="12">'Current policy reference data'!#REF!</definedName>
    <definedName name="TO_ICE_Emissions_Eff_TL" localSheetId="13">'Demonstration path data'!#REF!</definedName>
    <definedName name="TO_Pkt_TL" localSheetId="12">'Current policy reference data'!#REF!</definedName>
    <definedName name="TO_Pkt_TL" localSheetId="13">'Demonstration path data'!#REF!</definedName>
    <definedName name="TO_Vkt_Light_HouseComm_TL" localSheetId="12">'Current policy reference data'!#REF!</definedName>
    <definedName name="TO_Vkt_Light_HouseComm_TL" localSheetId="13">'Demonstration path data'!#REF!</definedName>
    <definedName name="WO_AnDigest_TL" localSheetId="12">'Current policy reference data'!#REF!</definedName>
    <definedName name="WO_AnDigest_TL" localSheetId="13">'Demonstration path data'!#REF!</definedName>
    <definedName name="WO_BoilFuel_TL" localSheetId="12">'Current policy reference data'!#REF!</definedName>
    <definedName name="WO_BoilFuel_TL" localSheetId="13">'Demonstration path data'!#REF!</definedName>
    <definedName name="WO_Cat_Total_TL" localSheetId="12">'Current policy reference data'!#REF!</definedName>
    <definedName name="WO_Cat_Total_TL" localSheetId="13">'Demonstration path data'!#REF!</definedName>
    <definedName name="WO_Comp_TL" localSheetId="12">'Current policy reference data'!#REF!</definedName>
    <definedName name="WO_Comp_TL" localSheetId="13">'Demonstration path data'!#REF!</definedName>
    <definedName name="WO_Gen_LflType_TL" localSheetId="12">'Current policy reference data'!#REF!</definedName>
    <definedName name="WO_Gen_LflType_TL" localSheetId="13">'Demonstration path data'!#REF!</definedName>
    <definedName name="WO_Gen_WstType_TL" localSheetId="12">'Current policy reference data'!#REF!</definedName>
    <definedName name="WO_Gen_WstType_TL" localSheetId="13">'Demonstration path data'!#REF!</definedName>
    <definedName name="WO_GHG_Total_TL" localSheetId="12">'Current policy reference data'!#REF!</definedName>
    <definedName name="WO_GHG_Total_TL" localSheetId="13">'Demonstration path data'!#REF!</definedName>
    <definedName name="WO_Lfl_Type_TL" localSheetId="12">'Current policy reference data'!#REF!</definedName>
    <definedName name="WO_Lfl_Type_TL" localSheetId="13">'Demonstration path data'!#REF!</definedName>
    <definedName name="WO_Lfl_WstType_TL" localSheetId="12">'Current policy reference data'!#REF!</definedName>
    <definedName name="WO_Lfl_WstType_TL" localSheetId="13">'Demonstration path data'!#REF!</definedName>
    <definedName name="WO_Recycle_TL" localSheetId="12">'Current policy reference data'!#REF!</definedName>
    <definedName name="WO_Recycle_TL" localSheetId="13">'Demonstration path data'!#REF!</definedName>
    <definedName name="WO_Solid_CH4_Split_TL" localSheetId="12">'Current policy reference data'!#REF!</definedName>
    <definedName name="WO_Solid_CH4_Split_TL" localSheetId="13">'Demonstration path data'!#REF!</definedName>
    <definedName name="XO_Avg_Household_Elec_Bills_TL" localSheetId="12">'Current policy reference data'!#REF!</definedName>
    <definedName name="XO_Avg_Household_Elec_Bills_TL" localSheetId="13">'Demonstration path data'!#REF!</definedName>
    <definedName name="XO_Avg_Household_Gas_Bills_TL" localSheetId="12">'Current policy reference data'!#REF!</definedName>
    <definedName name="XO_Avg_Household_Gas_Bills_TL" localSheetId="13">'Demonstration path data'!#REF!</definedName>
    <definedName name="XO_Biomass_STL" localSheetId="12">'Current policy reference data'!#REF!</definedName>
    <definedName name="XO_Biomass_STL" localSheetId="13">'Demonstration path data'!#REF!</definedName>
    <definedName name="XO_CH4_CCCSum_TL" localSheetId="12">'Current policy reference data'!#REF!</definedName>
    <definedName name="XO_CH4_CCCSum_TL" localSheetId="13">'Demonstration path data'!#REF!</definedName>
    <definedName name="XO_CH4_Sum_TL" localSheetId="12">'Current policy reference data'!#REF!</definedName>
    <definedName name="XO_CH4_Sum_TL" localSheetId="13">'Demonstration path data'!#REF!</definedName>
    <definedName name="XO_Combustion_emissions_by_fuel_TL" localSheetId="12">'Current policy reference data'!#REF!</definedName>
    <definedName name="XO_Combustion_emissions_by_fuel_TL" localSheetId="13">'Demonstration path data'!#REF!</definedName>
    <definedName name="XO_Cons_Elec_Price_FullyVar_TL" localSheetId="12">'Current policy reference data'!#REF!</definedName>
    <definedName name="XO_Cons_Elec_Price_FullyVar_TL" localSheetId="13">'Demonstration path data'!#REF!</definedName>
    <definedName name="XO_Elec_Demand_Detail_TL" localSheetId="12">'Current policy reference data'!#REF!</definedName>
    <definedName name="XO_Elec_Demand_Detail_TL" localSheetId="13">'Demonstration path data'!#REF!</definedName>
    <definedName name="XO_En_plus_IPPU_GHG_HIP_Split_TL" localSheetId="12">'Current policy reference data'!#REF!</definedName>
    <definedName name="XO_En_plus_IPPU_GHG_HIP_Split_TL" localSheetId="13">'Demonstration path data'!#REF!</definedName>
    <definedName name="XO_ETS_by_sector_TL" localSheetId="12">'Current policy reference data'!#REF!</definedName>
    <definedName name="XO_ETS_by_sector_TL" localSheetId="13">'Demonstration path data'!#REF!</definedName>
    <definedName name="XO_ETS_Total_by_gas_TL" localSheetId="12">'Current policy reference data'!#REF!</definedName>
    <definedName name="XO_ETS_Total_by_gas_TL" localSheetId="13">'Demonstration path data'!#REF!</definedName>
    <definedName name="XO_EV_Propn_Entry_TL" localSheetId="12">'Current policy reference data'!#REF!</definedName>
    <definedName name="XO_EV_Propn_Entry_TL" localSheetId="13">'Demonstration path data'!#REF!</definedName>
    <definedName name="XO_EV_Propn_Veh_TL" localSheetId="12">'Current policy reference data'!#REF!</definedName>
    <definedName name="XO_EV_Propn_Veh_TL" localSheetId="13">'Demonstration path data'!#REF!</definedName>
    <definedName name="XO_EV_Propn_vkt_TL" localSheetId="12">'Current policy reference data'!#REF!</definedName>
    <definedName name="XO_EV_Propn_vkt_TL" localSheetId="13">'Demonstration path data'!#REF!</definedName>
    <definedName name="XO_FoodProc_InputEn_TL" localSheetId="12">'Current policy reference data'!#REF!</definedName>
    <definedName name="XO_FoodProc_InputEn_TL" localSheetId="13">'Demonstration path data'!#REF!</definedName>
    <definedName name="XO_Fuel_Dem_Coal_TL" localSheetId="12">'Current policy reference data'!#REF!</definedName>
    <definedName name="XO_Fuel_Dem_Coal_TL" localSheetId="13">'Demonstration path data'!#REF!</definedName>
    <definedName name="XO_Fuel_Dem_Gas_TL" localSheetId="12">'Current policy reference data'!#REF!</definedName>
    <definedName name="XO_Fuel_Dem_Gas_TL" localSheetId="13">'Demonstration path data'!#REF!</definedName>
    <definedName name="XO_Fuel_Dem_Oil_noBIO_TL" localSheetId="12">'Current policy reference data'!#REF!</definedName>
    <definedName name="XO_Fuel_Dem_Oil_noBIO_TL" localSheetId="13">'Demonstration path data'!#REF!</definedName>
    <definedName name="XO_Fuel_Dem_Oil_TL" localSheetId="12">'Current policy reference data'!#REF!</definedName>
    <definedName name="XO_Fuel_Dem_Oil_TL" localSheetId="13">'Demonstration path data'!#REF!</definedName>
    <definedName name="XO_Fugitive_TL" localSheetId="12">'Current policy reference data'!#REF!</definedName>
    <definedName name="XO_Fugitive_TL" localSheetId="13">'Demonstration path data'!#REF!</definedName>
    <definedName name="XO_Gas_Field_Prodn_TL" localSheetId="12">'Current policy reference data'!#REF!</definedName>
    <definedName name="XO_Gas_Field_Prodn_TL" localSheetId="13">'Demonstration path data'!#REF!</definedName>
    <definedName name="XO_Gas_Price_Res_BreakdoTL" localSheetId="12">'Current policy reference data'!#REF!</definedName>
    <definedName name="XO_Gas_Price_Res_BreakdoTL" localSheetId="13">'Demonstration path data'!#REF!</definedName>
    <definedName name="XO_Gen_Emissions_Intensity_TL" localSheetId="12">'Current policy reference data'!#REF!</definedName>
    <definedName name="XO_Gen_Emissions_Intensity_TL" localSheetId="13">'Demonstration path data'!#REF!</definedName>
    <definedName name="XO_Gen_Fuel_TWh_TL" localSheetId="12">'Current policy reference data'!#REF!</definedName>
    <definedName name="XO_Gen_Fuel_TWh_TL" localSheetId="13">'Demonstration path data'!#REF!</definedName>
    <definedName name="XO_Gen_TWh_TL" localSheetId="12">'Current policy reference data'!#REF!</definedName>
    <definedName name="XO_Gen_TWh_TL" localSheetId="13">'Demonstration path data'!#REF!</definedName>
    <definedName name="XO_GenFuel_PJ_TL" localSheetId="12">'Current policy reference data'!#REF!</definedName>
    <definedName name="XO_GenFuel_PJ_TL" localSheetId="13">'Demonstration path data'!#REF!</definedName>
    <definedName name="XO_GHG_EnInd_TL" localSheetId="12">'Current policy reference data'!#REF!</definedName>
    <definedName name="XO_GHG_EnInd_TL" localSheetId="13">'Demonstration path data'!#REF!</definedName>
    <definedName name="XO_GHG_GenFuel_TL" localSheetId="12">'Current policy reference data'!#REF!</definedName>
    <definedName name="XO_GHG_GenFuel_TL" localSheetId="13">'Demonstration path data'!#REF!</definedName>
    <definedName name="XO_GHG_RCA_TL" localSheetId="12">'Current policy reference data'!#REF!</definedName>
    <definedName name="XO_GHG_RCA_TL" localSheetId="13">'Demonstration path data'!#REF!</definedName>
    <definedName name="XO_GHG_Sum_TL" localSheetId="12">'Current policy reference data'!$D$38</definedName>
    <definedName name="XO_GHG_Sum_TL" localSheetId="13">'Demonstration path data'!$D$38</definedName>
    <definedName name="XO_GHG_Tpt_Dom_TL" localSheetId="12">'Current policy reference data'!#REF!</definedName>
    <definedName name="XO_GHG_Tpt_Dom_TL" localSheetId="13">'Demonstration path data'!#REF!</definedName>
    <definedName name="XO_GHG_Tpt_Mode_Post_SynFuel_TL" localSheetId="12">'Current policy reference data'!#REF!</definedName>
    <definedName name="XO_GHG_Tpt_Mode_Post_SynFuel_TL" localSheetId="13">'Demonstration path data'!#REF!</definedName>
    <definedName name="XO_GHG_Tpt_Mode_Pre_SynFuel_TL" localSheetId="12">'Current policy reference data'!#REF!</definedName>
    <definedName name="XO_GHG_Tpt_Mode_Pre_SynFuel_TL" localSheetId="13">'Demonstration path data'!#REF!</definedName>
    <definedName name="XO_IPPU_TL" localSheetId="12">'Current policy reference data'!#REF!</definedName>
    <definedName name="XO_IPPU_TL" localSheetId="13">'Demonstration path data'!#REF!</definedName>
    <definedName name="XO_Lnd_Output_TL" localSheetId="12">'Current policy reference data'!#REF!</definedName>
    <definedName name="XO_Lnd_Output_TL" localSheetId="13">'Demonstration path data'!#REF!</definedName>
    <definedName name="XO_LndArea_Delta_TL" localSheetId="12">'Current policy reference data'!#REF!</definedName>
    <definedName name="XO_LndArea_Delta_TL" localSheetId="13">'Demonstration path data'!#REF!</definedName>
    <definedName name="XO_LndArea_TL" localSheetId="12">'Current policy reference data'!#REF!</definedName>
    <definedName name="XO_LndArea_TL" localSheetId="13">'Demonstration path data'!#REF!</definedName>
    <definedName name="XO_ManCon_GHG_En_TL" localSheetId="12">'Current policy reference data'!#REF!</definedName>
    <definedName name="XO_ManCon_GHG_En_TL" localSheetId="13">'Demonstration path data'!#REF!</definedName>
    <definedName name="XO_non_bio_gas_split_TL" localSheetId="12">'Current policy reference data'!#REF!</definedName>
    <definedName name="XO_non_bio_gas_split_TL" localSheetId="13">'Demonstration path data'!#REF!</definedName>
    <definedName name="XO_NonCH4_CCCSum_TL" localSheetId="12">'Current policy reference data'!#REF!</definedName>
    <definedName name="XO_NonCH4_CCCSum_TL" localSheetId="13">'Demonstration path data'!#REF!</definedName>
    <definedName name="XO_NonCH4_Sum_TL" localSheetId="12">'Current policy reference data'!#REF!</definedName>
    <definedName name="XO_NonCH4_Sum_TL" localSheetId="13">'Demonstration path data'!#REF!</definedName>
    <definedName name="XO_Pgen_Type_Emissions_TL" localSheetId="12">'Current policy reference data'!#REF!</definedName>
    <definedName name="XO_Pgen_Type_Emissions_TL" localSheetId="13">'Demonstration path data'!#REF!</definedName>
    <definedName name="XO_PRICE_ENERGY_TL" localSheetId="12">'Current policy reference data'!#REF!</definedName>
    <definedName name="XO_PRICE_ENERGY_TL" localSheetId="13">'Demonstration path data'!#REF!</definedName>
    <definedName name="XO_RCA_Tariff_ComponenTL" localSheetId="12">'Current policy reference data'!#REF!</definedName>
    <definedName name="XO_RCA_Tariff_ComponenTL" localSheetId="13">'Demonstration path data'!#REF!</definedName>
    <definedName name="XO_REG_FP_ELEC_TL" localSheetId="12">'Current policy reference data'!#REF!</definedName>
    <definedName name="XO_REG_FP_ELEC_TL" localSheetId="13">'Demonstration path data'!#REF!</definedName>
    <definedName name="XO_Sector_by_gas_TL" localSheetId="12">'Current policy reference data'!$D$48</definedName>
    <definedName name="XO_Sector_by_gas_TL" localSheetId="13">'Demonstration path data'!$D$48</definedName>
    <definedName name="XO_StockNum_TL" localSheetId="12">'Current policy reference data'!#REF!</definedName>
    <definedName name="XO_StockNum_TL" localSheetId="13">'Demonstration path data'!#REF!</definedName>
    <definedName name="XO_synFuelBlendprop_TL" localSheetId="12">'Current policy reference data'!#REF!</definedName>
    <definedName name="XO_synFuelBlendprop_TL" localSheetId="13">'Demonstration path data'!#REF!</definedName>
    <definedName name="XO_TFC_TL" localSheetId="12">'Current policy reference data'!#REF!</definedName>
    <definedName name="XO_TFC_TL" localSheetId="13">'Demonstration path data'!#REF!</definedName>
    <definedName name="XO_TPES_TL" localSheetId="12">'Current policy reference data'!#REF!</definedName>
    <definedName name="XO_TPES_TL" localSheetId="13">'Demonstration path data'!#REF!</definedName>
    <definedName name="XO_Tpt_Fossil_PJ_TL" localSheetId="12">'Current policy reference data'!#REF!</definedName>
    <definedName name="XO_Tpt_Fossil_PJ_TL" localSheetId="13">'Demonstration path data'!#REF!</definedName>
    <definedName name="XO_Vkt_Mode_Fuel_TL" localSheetId="12">'Current policy reference data'!#REF!</definedName>
    <definedName name="XO_Vkt_Mode_Fuel_TL" localSheetId="13">'Demonstration path 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61" l="1"/>
  <c r="F43" i="61"/>
  <c r="G43" i="61"/>
  <c r="H43" i="61"/>
  <c r="I43" i="61"/>
  <c r="J43" i="61"/>
  <c r="K43" i="61"/>
  <c r="L43" i="61"/>
  <c r="M43" i="61"/>
  <c r="N43" i="61"/>
  <c r="O43" i="61"/>
  <c r="P43" i="61"/>
  <c r="Q43" i="61"/>
  <c r="D43" i="61"/>
  <c r="G24" i="42"/>
  <c r="G25" i="42"/>
  <c r="G26" i="42"/>
  <c r="F24" i="42"/>
  <c r="F25" i="42"/>
  <c r="F26" i="42"/>
  <c r="E26" i="42"/>
  <c r="E24" i="42"/>
  <c r="E25" i="42"/>
  <c r="E4" i="42"/>
  <c r="E5" i="42"/>
  <c r="E6" i="42"/>
  <c r="E7" i="42"/>
  <c r="E8" i="42"/>
  <c r="E9" i="42"/>
  <c r="E10" i="42"/>
  <c r="E11" i="42"/>
  <c r="E12" i="42"/>
  <c r="E13" i="42"/>
  <c r="E14" i="42"/>
  <c r="E15" i="42"/>
  <c r="E16" i="42"/>
  <c r="E17" i="42"/>
  <c r="E18" i="42"/>
  <c r="E19" i="42"/>
  <c r="E20" i="42"/>
  <c r="E21" i="42"/>
  <c r="E22" i="42"/>
  <c r="E3" i="42"/>
  <c r="F4" i="42"/>
  <c r="F5" i="42"/>
  <c r="F6" i="42"/>
  <c r="F7" i="42"/>
  <c r="F8" i="42"/>
  <c r="F9" i="42"/>
  <c r="F10" i="42"/>
  <c r="F11" i="42"/>
  <c r="F12" i="42"/>
  <c r="F13" i="42"/>
  <c r="F14" i="42"/>
  <c r="F15" i="42"/>
  <c r="F16" i="42"/>
  <c r="F17" i="42"/>
  <c r="F18" i="42"/>
  <c r="F19" i="42"/>
  <c r="F20" i="42"/>
  <c r="F21" i="42"/>
  <c r="F22" i="42"/>
  <c r="F23" i="42"/>
  <c r="F3" i="42"/>
  <c r="D35" i="61"/>
  <c r="L12" i="63"/>
  <c r="G37" i="63"/>
  <c r="H37" i="63"/>
  <c r="I37" i="63"/>
  <c r="J37" i="63"/>
  <c r="K37" i="63"/>
  <c r="L37" i="63"/>
  <c r="M37" i="63"/>
  <c r="F37" i="63"/>
  <c r="D27" i="63"/>
  <c r="E27" i="63"/>
  <c r="F27" i="63"/>
  <c r="G27" i="63"/>
  <c r="H27" i="63"/>
  <c r="I27" i="63"/>
  <c r="J27" i="63"/>
  <c r="K27" i="63"/>
  <c r="L27" i="63"/>
  <c r="M27" i="63"/>
  <c r="C27" i="63"/>
  <c r="D22" i="63"/>
  <c r="E22" i="63"/>
  <c r="F22" i="63"/>
  <c r="G22" i="63"/>
  <c r="H22" i="63"/>
  <c r="I22" i="63"/>
  <c r="J22" i="63"/>
  <c r="K22" i="63"/>
  <c r="L22" i="63"/>
  <c r="M22" i="63"/>
  <c r="C22" i="63"/>
  <c r="D11" i="63"/>
  <c r="D12" i="63" s="1"/>
  <c r="E11" i="63"/>
  <c r="E12" i="63" s="1"/>
  <c r="F11" i="63"/>
  <c r="F12" i="63" s="1"/>
  <c r="G11" i="63"/>
  <c r="G12" i="63" s="1"/>
  <c r="H11" i="63"/>
  <c r="H12" i="63" s="1"/>
  <c r="I11" i="63"/>
  <c r="I12" i="63" s="1"/>
  <c r="J11" i="63"/>
  <c r="J12" i="63" s="1"/>
  <c r="K11" i="63"/>
  <c r="K12" i="63" s="1"/>
  <c r="L11" i="63"/>
  <c r="M11" i="63"/>
  <c r="M12" i="63" s="1"/>
  <c r="C11" i="63"/>
  <c r="C12" i="63" s="1"/>
  <c r="D17" i="63"/>
  <c r="E17" i="63"/>
  <c r="F17" i="63"/>
  <c r="G17" i="63"/>
  <c r="H17" i="63"/>
  <c r="I17" i="63"/>
  <c r="J17" i="63"/>
  <c r="K17" i="63"/>
  <c r="L17" i="63"/>
  <c r="M17" i="63"/>
  <c r="C17" i="63"/>
  <c r="D6" i="63"/>
  <c r="E6" i="63"/>
  <c r="F6" i="63"/>
  <c r="G6" i="63"/>
  <c r="H6" i="63"/>
  <c r="I6" i="63"/>
  <c r="J6" i="63"/>
  <c r="K6" i="63"/>
  <c r="L6" i="63"/>
  <c r="M6" i="63"/>
  <c r="C6" i="63"/>
  <c r="D14" i="42" l="1"/>
  <c r="D15" i="42"/>
  <c r="D13" i="42"/>
  <c r="E12" i="37"/>
  <c r="F12" i="37"/>
  <c r="G12" i="37"/>
  <c r="H12" i="37"/>
  <c r="I12" i="37"/>
  <c r="J12" i="37"/>
  <c r="K12" i="37"/>
  <c r="D12" i="37"/>
  <c r="E32" i="50"/>
  <c r="F32" i="50"/>
  <c r="G32" i="50"/>
  <c r="H32" i="50"/>
  <c r="D32" i="50"/>
  <c r="D12" i="33"/>
  <c r="E12" i="33"/>
  <c r="F12" i="33"/>
  <c r="G12" i="33"/>
  <c r="H12" i="33"/>
  <c r="I12" i="33"/>
  <c r="J12" i="33"/>
  <c r="C12" i="33"/>
  <c r="L58" i="62"/>
  <c r="D57" i="62"/>
  <c r="D55" i="62"/>
  <c r="AQ52" i="62"/>
  <c r="AP52" i="62"/>
  <c r="AO52" i="62"/>
  <c r="AN52" i="62"/>
  <c r="AM52" i="62"/>
  <c r="AL52" i="62"/>
  <c r="AK52" i="62"/>
  <c r="AJ52" i="62"/>
  <c r="AI52" i="62"/>
  <c r="AH52" i="62"/>
  <c r="AG52" i="62"/>
  <c r="AF52" i="62"/>
  <c r="AE52" i="62"/>
  <c r="AD52" i="62"/>
  <c r="AC52" i="62"/>
  <c r="AB52" i="62"/>
  <c r="AA52" i="62"/>
  <c r="Z52" i="62"/>
  <c r="Y52" i="62"/>
  <c r="X52" i="62"/>
  <c r="W52" i="62"/>
  <c r="V52" i="62"/>
  <c r="U52" i="62"/>
  <c r="T52" i="62"/>
  <c r="S52" i="62"/>
  <c r="R52" i="62"/>
  <c r="Q52" i="62"/>
  <c r="L52" i="62"/>
  <c r="L50" i="62"/>
  <c r="D49" i="62"/>
  <c r="M31" i="62"/>
  <c r="M60" i="62" s="1"/>
  <c r="L31" i="62"/>
  <c r="L60" i="62" s="1"/>
  <c r="K31" i="62"/>
  <c r="K60" i="62" s="1"/>
  <c r="J31" i="62"/>
  <c r="J60" i="62" s="1"/>
  <c r="I31" i="62"/>
  <c r="I60" i="62" s="1"/>
  <c r="H31" i="62"/>
  <c r="H60" i="62" s="1"/>
  <c r="G31" i="62"/>
  <c r="G60" i="62" s="1"/>
  <c r="F31" i="62"/>
  <c r="F60" i="62" s="1"/>
  <c r="E31" i="62"/>
  <c r="E60" i="62" s="1"/>
  <c r="D31" i="62"/>
  <c r="D60" i="62" s="1"/>
  <c r="M30" i="62"/>
  <c r="M59" i="62" s="1"/>
  <c r="L30" i="62"/>
  <c r="L59" i="62" s="1"/>
  <c r="K30" i="62"/>
  <c r="K59" i="62" s="1"/>
  <c r="J30" i="62"/>
  <c r="J59" i="62" s="1"/>
  <c r="I30" i="62"/>
  <c r="I59" i="62" s="1"/>
  <c r="H30" i="62"/>
  <c r="H59" i="62" s="1"/>
  <c r="G30" i="62"/>
  <c r="G59" i="62" s="1"/>
  <c r="F30" i="62"/>
  <c r="F59" i="62" s="1"/>
  <c r="E30" i="62"/>
  <c r="E59" i="62" s="1"/>
  <c r="D30" i="62"/>
  <c r="D59" i="62" s="1"/>
  <c r="M29" i="62"/>
  <c r="M58" i="62" s="1"/>
  <c r="L29" i="62"/>
  <c r="K29" i="62"/>
  <c r="K58" i="62" s="1"/>
  <c r="J29" i="62"/>
  <c r="J58" i="62" s="1"/>
  <c r="I29" i="62"/>
  <c r="I58" i="62" s="1"/>
  <c r="H29" i="62"/>
  <c r="H58" i="62" s="1"/>
  <c r="G29" i="62"/>
  <c r="G58" i="62" s="1"/>
  <c r="F29" i="62"/>
  <c r="F58" i="62" s="1"/>
  <c r="E29" i="62"/>
  <c r="E58" i="62" s="1"/>
  <c r="D29" i="62"/>
  <c r="D58" i="62" s="1"/>
  <c r="M28" i="62"/>
  <c r="M57" i="62" s="1"/>
  <c r="L28" i="62"/>
  <c r="L57" i="62" s="1"/>
  <c r="K28" i="62"/>
  <c r="K57" i="62" s="1"/>
  <c r="J28" i="62"/>
  <c r="J57" i="62" s="1"/>
  <c r="I28" i="62"/>
  <c r="I57" i="62" s="1"/>
  <c r="H28" i="62"/>
  <c r="H57" i="62" s="1"/>
  <c r="G28" i="62"/>
  <c r="G57" i="62" s="1"/>
  <c r="F28" i="62"/>
  <c r="F57" i="62" s="1"/>
  <c r="E28" i="62"/>
  <c r="E57" i="62" s="1"/>
  <c r="D28" i="62"/>
  <c r="N27" i="62"/>
  <c r="N56" i="62" s="1"/>
  <c r="M27" i="62"/>
  <c r="M56" i="62" s="1"/>
  <c r="L27" i="62"/>
  <c r="L56" i="62" s="1"/>
  <c r="K27" i="62"/>
  <c r="K56" i="62" s="1"/>
  <c r="J27" i="62"/>
  <c r="J56" i="62" s="1"/>
  <c r="I27" i="62"/>
  <c r="I56" i="62" s="1"/>
  <c r="H27" i="62"/>
  <c r="H56" i="62" s="1"/>
  <c r="G27" i="62"/>
  <c r="G56" i="62" s="1"/>
  <c r="F27" i="62"/>
  <c r="F56" i="62" s="1"/>
  <c r="E27" i="62"/>
  <c r="E56" i="62" s="1"/>
  <c r="D27" i="62"/>
  <c r="D56" i="62" s="1"/>
  <c r="N26" i="62"/>
  <c r="N55" i="62" s="1"/>
  <c r="M26" i="62"/>
  <c r="M55" i="62" s="1"/>
  <c r="L26" i="62"/>
  <c r="L55" i="62" s="1"/>
  <c r="K26" i="62"/>
  <c r="K55" i="62" s="1"/>
  <c r="J26" i="62"/>
  <c r="J55" i="62" s="1"/>
  <c r="I26" i="62"/>
  <c r="I55" i="62" s="1"/>
  <c r="H26" i="62"/>
  <c r="H55" i="62" s="1"/>
  <c r="G26" i="62"/>
  <c r="G55" i="62" s="1"/>
  <c r="F26" i="62"/>
  <c r="F55" i="62" s="1"/>
  <c r="E26" i="62"/>
  <c r="E55" i="62" s="1"/>
  <c r="D26" i="62"/>
  <c r="N25" i="62"/>
  <c r="N54" i="62" s="1"/>
  <c r="M25" i="62"/>
  <c r="M54" i="62" s="1"/>
  <c r="L25" i="62"/>
  <c r="L54" i="62" s="1"/>
  <c r="K25" i="62"/>
  <c r="K54" i="62" s="1"/>
  <c r="J25" i="62"/>
  <c r="J54" i="62" s="1"/>
  <c r="I25" i="62"/>
  <c r="I54" i="62" s="1"/>
  <c r="H25" i="62"/>
  <c r="H54" i="62" s="1"/>
  <c r="G25" i="62"/>
  <c r="G54" i="62" s="1"/>
  <c r="F25" i="62"/>
  <c r="F54" i="62" s="1"/>
  <c r="E25" i="62"/>
  <c r="E54" i="62" s="1"/>
  <c r="D25" i="62"/>
  <c r="D54" i="62" s="1"/>
  <c r="M24" i="62"/>
  <c r="M53" i="62" s="1"/>
  <c r="L24" i="62"/>
  <c r="L53" i="62" s="1"/>
  <c r="K24" i="62"/>
  <c r="K53" i="62" s="1"/>
  <c r="J24" i="62"/>
  <c r="J53" i="62" s="1"/>
  <c r="I24" i="62"/>
  <c r="I53" i="62" s="1"/>
  <c r="H24" i="62"/>
  <c r="H53" i="62" s="1"/>
  <c r="G24" i="62"/>
  <c r="G53" i="62" s="1"/>
  <c r="F24" i="62"/>
  <c r="F53" i="62" s="1"/>
  <c r="E24" i="62"/>
  <c r="E53" i="62" s="1"/>
  <c r="D24" i="62"/>
  <c r="D53" i="62" s="1"/>
  <c r="M23" i="62"/>
  <c r="M52" i="62" s="1"/>
  <c r="L23" i="62"/>
  <c r="K23" i="62"/>
  <c r="K52" i="62" s="1"/>
  <c r="J23" i="62"/>
  <c r="J52" i="62" s="1"/>
  <c r="I23" i="62"/>
  <c r="I52" i="62" s="1"/>
  <c r="H23" i="62"/>
  <c r="H52" i="62" s="1"/>
  <c r="G23" i="62"/>
  <c r="G52" i="62" s="1"/>
  <c r="F23" i="62"/>
  <c r="F52" i="62" s="1"/>
  <c r="E23" i="62"/>
  <c r="E52" i="62" s="1"/>
  <c r="D23" i="62"/>
  <c r="D52" i="62" s="1"/>
  <c r="M22" i="62"/>
  <c r="M51" i="62" s="1"/>
  <c r="L22" i="62"/>
  <c r="L51" i="62" s="1"/>
  <c r="K22" i="62"/>
  <c r="K51" i="62" s="1"/>
  <c r="J22" i="62"/>
  <c r="J51" i="62" s="1"/>
  <c r="I22" i="62"/>
  <c r="I51" i="62" s="1"/>
  <c r="H22" i="62"/>
  <c r="H51" i="62" s="1"/>
  <c r="G22" i="62"/>
  <c r="G51" i="62" s="1"/>
  <c r="F22" i="62"/>
  <c r="F51" i="62" s="1"/>
  <c r="E22" i="62"/>
  <c r="E51" i="62" s="1"/>
  <c r="D22" i="62"/>
  <c r="D51" i="62" s="1"/>
  <c r="M21" i="62"/>
  <c r="M50" i="62" s="1"/>
  <c r="L21" i="62"/>
  <c r="K21" i="62"/>
  <c r="K50" i="62" s="1"/>
  <c r="J21" i="62"/>
  <c r="J50" i="62" s="1"/>
  <c r="I21" i="62"/>
  <c r="I50" i="62" s="1"/>
  <c r="H21" i="62"/>
  <c r="H50" i="62" s="1"/>
  <c r="G21" i="62"/>
  <c r="G50" i="62" s="1"/>
  <c r="F21" i="62"/>
  <c r="F50" i="62" s="1"/>
  <c r="E21" i="62"/>
  <c r="E50" i="62" s="1"/>
  <c r="D21" i="62"/>
  <c r="D50" i="62" s="1"/>
  <c r="M20" i="62"/>
  <c r="L20" i="62"/>
  <c r="K20" i="62"/>
  <c r="J20" i="62"/>
  <c r="I20" i="62"/>
  <c r="H20" i="62"/>
  <c r="G20" i="62"/>
  <c r="F20" i="62"/>
  <c r="E20" i="62"/>
  <c r="D20" i="62"/>
  <c r="M15" i="62"/>
  <c r="L15" i="62"/>
  <c r="K15" i="62"/>
  <c r="J15" i="62"/>
  <c r="I15" i="62"/>
  <c r="H15" i="62"/>
  <c r="G15" i="62"/>
  <c r="F15" i="62"/>
  <c r="E15" i="62"/>
  <c r="D15" i="62"/>
  <c r="C15" i="62"/>
  <c r="Q14" i="62"/>
  <c r="Q31" i="62" s="1"/>
  <c r="Q60" i="62" s="1"/>
  <c r="O14" i="62"/>
  <c r="O31" i="62" s="1"/>
  <c r="O60" i="62" s="1"/>
  <c r="N14" i="62"/>
  <c r="O13" i="62"/>
  <c r="O30" i="62" s="1"/>
  <c r="O59" i="62" s="1"/>
  <c r="N13" i="62"/>
  <c r="N30" i="62" s="1"/>
  <c r="N59" i="62" s="1"/>
  <c r="N12" i="62"/>
  <c r="N29" i="62" s="1"/>
  <c r="N58" i="62" s="1"/>
  <c r="N11" i="62"/>
  <c r="O11" i="62" s="1"/>
  <c r="O28" i="62" s="1"/>
  <c r="O57" i="62" s="1"/>
  <c r="N10" i="62"/>
  <c r="O10" i="62" s="1"/>
  <c r="R9" i="62"/>
  <c r="O9" i="62"/>
  <c r="P9" i="62" s="1"/>
  <c r="Q9" i="62" s="1"/>
  <c r="Q26" i="62" s="1"/>
  <c r="Q55" i="62" s="1"/>
  <c r="N9" i="62"/>
  <c r="P8" i="62"/>
  <c r="Q8" i="62" s="1"/>
  <c r="Q25" i="62" s="1"/>
  <c r="Q54" i="62" s="1"/>
  <c r="N8" i="62"/>
  <c r="O8" i="62" s="1"/>
  <c r="O25" i="62" s="1"/>
  <c r="O54" i="62" s="1"/>
  <c r="N7" i="62"/>
  <c r="O7" i="62" s="1"/>
  <c r="O24" i="62" s="1"/>
  <c r="O53" i="62" s="1"/>
  <c r="N6" i="62"/>
  <c r="M6" i="62"/>
  <c r="N5" i="62"/>
  <c r="O5" i="62" s="1"/>
  <c r="O22" i="62" s="1"/>
  <c r="O51" i="62" s="1"/>
  <c r="N4" i="62"/>
  <c r="O3" i="62"/>
  <c r="P3" i="62" s="1"/>
  <c r="N3" i="62"/>
  <c r="D22" i="33"/>
  <c r="E22" i="33"/>
  <c r="F22" i="33"/>
  <c r="G22" i="33"/>
  <c r="C22" i="33"/>
  <c r="P20" i="62" l="1"/>
  <c r="Q3" i="62"/>
  <c r="N20" i="62"/>
  <c r="N15" i="62"/>
  <c r="P5" i="62"/>
  <c r="R8" i="62"/>
  <c r="P10" i="62"/>
  <c r="O27" i="62"/>
  <c r="O56" i="62" s="1"/>
  <c r="P11" i="62"/>
  <c r="P26" i="62"/>
  <c r="P55" i="62" s="1"/>
  <c r="K49" i="62"/>
  <c r="K62" i="62" s="1"/>
  <c r="K63" i="62" s="1"/>
  <c r="K32" i="62"/>
  <c r="N24" i="62"/>
  <c r="N53" i="62" s="1"/>
  <c r="N28" i="62"/>
  <c r="N57" i="62" s="1"/>
  <c r="D62" i="62"/>
  <c r="D63" i="62" s="1"/>
  <c r="O20" i="62"/>
  <c r="N31" i="62"/>
  <c r="N60" i="62" s="1"/>
  <c r="P14" i="62"/>
  <c r="O6" i="62"/>
  <c r="N23" i="62"/>
  <c r="N52" i="62" s="1"/>
  <c r="D32" i="62"/>
  <c r="L32" i="62"/>
  <c r="E49" i="62"/>
  <c r="E62" i="62" s="1"/>
  <c r="E63" i="62" s="1"/>
  <c r="E32" i="62"/>
  <c r="M49" i="62"/>
  <c r="M62" i="62" s="1"/>
  <c r="M63" i="62" s="1"/>
  <c r="M32" i="62"/>
  <c r="N21" i="62"/>
  <c r="N50" i="62" s="1"/>
  <c r="O4" i="62"/>
  <c r="O15" i="62" s="1"/>
  <c r="R26" i="62"/>
  <c r="R55" i="62" s="1"/>
  <c r="S9" i="62"/>
  <c r="P7" i="62"/>
  <c r="P25" i="62"/>
  <c r="P54" i="62" s="1"/>
  <c r="O26" i="62"/>
  <c r="O55" i="62" s="1"/>
  <c r="F49" i="62"/>
  <c r="F62" i="62" s="1"/>
  <c r="F63" i="62" s="1"/>
  <c r="F32" i="62"/>
  <c r="N22" i="62"/>
  <c r="N51" i="62" s="1"/>
  <c r="L49" i="62"/>
  <c r="L62" i="62" s="1"/>
  <c r="L63" i="62" s="1"/>
  <c r="G49" i="62"/>
  <c r="G62" i="62" s="1"/>
  <c r="G63" i="62" s="1"/>
  <c r="G32" i="62"/>
  <c r="H49" i="62"/>
  <c r="H62" i="62" s="1"/>
  <c r="H63" i="62" s="1"/>
  <c r="H32" i="62"/>
  <c r="P13" i="62"/>
  <c r="I49" i="62"/>
  <c r="I62" i="62" s="1"/>
  <c r="I63" i="62" s="1"/>
  <c r="I32" i="62"/>
  <c r="O12" i="62"/>
  <c r="S14" i="62"/>
  <c r="J49" i="62"/>
  <c r="J62" i="62" s="1"/>
  <c r="J63" i="62" s="1"/>
  <c r="J32" i="62"/>
  <c r="D8" i="61"/>
  <c r="D32" i="61"/>
  <c r="D31" i="61"/>
  <c r="D5" i="10"/>
  <c r="D4" i="10"/>
  <c r="R4" i="10" s="1"/>
  <c r="D46" i="42"/>
  <c r="E46" i="42" s="1"/>
  <c r="G27" i="52" a="1"/>
  <c r="G27" i="52"/>
  <c r="H27" i="52"/>
  <c r="E48" i="52"/>
  <c r="E27" i="52"/>
  <c r="D27" i="52" a="1"/>
  <c r="D27" i="52"/>
  <c r="H48" i="52"/>
  <c r="D17" i="42"/>
  <c r="D3" i="42"/>
  <c r="I14" i="43"/>
  <c r="C14" i="43"/>
  <c r="B14" i="43"/>
  <c r="I6" i="43"/>
  <c r="I5" i="43"/>
  <c r="H34" i="52"/>
  <c r="D36" i="42"/>
  <c r="D31" i="42"/>
  <c r="S53" i="61"/>
  <c r="D63" i="61"/>
  <c r="E63" i="61"/>
  <c r="F63" i="61"/>
  <c r="G63" i="61"/>
  <c r="H63" i="61"/>
  <c r="I63" i="61"/>
  <c r="J63" i="61"/>
  <c r="K63" i="61"/>
  <c r="L63" i="61"/>
  <c r="M63" i="61"/>
  <c r="N63" i="61"/>
  <c r="O63" i="61"/>
  <c r="P63" i="61"/>
  <c r="Q63" i="61"/>
  <c r="D76" i="61"/>
  <c r="E76" i="61"/>
  <c r="D17" i="50" s="1"/>
  <c r="F76" i="61"/>
  <c r="E17" i="50" s="1"/>
  <c r="G76" i="61"/>
  <c r="F17" i="50" s="1"/>
  <c r="H76" i="61"/>
  <c r="G17" i="50" s="1"/>
  <c r="I76" i="61"/>
  <c r="H17" i="50" s="1"/>
  <c r="J76" i="61"/>
  <c r="K76" i="61"/>
  <c r="L76" i="61"/>
  <c r="M76" i="61"/>
  <c r="N76" i="61"/>
  <c r="O76" i="61"/>
  <c r="P76" i="61"/>
  <c r="Q76" i="61"/>
  <c r="E19" i="61"/>
  <c r="F19" i="61"/>
  <c r="G19" i="61"/>
  <c r="H19" i="61"/>
  <c r="I19" i="61"/>
  <c r="J19" i="61"/>
  <c r="K19" i="61"/>
  <c r="L19" i="61"/>
  <c r="M19" i="61"/>
  <c r="N19" i="61"/>
  <c r="O19" i="61"/>
  <c r="P19" i="61"/>
  <c r="Q19" i="61"/>
  <c r="D19" i="61"/>
  <c r="E16" i="61"/>
  <c r="F16" i="61"/>
  <c r="G16" i="61"/>
  <c r="H16" i="61"/>
  <c r="I16" i="61"/>
  <c r="J16" i="61"/>
  <c r="K16" i="61"/>
  <c r="L16" i="61"/>
  <c r="M16" i="61"/>
  <c r="N16" i="61"/>
  <c r="O16" i="61"/>
  <c r="P16" i="61"/>
  <c r="Q16" i="61"/>
  <c r="D16" i="61"/>
  <c r="E15" i="61"/>
  <c r="E5" i="10"/>
  <c r="F5" i="10"/>
  <c r="G5" i="10"/>
  <c r="H5" i="10"/>
  <c r="I5" i="10"/>
  <c r="J5" i="10"/>
  <c r="K5" i="10"/>
  <c r="L5" i="10"/>
  <c r="M5" i="10"/>
  <c r="N5" i="10"/>
  <c r="O5" i="10"/>
  <c r="P5" i="10"/>
  <c r="E4" i="10"/>
  <c r="F4" i="10"/>
  <c r="G4" i="10"/>
  <c r="H4" i="10"/>
  <c r="I4" i="10"/>
  <c r="J4" i="10"/>
  <c r="K4" i="10"/>
  <c r="L4" i="10"/>
  <c r="M4" i="10"/>
  <c r="N4" i="10"/>
  <c r="O4" i="10"/>
  <c r="P4" i="10"/>
  <c r="E8" i="10"/>
  <c r="E9" i="10" s="1"/>
  <c r="F8" i="10"/>
  <c r="F9" i="10" s="1"/>
  <c r="G8" i="10"/>
  <c r="G9" i="10" s="1"/>
  <c r="H8" i="10"/>
  <c r="H9" i="10" s="1"/>
  <c r="I8" i="10"/>
  <c r="I9" i="10" s="1"/>
  <c r="J8" i="10"/>
  <c r="J9" i="10" s="1"/>
  <c r="K8" i="10"/>
  <c r="K9" i="10" s="1"/>
  <c r="L8" i="10"/>
  <c r="L9" i="10" s="1"/>
  <c r="M8" i="10"/>
  <c r="M9" i="10" s="1"/>
  <c r="N8" i="10"/>
  <c r="N9" i="10" s="1"/>
  <c r="O8" i="10"/>
  <c r="O9" i="10" s="1"/>
  <c r="P8" i="10"/>
  <c r="P9" i="10" s="1"/>
  <c r="D8" i="10"/>
  <c r="D9" i="10" s="1"/>
  <c r="R9" i="10" l="1"/>
  <c r="R5" i="10"/>
  <c r="I17" i="50"/>
  <c r="D11" i="10"/>
  <c r="D24" i="50"/>
  <c r="Q10" i="62"/>
  <c r="P27" i="62"/>
  <c r="P56" i="62" s="1"/>
  <c r="O29" i="62"/>
  <c r="O58" i="62" s="1"/>
  <c r="P12" i="62"/>
  <c r="R25" i="62"/>
  <c r="R54" i="62" s="1"/>
  <c r="S8" i="62"/>
  <c r="S26" i="62"/>
  <c r="S55" i="62" s="1"/>
  <c r="T9" i="62"/>
  <c r="P6" i="62"/>
  <c r="P23" i="62" s="1"/>
  <c r="P52" i="62" s="1"/>
  <c r="O23" i="62"/>
  <c r="O52" i="62" s="1"/>
  <c r="P22" i="62"/>
  <c r="P51" i="62" s="1"/>
  <c r="Q5" i="62"/>
  <c r="P30" i="62"/>
  <c r="P59" i="62" s="1"/>
  <c r="Q13" i="62"/>
  <c r="P31" i="62"/>
  <c r="P60" i="62" s="1"/>
  <c r="R14" i="62"/>
  <c r="N49" i="62"/>
  <c r="N62" i="62" s="1"/>
  <c r="N63" i="62" s="1"/>
  <c r="N32" i="62"/>
  <c r="S31" i="62"/>
  <c r="S60" i="62" s="1"/>
  <c r="U14" i="62"/>
  <c r="Q20" i="62"/>
  <c r="R3" i="62"/>
  <c r="Q11" i="62"/>
  <c r="P28" i="62"/>
  <c r="P57" i="62" s="1"/>
  <c r="O21" i="62"/>
  <c r="O50" i="62" s="1"/>
  <c r="P4" i="62"/>
  <c r="Q7" i="62"/>
  <c r="P24" i="62"/>
  <c r="P53" i="62" s="1"/>
  <c r="O49" i="62"/>
  <c r="O62" i="62" s="1"/>
  <c r="O63" i="62" s="1"/>
  <c r="O32" i="62"/>
  <c r="P49" i="62"/>
  <c r="S76" i="61"/>
  <c r="S63" i="61"/>
  <c r="D41" i="50" l="1"/>
  <c r="D36" i="50"/>
  <c r="D46" i="50"/>
  <c r="T26" i="62"/>
  <c r="T55" i="62" s="1"/>
  <c r="U9" i="62"/>
  <c r="R7" i="62"/>
  <c r="Q24" i="62"/>
  <c r="Q53" i="62" s="1"/>
  <c r="P29" i="62"/>
  <c r="P58" i="62" s="1"/>
  <c r="Q12" i="62"/>
  <c r="S25" i="62"/>
  <c r="S54" i="62" s="1"/>
  <c r="T8" i="62"/>
  <c r="R11" i="62"/>
  <c r="Q28" i="62"/>
  <c r="Q57" i="62" s="1"/>
  <c r="R20" i="62"/>
  <c r="S3" i="62"/>
  <c r="Q49" i="62"/>
  <c r="Q22" i="62"/>
  <c r="Q51" i="62" s="1"/>
  <c r="R5" i="62"/>
  <c r="R31" i="62"/>
  <c r="R60" i="62" s="1"/>
  <c r="T14" i="62"/>
  <c r="Q30" i="62"/>
  <c r="Q59" i="62" s="1"/>
  <c r="R13" i="62"/>
  <c r="U31" i="62"/>
  <c r="U60" i="62" s="1"/>
  <c r="W14" i="62"/>
  <c r="P21" i="62"/>
  <c r="Q4" i="62"/>
  <c r="P15" i="62"/>
  <c r="R10" i="62"/>
  <c r="Q27" i="62"/>
  <c r="Q56" i="62" s="1"/>
  <c r="D14" i="61"/>
  <c r="D15" i="61"/>
  <c r="D18" i="61"/>
  <c r="D17" i="61"/>
  <c r="D33" i="61"/>
  <c r="D54" i="61"/>
  <c r="D34" i="61"/>
  <c r="D36" i="61"/>
  <c r="Q36" i="61"/>
  <c r="P36" i="61"/>
  <c r="O36" i="61"/>
  <c r="N36" i="61"/>
  <c r="M36" i="61"/>
  <c r="L36" i="61"/>
  <c r="K36" i="61"/>
  <c r="J36" i="61"/>
  <c r="I36" i="61"/>
  <c r="H36" i="61"/>
  <c r="G36" i="61"/>
  <c r="F36" i="61"/>
  <c r="E36" i="61"/>
  <c r="F34" i="61"/>
  <c r="G34" i="61"/>
  <c r="H34" i="61"/>
  <c r="I34" i="61"/>
  <c r="J34" i="61"/>
  <c r="K34" i="61"/>
  <c r="L34" i="61"/>
  <c r="M34" i="61"/>
  <c r="N34" i="61"/>
  <c r="O34" i="61"/>
  <c r="P34" i="61"/>
  <c r="Q34" i="61"/>
  <c r="E34" i="61"/>
  <c r="F35" i="61"/>
  <c r="F54" i="61" s="1"/>
  <c r="G35" i="61"/>
  <c r="G54" i="61" s="1"/>
  <c r="H35" i="61"/>
  <c r="H54" i="61" s="1"/>
  <c r="I35" i="61"/>
  <c r="I54" i="61" s="1"/>
  <c r="J35" i="61"/>
  <c r="J54" i="61" s="1"/>
  <c r="K35" i="61"/>
  <c r="K54" i="61" s="1"/>
  <c r="L35" i="61"/>
  <c r="L54" i="61" s="1"/>
  <c r="M35" i="61"/>
  <c r="M54" i="61" s="1"/>
  <c r="N35" i="61"/>
  <c r="N54" i="61" s="1"/>
  <c r="O35" i="61"/>
  <c r="O54" i="61" s="1"/>
  <c r="P35" i="61"/>
  <c r="P54" i="61" s="1"/>
  <c r="Q35" i="61"/>
  <c r="Q54" i="61" s="1"/>
  <c r="E35" i="61"/>
  <c r="E54" i="61" s="1"/>
  <c r="F33" i="61"/>
  <c r="G33" i="61"/>
  <c r="H33" i="61"/>
  <c r="I33" i="61"/>
  <c r="J33" i="61"/>
  <c r="K33" i="61"/>
  <c r="L33" i="61"/>
  <c r="M33" i="61"/>
  <c r="N33" i="61"/>
  <c r="O33" i="61"/>
  <c r="P33" i="61"/>
  <c r="Q33" i="61"/>
  <c r="E33" i="61"/>
  <c r="F32" i="61"/>
  <c r="G32" i="61"/>
  <c r="H32" i="61"/>
  <c r="I32" i="61"/>
  <c r="J32" i="61"/>
  <c r="K32" i="61"/>
  <c r="L32" i="61"/>
  <c r="M32" i="61"/>
  <c r="N32" i="61"/>
  <c r="O32" i="61"/>
  <c r="P32" i="61"/>
  <c r="Q32" i="61"/>
  <c r="E32" i="61"/>
  <c r="F31" i="61"/>
  <c r="G31" i="61"/>
  <c r="H31" i="61"/>
  <c r="I31" i="61"/>
  <c r="J31" i="61"/>
  <c r="K31" i="61"/>
  <c r="L31" i="61"/>
  <c r="M31" i="61"/>
  <c r="N31" i="61"/>
  <c r="O31" i="61"/>
  <c r="P31" i="61"/>
  <c r="Q31" i="61"/>
  <c r="E31" i="61"/>
  <c r="F17" i="61"/>
  <c r="G17" i="61"/>
  <c r="H17" i="61"/>
  <c r="I17" i="61"/>
  <c r="J17" i="61"/>
  <c r="K17" i="61"/>
  <c r="L17" i="61"/>
  <c r="M17" i="61"/>
  <c r="N17" i="61"/>
  <c r="O17" i="61"/>
  <c r="P17" i="61"/>
  <c r="Q17" i="61"/>
  <c r="E17" i="61"/>
  <c r="Q18" i="61"/>
  <c r="P18" i="61"/>
  <c r="O18" i="61"/>
  <c r="N18" i="61"/>
  <c r="M18" i="61"/>
  <c r="L18" i="61"/>
  <c r="K18" i="61"/>
  <c r="J18" i="61"/>
  <c r="I18" i="61"/>
  <c r="H18" i="61"/>
  <c r="G18" i="61"/>
  <c r="F18" i="61"/>
  <c r="E18" i="61"/>
  <c r="F15" i="61"/>
  <c r="G15" i="61"/>
  <c r="H15" i="61"/>
  <c r="I15" i="61"/>
  <c r="J15" i="61"/>
  <c r="K15" i="61"/>
  <c r="L15" i="61"/>
  <c r="M15" i="61"/>
  <c r="N15" i="61"/>
  <c r="O15" i="61"/>
  <c r="P15" i="61"/>
  <c r="Q15" i="61"/>
  <c r="Q29" i="62" l="1"/>
  <c r="Q58" i="62" s="1"/>
  <c r="R12" i="62"/>
  <c r="S20" i="62"/>
  <c r="T3" i="62"/>
  <c r="W31" i="62"/>
  <c r="W60" i="62" s="1"/>
  <c r="Y14" i="62"/>
  <c r="R30" i="62"/>
  <c r="R59" i="62" s="1"/>
  <c r="S13" i="62"/>
  <c r="S10" i="62"/>
  <c r="R27" i="62"/>
  <c r="R56" i="62" s="1"/>
  <c r="V14" i="62"/>
  <c r="T31" i="62"/>
  <c r="T60" i="62" s="1"/>
  <c r="R49" i="62"/>
  <c r="R24" i="62"/>
  <c r="R53" i="62" s="1"/>
  <c r="S7" i="62"/>
  <c r="U26" i="62"/>
  <c r="U55" i="62" s="1"/>
  <c r="V9" i="62"/>
  <c r="Q21" i="62"/>
  <c r="R4" i="62"/>
  <c r="Q15" i="62"/>
  <c r="R22" i="62"/>
  <c r="R51" i="62" s="1"/>
  <c r="S5" i="62"/>
  <c r="S11" i="62"/>
  <c r="R28" i="62"/>
  <c r="R57" i="62" s="1"/>
  <c r="P50" i="62"/>
  <c r="P62" i="62" s="1"/>
  <c r="P63" i="62" s="1"/>
  <c r="P32" i="62"/>
  <c r="T25" i="62"/>
  <c r="T54" i="62" s="1"/>
  <c r="U8" i="62"/>
  <c r="S54" i="61"/>
  <c r="J57" i="61"/>
  <c r="J67" i="61" s="1"/>
  <c r="J79" i="61" s="1"/>
  <c r="O55" i="61"/>
  <c r="O65" i="61" s="1"/>
  <c r="O78" i="61" s="1"/>
  <c r="G55" i="61"/>
  <c r="G65" i="61" s="1"/>
  <c r="G78" i="61" s="1"/>
  <c r="I58" i="61"/>
  <c r="Q58" i="61"/>
  <c r="I57" i="61"/>
  <c r="I67" i="61" s="1"/>
  <c r="I79" i="61" s="1"/>
  <c r="N55" i="61"/>
  <c r="N65" i="61" s="1"/>
  <c r="N78" i="61" s="1"/>
  <c r="F55" i="61"/>
  <c r="J58" i="61"/>
  <c r="D58" i="61"/>
  <c r="M56" i="61"/>
  <c r="M66" i="61" s="1"/>
  <c r="K56" i="61"/>
  <c r="K66" i="61" s="1"/>
  <c r="H57" i="61"/>
  <c r="H67" i="61" s="1"/>
  <c r="H79" i="61" s="1"/>
  <c r="M55" i="61"/>
  <c r="M65" i="61" s="1"/>
  <c r="M78" i="61" s="1"/>
  <c r="K58" i="61"/>
  <c r="Q57" i="61"/>
  <c r="Q67" i="61" s="1"/>
  <c r="Q79" i="61" s="1"/>
  <c r="J56" i="61"/>
  <c r="J66" i="61" s="1"/>
  <c r="O57" i="61"/>
  <c r="L55" i="61"/>
  <c r="L65" i="61" s="1"/>
  <c r="L78" i="61" s="1"/>
  <c r="L58" i="61"/>
  <c r="E56" i="61"/>
  <c r="G57" i="61"/>
  <c r="G67" i="61" s="1"/>
  <c r="G79" i="61" s="1"/>
  <c r="Q56" i="61"/>
  <c r="Q66" i="61" s="1"/>
  <c r="I56" i="61"/>
  <c r="I66" i="61" s="1"/>
  <c r="N57" i="61"/>
  <c r="N67" i="61" s="1"/>
  <c r="N79" i="61" s="1"/>
  <c r="F57" i="61"/>
  <c r="F67" i="61" s="1"/>
  <c r="F79" i="61" s="1"/>
  <c r="K55" i="61"/>
  <c r="E58" i="61"/>
  <c r="M58" i="61"/>
  <c r="D55" i="61"/>
  <c r="D65" i="61" s="1"/>
  <c r="D78" i="61" s="1"/>
  <c r="E57" i="61"/>
  <c r="P57" i="61"/>
  <c r="P67" i="61" s="1"/>
  <c r="P79" i="61" s="1"/>
  <c r="P56" i="61"/>
  <c r="P66" i="61" s="1"/>
  <c r="H56" i="61"/>
  <c r="H66" i="61" s="1"/>
  <c r="M57" i="61"/>
  <c r="M67" i="61" s="1"/>
  <c r="M79" i="61" s="1"/>
  <c r="E55" i="61"/>
  <c r="E65" i="61" s="1"/>
  <c r="E78" i="61" s="1"/>
  <c r="J55" i="61"/>
  <c r="F58" i="61"/>
  <c r="N58" i="61"/>
  <c r="D57" i="61"/>
  <c r="O56" i="61"/>
  <c r="O66" i="61" s="1"/>
  <c r="G56" i="61"/>
  <c r="G66" i="61" s="1"/>
  <c r="L57" i="61"/>
  <c r="L67" i="61" s="1"/>
  <c r="L79" i="61" s="1"/>
  <c r="Q55" i="61"/>
  <c r="Q65" i="61" s="1"/>
  <c r="Q78" i="61" s="1"/>
  <c r="I55" i="61"/>
  <c r="I65" i="61" s="1"/>
  <c r="I78" i="61" s="1"/>
  <c r="G58" i="61"/>
  <c r="O58" i="61"/>
  <c r="D56" i="61"/>
  <c r="L56" i="61"/>
  <c r="L66" i="61" s="1"/>
  <c r="N56" i="61"/>
  <c r="N66" i="61" s="1"/>
  <c r="F56" i="61"/>
  <c r="F66" i="61" s="1"/>
  <c r="K57" i="61"/>
  <c r="K67" i="61" s="1"/>
  <c r="K79" i="61" s="1"/>
  <c r="P55" i="61"/>
  <c r="P65" i="61" s="1"/>
  <c r="P78" i="61" s="1"/>
  <c r="H55" i="61"/>
  <c r="H65" i="61" s="1"/>
  <c r="H78" i="61" s="1"/>
  <c r="H58" i="61"/>
  <c r="P58" i="61"/>
  <c r="K64" i="61"/>
  <c r="E64" i="61"/>
  <c r="J64" i="61"/>
  <c r="L64" i="61"/>
  <c r="Q64" i="61"/>
  <c r="I64" i="61"/>
  <c r="D64" i="61"/>
  <c r="P64" i="61"/>
  <c r="H64" i="61"/>
  <c r="O64" i="61"/>
  <c r="G64" i="61"/>
  <c r="N64" i="61"/>
  <c r="F64" i="61"/>
  <c r="M64" i="61"/>
  <c r="D21" i="61"/>
  <c r="G38" i="61"/>
  <c r="G39" i="61" s="1"/>
  <c r="O38" i="61"/>
  <c r="O39" i="61" s="1"/>
  <c r="P38" i="61"/>
  <c r="P39" i="61" s="1"/>
  <c r="H38" i="61"/>
  <c r="H39" i="61" s="1"/>
  <c r="N38" i="61"/>
  <c r="N39" i="61" s="1"/>
  <c r="F38" i="61"/>
  <c r="F39" i="61" s="1"/>
  <c r="M38" i="61"/>
  <c r="M39" i="61" s="1"/>
  <c r="D38" i="61"/>
  <c r="E38" i="61"/>
  <c r="E39" i="61" s="1"/>
  <c r="J38" i="61"/>
  <c r="J39" i="61" s="1"/>
  <c r="Q38" i="61"/>
  <c r="Q39" i="61" s="1"/>
  <c r="I38" i="61"/>
  <c r="I39" i="61" s="1"/>
  <c r="L38" i="61"/>
  <c r="L39" i="61" s="1"/>
  <c r="K38" i="61"/>
  <c r="K39" i="61" s="1"/>
  <c r="D67" i="61" l="1"/>
  <c r="D79" i="61" s="1"/>
  <c r="U25" i="62"/>
  <c r="U54" i="62" s="1"/>
  <c r="V8" i="62"/>
  <c r="T20" i="62"/>
  <c r="U3" i="62"/>
  <c r="Q50" i="62"/>
  <c r="Q62" i="62" s="1"/>
  <c r="Q63" i="62" s="1"/>
  <c r="Q32" i="62"/>
  <c r="V31" i="62"/>
  <c r="V60" i="62" s="1"/>
  <c r="X14" i="62"/>
  <c r="Y31" i="62"/>
  <c r="Y60" i="62" s="1"/>
  <c r="AA14" i="62"/>
  <c r="S49" i="62"/>
  <c r="S27" i="62"/>
  <c r="S56" i="62" s="1"/>
  <c r="T10" i="62"/>
  <c r="R29" i="62"/>
  <c r="R58" i="62" s="1"/>
  <c r="S12" i="62"/>
  <c r="W9" i="62"/>
  <c r="V26" i="62"/>
  <c r="V55" i="62" s="1"/>
  <c r="T11" i="62"/>
  <c r="S28" i="62"/>
  <c r="S57" i="62" s="1"/>
  <c r="T7" i="62"/>
  <c r="S24" i="62"/>
  <c r="S53" i="62" s="1"/>
  <c r="S30" i="62"/>
  <c r="S59" i="62" s="1"/>
  <c r="T13" i="62"/>
  <c r="R21" i="62"/>
  <c r="S4" i="62"/>
  <c r="R15" i="62"/>
  <c r="T5" i="62"/>
  <c r="S22" i="62"/>
  <c r="S51" i="62" s="1"/>
  <c r="N59" i="61"/>
  <c r="N60" i="61" s="1"/>
  <c r="J59" i="61"/>
  <c r="J60" i="61" s="1"/>
  <c r="F59" i="61"/>
  <c r="F60" i="61" s="1"/>
  <c r="O59" i="61"/>
  <c r="O60" i="61" s="1"/>
  <c r="M59" i="61"/>
  <c r="M60" i="61" s="1"/>
  <c r="D59" i="61"/>
  <c r="J65" i="61"/>
  <c r="J78" i="61" s="1"/>
  <c r="S57" i="61"/>
  <c r="L59" i="61"/>
  <c r="L60" i="61" s="1"/>
  <c r="K59" i="61"/>
  <c r="K60" i="61" s="1"/>
  <c r="F65" i="61"/>
  <c r="F78" i="61" s="1"/>
  <c r="S78" i="61" s="1"/>
  <c r="K65" i="61"/>
  <c r="K78" i="61" s="1"/>
  <c r="S55" i="61"/>
  <c r="P59" i="61"/>
  <c r="P60" i="61" s="1"/>
  <c r="E59" i="61"/>
  <c r="E60" i="61" s="1"/>
  <c r="D66" i="61"/>
  <c r="D69" i="61" s="1"/>
  <c r="E67" i="61"/>
  <c r="G59" i="61"/>
  <c r="G60" i="61" s="1"/>
  <c r="O67" i="61"/>
  <c r="O79" i="61" s="1"/>
  <c r="S56" i="61"/>
  <c r="D22" i="61"/>
  <c r="S58" i="61"/>
  <c r="E66" i="61"/>
  <c r="S66" i="61" s="1"/>
  <c r="S64" i="61"/>
  <c r="I59" i="61"/>
  <c r="I60" i="61" s="1"/>
  <c r="L69" i="61"/>
  <c r="L77" i="61"/>
  <c r="J77" i="61"/>
  <c r="G69" i="61"/>
  <c r="F21" i="50" s="1"/>
  <c r="G77" i="61"/>
  <c r="F18" i="50" s="1"/>
  <c r="O77" i="61"/>
  <c r="M77" i="61"/>
  <c r="M69" i="61"/>
  <c r="P69" i="61"/>
  <c r="P77" i="61"/>
  <c r="N77" i="61"/>
  <c r="N69" i="61"/>
  <c r="I69" i="61"/>
  <c r="H21" i="50" s="1"/>
  <c r="I77" i="61"/>
  <c r="H18" i="50" s="1"/>
  <c r="E77" i="61"/>
  <c r="D77" i="61"/>
  <c r="H77" i="61"/>
  <c r="G18" i="50" s="1"/>
  <c r="H69" i="61"/>
  <c r="G21" i="50" s="1"/>
  <c r="Q69" i="61"/>
  <c r="Q77" i="61"/>
  <c r="K77" i="61"/>
  <c r="F77" i="61"/>
  <c r="H59" i="61"/>
  <c r="Q59" i="61"/>
  <c r="D39" i="61"/>
  <c r="Q14" i="61"/>
  <c r="P14" i="61"/>
  <c r="O14" i="61"/>
  <c r="N14" i="61"/>
  <c r="M14" i="61"/>
  <c r="L14" i="61"/>
  <c r="K14" i="61"/>
  <c r="J14" i="61"/>
  <c r="I14" i="61"/>
  <c r="H14" i="61"/>
  <c r="G14" i="61"/>
  <c r="F14" i="61"/>
  <c r="E14" i="61"/>
  <c r="E21" i="61" s="1"/>
  <c r="E22" i="61" s="1"/>
  <c r="E68" i="61"/>
  <c r="E80" i="61" s="1"/>
  <c r="F68" i="61"/>
  <c r="F80" i="61" s="1"/>
  <c r="G68" i="61"/>
  <c r="G80" i="61" s="1"/>
  <c r="H68" i="61"/>
  <c r="H80" i="61" s="1"/>
  <c r="I68" i="61"/>
  <c r="I80" i="61" s="1"/>
  <c r="J68" i="61"/>
  <c r="J80" i="61" s="1"/>
  <c r="K68" i="61"/>
  <c r="K80" i="61" s="1"/>
  <c r="L68" i="61"/>
  <c r="L80" i="61" s="1"/>
  <c r="M68" i="61"/>
  <c r="M80" i="61" s="1"/>
  <c r="N68" i="61"/>
  <c r="N80" i="61" s="1"/>
  <c r="O68" i="61"/>
  <c r="O80" i="61" s="1"/>
  <c r="P68" i="61"/>
  <c r="P80" i="61" s="1"/>
  <c r="Q68" i="61"/>
  <c r="Q80" i="61" s="1"/>
  <c r="D68" i="61"/>
  <c r="D80" i="61" s="1"/>
  <c r="R8" i="10"/>
  <c r="G26" i="52"/>
  <c r="D26" i="52"/>
  <c r="I23" i="50"/>
  <c r="D60" i="61" l="1"/>
  <c r="D72" i="61"/>
  <c r="T22" i="62"/>
  <c r="T51" i="62" s="1"/>
  <c r="U5" i="62"/>
  <c r="V3" i="62"/>
  <c r="U20" i="62"/>
  <c r="U11" i="62"/>
  <c r="T28" i="62"/>
  <c r="T57" i="62" s="1"/>
  <c r="T27" i="62"/>
  <c r="T56" i="62" s="1"/>
  <c r="U10" i="62"/>
  <c r="U7" i="62"/>
  <c r="T24" i="62"/>
  <c r="T53" i="62" s="1"/>
  <c r="R50" i="62"/>
  <c r="R62" i="62" s="1"/>
  <c r="R63" i="62" s="1"/>
  <c r="R32" i="62"/>
  <c r="X9" i="62"/>
  <c r="W26" i="62"/>
  <c r="W55" i="62" s="1"/>
  <c r="AA31" i="62"/>
  <c r="AA60" i="62" s="1"/>
  <c r="AC14" i="62"/>
  <c r="T30" i="62"/>
  <c r="T59" i="62" s="1"/>
  <c r="U13" i="62"/>
  <c r="S29" i="62"/>
  <c r="S58" i="62" s="1"/>
  <c r="T12" i="62"/>
  <c r="X31" i="62"/>
  <c r="X60" i="62" s="1"/>
  <c r="Z14" i="62"/>
  <c r="W8" i="62"/>
  <c r="V25" i="62"/>
  <c r="V54" i="62" s="1"/>
  <c r="S21" i="62"/>
  <c r="T4" i="62"/>
  <c r="S15" i="62"/>
  <c r="T49" i="62"/>
  <c r="L70" i="61"/>
  <c r="L73" i="61" s="1"/>
  <c r="K69" i="61"/>
  <c r="K72" i="61" s="1"/>
  <c r="O69" i="61"/>
  <c r="O70" i="61" s="1"/>
  <c r="O73" i="61" s="1"/>
  <c r="S65" i="61"/>
  <c r="J69" i="61"/>
  <c r="J72" i="61" s="1"/>
  <c r="H70" i="61"/>
  <c r="S80" i="61"/>
  <c r="D70" i="61"/>
  <c r="P70" i="61"/>
  <c r="P73" i="61" s="1"/>
  <c r="M70" i="61"/>
  <c r="M73" i="61" s="1"/>
  <c r="G70" i="61"/>
  <c r="G73" i="61" s="1"/>
  <c r="Q70" i="61"/>
  <c r="S68" i="61"/>
  <c r="F69" i="61"/>
  <c r="N70" i="61"/>
  <c r="N73" i="61" s="1"/>
  <c r="I70" i="61"/>
  <c r="I73" i="61" s="1"/>
  <c r="E18" i="50"/>
  <c r="N72" i="61"/>
  <c r="E79" i="61"/>
  <c r="S79" i="61" s="1"/>
  <c r="S67" i="61"/>
  <c r="E69" i="61"/>
  <c r="S59" i="61"/>
  <c r="S77" i="61"/>
  <c r="L72" i="61"/>
  <c r="I72" i="61"/>
  <c r="G72" i="61"/>
  <c r="Q60" i="61"/>
  <c r="Q72" i="61"/>
  <c r="H60" i="61"/>
  <c r="H72" i="61"/>
  <c r="P72" i="61"/>
  <c r="M72" i="61"/>
  <c r="D49" i="61"/>
  <c r="D18" i="50"/>
  <c r="F6" i="61"/>
  <c r="O5" i="61"/>
  <c r="H5" i="61"/>
  <c r="P5" i="61"/>
  <c r="G5" i="61"/>
  <c r="E6" i="61"/>
  <c r="J6" i="61"/>
  <c r="M6" i="61"/>
  <c r="N6" i="61"/>
  <c r="K5" i="61"/>
  <c r="D6" i="61"/>
  <c r="L6" i="61"/>
  <c r="G6" i="61"/>
  <c r="O6" i="61"/>
  <c r="F5" i="61"/>
  <c r="M5" i="61"/>
  <c r="E5" i="61"/>
  <c r="L5" i="61"/>
  <c r="N5" i="61"/>
  <c r="I6" i="61"/>
  <c r="Q6" i="61"/>
  <c r="J5" i="61"/>
  <c r="D5" i="61"/>
  <c r="Q5" i="61"/>
  <c r="I5" i="61"/>
  <c r="K6" i="61"/>
  <c r="E8" i="61"/>
  <c r="O8" i="61"/>
  <c r="G8" i="61"/>
  <c r="N8" i="61"/>
  <c r="F8" i="61"/>
  <c r="M8" i="61"/>
  <c r="K8" i="61"/>
  <c r="L8" i="61"/>
  <c r="J8" i="61"/>
  <c r="Q8" i="61"/>
  <c r="I8" i="61"/>
  <c r="P8" i="61"/>
  <c r="H8" i="61"/>
  <c r="N9" i="61"/>
  <c r="F9" i="61"/>
  <c r="H6" i="61"/>
  <c r="P6" i="61"/>
  <c r="O9" i="61"/>
  <c r="Q9" i="61"/>
  <c r="I9" i="61"/>
  <c r="P9" i="61"/>
  <c r="H9" i="61"/>
  <c r="G9" i="61"/>
  <c r="D9" i="61"/>
  <c r="L9" i="61"/>
  <c r="E9" i="61"/>
  <c r="E25" i="61" s="1"/>
  <c r="E26" i="61" s="1"/>
  <c r="M9" i="61"/>
  <c r="K9" i="61"/>
  <c r="J9" i="61"/>
  <c r="E31" i="42"/>
  <c r="F31" i="42"/>
  <c r="G31" i="42"/>
  <c r="H31" i="42"/>
  <c r="I31" i="42"/>
  <c r="J31" i="42"/>
  <c r="K31" i="42"/>
  <c r="E36" i="42"/>
  <c r="F36" i="42"/>
  <c r="G36" i="42"/>
  <c r="H36" i="42"/>
  <c r="F46" i="42"/>
  <c r="G46" i="42" s="1"/>
  <c r="H46" i="42" s="1"/>
  <c r="I46" i="42" s="1"/>
  <c r="J46" i="42" s="1"/>
  <c r="K46" i="42" s="1"/>
  <c r="D73" i="61" l="1"/>
  <c r="F70" i="61"/>
  <c r="F73" i="61" s="1"/>
  <c r="E21" i="50"/>
  <c r="E70" i="61"/>
  <c r="D21" i="50"/>
  <c r="I21" i="50" s="1"/>
  <c r="Z31" i="62"/>
  <c r="Z60" i="62" s="1"/>
  <c r="AB14" i="62"/>
  <c r="U12" i="62"/>
  <c r="T29" i="62"/>
  <c r="T58" i="62" s="1"/>
  <c r="U28" i="62"/>
  <c r="U57" i="62" s="1"/>
  <c r="V11" i="62"/>
  <c r="U49" i="62"/>
  <c r="U30" i="62"/>
  <c r="U59" i="62" s="1"/>
  <c r="V13" i="62"/>
  <c r="V20" i="62"/>
  <c r="W3" i="62"/>
  <c r="U24" i="62"/>
  <c r="U53" i="62" s="1"/>
  <c r="V7" i="62"/>
  <c r="AC31" i="62"/>
  <c r="AC60" i="62" s="1"/>
  <c r="AE14" i="62"/>
  <c r="U27" i="62"/>
  <c r="U56" i="62" s="1"/>
  <c r="V10" i="62"/>
  <c r="V5" i="62"/>
  <c r="U22" i="62"/>
  <c r="U51" i="62" s="1"/>
  <c r="Y9" i="62"/>
  <c r="X26" i="62"/>
  <c r="X55" i="62" s="1"/>
  <c r="U4" i="62"/>
  <c r="T21" i="62"/>
  <c r="T15" i="62"/>
  <c r="S50" i="62"/>
  <c r="S62" i="62" s="1"/>
  <c r="S63" i="62" s="1"/>
  <c r="S32" i="62"/>
  <c r="W25" i="62"/>
  <c r="W54" i="62" s="1"/>
  <c r="X8" i="62"/>
  <c r="K70" i="61"/>
  <c r="K73" i="61" s="1"/>
  <c r="O72" i="61"/>
  <c r="J70" i="61"/>
  <c r="J73" i="61" s="1"/>
  <c r="D48" i="61"/>
  <c r="D50" i="61" s="1"/>
  <c r="H73" i="61"/>
  <c r="S70" i="61"/>
  <c r="F72" i="61"/>
  <c r="Q73" i="61"/>
  <c r="S60" i="61"/>
  <c r="E72" i="61"/>
  <c r="S69" i="61"/>
  <c r="D42" i="61"/>
  <c r="D25" i="61"/>
  <c r="D26" i="61" s="1"/>
  <c r="E73" i="61"/>
  <c r="S73" i="61" s="1"/>
  <c r="E48" i="61"/>
  <c r="D5" i="28" s="1"/>
  <c r="F4" i="37"/>
  <c r="G4" i="37"/>
  <c r="E4" i="37"/>
  <c r="S35" i="61"/>
  <c r="S34" i="61"/>
  <c r="S17" i="61"/>
  <c r="S15" i="61"/>
  <c r="S18" i="61"/>
  <c r="S14" i="61"/>
  <c r="S32" i="61"/>
  <c r="S5" i="61"/>
  <c r="S8" i="61"/>
  <c r="S31" i="61"/>
  <c r="Y26" i="62" l="1"/>
  <c r="Y55" i="62" s="1"/>
  <c r="Z9" i="62"/>
  <c r="W11" i="62"/>
  <c r="V28" i="62"/>
  <c r="V57" i="62" s="1"/>
  <c r="W10" i="62"/>
  <c r="V27" i="62"/>
  <c r="V56" i="62" s="1"/>
  <c r="W7" i="62"/>
  <c r="V24" i="62"/>
  <c r="V53" i="62" s="1"/>
  <c r="W5" i="62"/>
  <c r="V22" i="62"/>
  <c r="V51" i="62" s="1"/>
  <c r="W20" i="62"/>
  <c r="X3" i="62"/>
  <c r="V49" i="62"/>
  <c r="U29" i="62"/>
  <c r="U58" i="62" s="1"/>
  <c r="V12" i="62"/>
  <c r="Y8" i="62"/>
  <c r="X25" i="62"/>
  <c r="X54" i="62" s="1"/>
  <c r="T50" i="62"/>
  <c r="T62" i="62" s="1"/>
  <c r="T63" i="62" s="1"/>
  <c r="T32" i="62"/>
  <c r="AE31" i="62"/>
  <c r="AE60" i="62" s="1"/>
  <c r="AG14" i="62"/>
  <c r="V30" i="62"/>
  <c r="V59" i="62" s="1"/>
  <c r="W13" i="62"/>
  <c r="AB31" i="62"/>
  <c r="AB60" i="62" s="1"/>
  <c r="AD14" i="62"/>
  <c r="V4" i="62"/>
  <c r="U21" i="62"/>
  <c r="U15" i="62"/>
  <c r="S72" i="61"/>
  <c r="S16" i="61"/>
  <c r="G48" i="61"/>
  <c r="F5" i="28" s="1"/>
  <c r="M48" i="61"/>
  <c r="K48" i="61"/>
  <c r="S9" i="61"/>
  <c r="N48" i="61"/>
  <c r="H4" i="33"/>
  <c r="D4" i="37"/>
  <c r="L48" i="61"/>
  <c r="I4" i="37"/>
  <c r="J48" i="61"/>
  <c r="J5" i="28" s="1"/>
  <c r="O48" i="61"/>
  <c r="K4" i="37"/>
  <c r="J4" i="33"/>
  <c r="P48" i="61"/>
  <c r="G4" i="33"/>
  <c r="I4" i="33"/>
  <c r="D4" i="33"/>
  <c r="F4" i="33"/>
  <c r="E4" i="33"/>
  <c r="C4" i="33"/>
  <c r="H48" i="61"/>
  <c r="G5" i="28" s="1"/>
  <c r="I42" i="61"/>
  <c r="J4" i="37"/>
  <c r="H4" i="37"/>
  <c r="Q48" i="61"/>
  <c r="S6" i="61"/>
  <c r="F48" i="61"/>
  <c r="E5" i="28" s="1"/>
  <c r="I48" i="61"/>
  <c r="H5" i="28" s="1"/>
  <c r="F7" i="37"/>
  <c r="H42" i="61"/>
  <c r="J7" i="37"/>
  <c r="J42" i="61"/>
  <c r="I7" i="37"/>
  <c r="P42" i="61"/>
  <c r="Q42" i="61"/>
  <c r="O42" i="61"/>
  <c r="N42" i="61"/>
  <c r="M42" i="61"/>
  <c r="S19" i="61"/>
  <c r="S33" i="61"/>
  <c r="S36" i="61"/>
  <c r="W24" i="62" l="1"/>
  <c r="W53" i="62" s="1"/>
  <c r="X7" i="62"/>
  <c r="AG31" i="62"/>
  <c r="AG60" i="62" s="1"/>
  <c r="AI14" i="62"/>
  <c r="AD31" i="62"/>
  <c r="AD60" i="62" s="1"/>
  <c r="AF14" i="62"/>
  <c r="W28" i="62"/>
  <c r="W57" i="62" s="1"/>
  <c r="X11" i="62"/>
  <c r="U50" i="62"/>
  <c r="U62" i="62" s="1"/>
  <c r="U63" i="62" s="1"/>
  <c r="U32" i="62"/>
  <c r="X20" i="62"/>
  <c r="Y3" i="62"/>
  <c r="V21" i="62"/>
  <c r="W4" i="62"/>
  <c r="V15" i="62"/>
  <c r="Y25" i="62"/>
  <c r="Y54" i="62" s="1"/>
  <c r="Z8" i="62"/>
  <c r="Z26" i="62"/>
  <c r="Z55" i="62" s="1"/>
  <c r="AA9" i="62"/>
  <c r="W30" i="62"/>
  <c r="W59" i="62" s="1"/>
  <c r="X13" i="62"/>
  <c r="V29" i="62"/>
  <c r="V58" i="62" s="1"/>
  <c r="W12" i="62"/>
  <c r="W22" i="62"/>
  <c r="W51" i="62" s="1"/>
  <c r="X5" i="62"/>
  <c r="X10" i="62"/>
  <c r="W27" i="62"/>
  <c r="W56" i="62" s="1"/>
  <c r="W49" i="62"/>
  <c r="H7" i="37"/>
  <c r="S48" i="61"/>
  <c r="G7" i="37"/>
  <c r="G42" i="61"/>
  <c r="K42" i="61"/>
  <c r="S38" i="61"/>
  <c r="L42" i="61"/>
  <c r="K7" i="37"/>
  <c r="E42" i="61"/>
  <c r="D7" i="37"/>
  <c r="F42" i="61"/>
  <c r="E7" i="37"/>
  <c r="S39" i="61"/>
  <c r="D41" i="42" l="1"/>
  <c r="X30" i="62"/>
  <c r="X59" i="62" s="1"/>
  <c r="Y13" i="62"/>
  <c r="W21" i="62"/>
  <c r="X4" i="62"/>
  <c r="W15" i="62"/>
  <c r="Y11" i="62"/>
  <c r="X28" i="62"/>
  <c r="X57" i="62" s="1"/>
  <c r="AF31" i="62"/>
  <c r="AF60" i="62" s="1"/>
  <c r="AH14" i="62"/>
  <c r="Y10" i="62"/>
  <c r="X27" i="62"/>
  <c r="X56" i="62" s="1"/>
  <c r="AI31" i="62"/>
  <c r="AI60" i="62" s="1"/>
  <c r="AK14" i="62"/>
  <c r="V50" i="62"/>
  <c r="V62" i="62" s="1"/>
  <c r="V63" i="62" s="1"/>
  <c r="V32" i="62"/>
  <c r="Y20" i="62"/>
  <c r="Z3" i="62"/>
  <c r="AA26" i="62"/>
  <c r="AA55" i="62" s="1"/>
  <c r="AB9" i="62"/>
  <c r="X22" i="62"/>
  <c r="X51" i="62" s="1"/>
  <c r="Y5" i="62"/>
  <c r="Z25" i="62"/>
  <c r="Z54" i="62" s="1"/>
  <c r="AA8" i="62"/>
  <c r="Y7" i="62"/>
  <c r="X24" i="62"/>
  <c r="X53" i="62" s="1"/>
  <c r="X49" i="62"/>
  <c r="W29" i="62"/>
  <c r="W58" i="62" s="1"/>
  <c r="X12" i="62"/>
  <c r="H41" i="42"/>
  <c r="J41" i="42"/>
  <c r="K41" i="42"/>
  <c r="F41" i="42"/>
  <c r="E41" i="42"/>
  <c r="G41" i="42"/>
  <c r="I41" i="42"/>
  <c r="S42" i="61"/>
  <c r="AA25" i="62" l="1"/>
  <c r="AA54" i="62" s="1"/>
  <c r="AB8" i="62"/>
  <c r="Y49" i="62"/>
  <c r="AK31" i="62"/>
  <c r="AK60" i="62" s="1"/>
  <c r="AM14" i="62"/>
  <c r="AB26" i="62"/>
  <c r="AB55" i="62" s="1"/>
  <c r="AC9" i="62"/>
  <c r="X21" i="62"/>
  <c r="Y4" i="62"/>
  <c r="X15" i="62"/>
  <c r="Z11" i="62"/>
  <c r="Y28" i="62"/>
  <c r="Y57" i="62" s="1"/>
  <c r="W50" i="62"/>
  <c r="W62" i="62" s="1"/>
  <c r="W63" i="62" s="1"/>
  <c r="W32" i="62"/>
  <c r="X29" i="62"/>
  <c r="X58" i="62" s="1"/>
  <c r="Y12" i="62"/>
  <c r="Y22" i="62"/>
  <c r="Y51" i="62" s="1"/>
  <c r="Z5" i="62"/>
  <c r="Z20" i="62"/>
  <c r="AA3" i="62"/>
  <c r="Z10" i="62"/>
  <c r="Y27" i="62"/>
  <c r="Y56" i="62" s="1"/>
  <c r="Y30" i="62"/>
  <c r="Y59" i="62" s="1"/>
  <c r="Z13" i="62"/>
  <c r="Z7" i="62"/>
  <c r="Y24" i="62"/>
  <c r="Y53" i="62" s="1"/>
  <c r="AH31" i="62"/>
  <c r="AH60" i="62" s="1"/>
  <c r="AJ14" i="62"/>
  <c r="H24" i="50"/>
  <c r="AA10" i="62" l="1"/>
  <c r="Z27" i="62"/>
  <c r="Z56" i="62" s="1"/>
  <c r="AJ31" i="62"/>
  <c r="AJ60" i="62" s="1"/>
  <c r="AL14" i="62"/>
  <c r="AB3" i="62"/>
  <c r="AA20" i="62"/>
  <c r="AA11" i="62"/>
  <c r="Z28" i="62"/>
  <c r="Z57" i="62" s="1"/>
  <c r="AM31" i="62"/>
  <c r="AM60" i="62" s="1"/>
  <c r="AO14" i="62"/>
  <c r="AA7" i="62"/>
  <c r="Z24" i="62"/>
  <c r="Z53" i="62" s="1"/>
  <c r="Z22" i="62"/>
  <c r="Z51" i="62" s="1"/>
  <c r="AA5" i="62"/>
  <c r="Z30" i="62"/>
  <c r="Z59" i="62" s="1"/>
  <c r="AA13" i="62"/>
  <c r="Y21" i="62"/>
  <c r="Z4" i="62"/>
  <c r="Y15" i="62"/>
  <c r="Z49" i="62"/>
  <c r="Y29" i="62"/>
  <c r="Y58" i="62" s="1"/>
  <c r="Z12" i="62"/>
  <c r="X50" i="62"/>
  <c r="X62" i="62" s="1"/>
  <c r="X63" i="62" s="1"/>
  <c r="X32" i="62"/>
  <c r="AB25" i="62"/>
  <c r="AB54" i="62" s="1"/>
  <c r="AC8" i="62"/>
  <c r="AC26" i="62"/>
  <c r="AC55" i="62" s="1"/>
  <c r="AD9" i="62"/>
  <c r="H46" i="50"/>
  <c r="H41" i="50"/>
  <c r="AB20" i="62" l="1"/>
  <c r="AC3" i="62"/>
  <c r="AB11" i="62"/>
  <c r="AA28" i="62"/>
  <c r="AA57" i="62" s="1"/>
  <c r="AA49" i="62"/>
  <c r="AE9" i="62"/>
  <c r="AD26" i="62"/>
  <c r="AD55" i="62" s="1"/>
  <c r="AB5" i="62"/>
  <c r="AA22" i="62"/>
  <c r="AA51" i="62" s="1"/>
  <c r="AC25" i="62"/>
  <c r="AC54" i="62" s="1"/>
  <c r="AD8" i="62"/>
  <c r="AB7" i="62"/>
  <c r="AA24" i="62"/>
  <c r="AA53" i="62" s="1"/>
  <c r="AL31" i="62"/>
  <c r="AL60" i="62" s="1"/>
  <c r="AN14" i="62"/>
  <c r="Z21" i="62"/>
  <c r="AA4" i="62"/>
  <c r="Z15" i="62"/>
  <c r="AO31" i="62"/>
  <c r="AO60" i="62" s="1"/>
  <c r="AQ14" i="62"/>
  <c r="AQ31" i="62" s="1"/>
  <c r="AQ60" i="62" s="1"/>
  <c r="Y50" i="62"/>
  <c r="Y62" i="62" s="1"/>
  <c r="Y63" i="62" s="1"/>
  <c r="Y32" i="62"/>
  <c r="Z29" i="62"/>
  <c r="Z58" i="62" s="1"/>
  <c r="AA12" i="62"/>
  <c r="AA30" i="62"/>
  <c r="AA59" i="62" s="1"/>
  <c r="AB13" i="62"/>
  <c r="AA27" i="62"/>
  <c r="AA56" i="62" s="1"/>
  <c r="AB10" i="62"/>
  <c r="E24" i="50"/>
  <c r="F24" i="50"/>
  <c r="G24" i="50"/>
  <c r="G61" i="52" a="1"/>
  <c r="G61" i="52" s="1"/>
  <c r="H61" i="52" s="1"/>
  <c r="D61" i="52" a="1"/>
  <c r="D61" i="52" s="1"/>
  <c r="E61" i="52" s="1"/>
  <c r="G60" i="52" a="1"/>
  <c r="G60" i="52" s="1"/>
  <c r="H60" i="52" s="1"/>
  <c r="D60" i="52" a="1"/>
  <c r="D60" i="52" s="1"/>
  <c r="E60" i="52" s="1"/>
  <c r="G59" i="52" a="1"/>
  <c r="G59" i="52" s="1"/>
  <c r="H59" i="52" s="1"/>
  <c r="D59" i="52" a="1"/>
  <c r="D59" i="52" s="1"/>
  <c r="E59" i="52" s="1"/>
  <c r="G58" i="52" a="1"/>
  <c r="G58" i="52" s="1"/>
  <c r="H58" i="52" s="1"/>
  <c r="D58" i="52" a="1"/>
  <c r="D58" i="52" s="1"/>
  <c r="E58" i="52" s="1"/>
  <c r="G57" i="52" a="1"/>
  <c r="G57" i="52" s="1"/>
  <c r="H57" i="52" s="1"/>
  <c r="D57" i="52" a="1"/>
  <c r="D57" i="52" s="1"/>
  <c r="E57" i="52" s="1"/>
  <c r="G56" i="52" a="1"/>
  <c r="G56" i="52" s="1"/>
  <c r="H56" i="52" s="1"/>
  <c r="D56" i="52" a="1"/>
  <c r="D56" i="52" s="1"/>
  <c r="E56" i="52" s="1"/>
  <c r="G55" i="52" a="1"/>
  <c r="G55" i="52" s="1"/>
  <c r="H55" i="52" s="1"/>
  <c r="D55" i="52" a="1"/>
  <c r="D55" i="52" s="1"/>
  <c r="E55" i="52" s="1"/>
  <c r="G54" i="52" a="1"/>
  <c r="G54" i="52" s="1"/>
  <c r="H54" i="52" s="1"/>
  <c r="D54" i="52" a="1"/>
  <c r="D54" i="52" s="1"/>
  <c r="E54" i="52" s="1"/>
  <c r="G53" i="52" a="1"/>
  <c r="G53" i="52" s="1"/>
  <c r="H53" i="52" s="1"/>
  <c r="D53" i="52" a="1"/>
  <c r="D53" i="52" s="1"/>
  <c r="E53" i="52" s="1"/>
  <c r="G52" i="52" a="1"/>
  <c r="G52" i="52" s="1"/>
  <c r="H52" i="52" s="1"/>
  <c r="D52" i="52" a="1"/>
  <c r="D52" i="52" s="1"/>
  <c r="E52" i="52" s="1"/>
  <c r="G51" i="52" a="1"/>
  <c r="G51" i="52" s="1"/>
  <c r="H51" i="52" s="1"/>
  <c r="D51" i="52" a="1"/>
  <c r="D51" i="52" s="1"/>
  <c r="E51" i="52" s="1"/>
  <c r="G50" i="52" a="1"/>
  <c r="G50" i="52" s="1"/>
  <c r="H50" i="52" s="1"/>
  <c r="D50" i="52" a="1"/>
  <c r="D50" i="52" s="1"/>
  <c r="E50" i="52" s="1"/>
  <c r="G49" i="52" a="1"/>
  <c r="G49" i="52" s="1"/>
  <c r="H49" i="52" s="1"/>
  <c r="D49" i="52" a="1"/>
  <c r="D49" i="52" s="1"/>
  <c r="E49" i="52" s="1"/>
  <c r="G48" i="52" a="1"/>
  <c r="G48" i="52" s="1"/>
  <c r="D18" i="42" s="1"/>
  <c r="D48" i="52" a="1"/>
  <c r="D48" i="52" s="1"/>
  <c r="G47" i="52" a="1"/>
  <c r="G47" i="52" s="1"/>
  <c r="H47" i="52" s="1"/>
  <c r="D47" i="52" a="1"/>
  <c r="D47" i="52" s="1"/>
  <c r="E47" i="52" s="1"/>
  <c r="G46" i="52" a="1"/>
  <c r="G46" i="52" s="1"/>
  <c r="H46" i="52" s="1"/>
  <c r="D46" i="52" a="1"/>
  <c r="D46" i="52" s="1"/>
  <c r="E46" i="52" s="1"/>
  <c r="G45" i="52" a="1"/>
  <c r="G45" i="52" s="1"/>
  <c r="H45" i="52" s="1"/>
  <c r="D45" i="52" a="1"/>
  <c r="D45" i="52" s="1"/>
  <c r="E45" i="52" s="1"/>
  <c r="G44" i="52" a="1"/>
  <c r="G44" i="52" s="1"/>
  <c r="H44" i="52" s="1"/>
  <c r="D44" i="52" a="1"/>
  <c r="D44" i="52" s="1"/>
  <c r="E44" i="52" s="1"/>
  <c r="G43" i="52" a="1"/>
  <c r="G43" i="52" s="1"/>
  <c r="H43" i="52" s="1"/>
  <c r="D43" i="52" a="1"/>
  <c r="D43" i="52" s="1"/>
  <c r="E43" i="52" s="1"/>
  <c r="G42" i="52" a="1"/>
  <c r="G42" i="52" s="1"/>
  <c r="H42" i="52" s="1"/>
  <c r="D42" i="52" a="1"/>
  <c r="D42" i="52" s="1"/>
  <c r="E42" i="52" s="1"/>
  <c r="G41" i="52" a="1"/>
  <c r="G41" i="52" s="1"/>
  <c r="H41" i="52" s="1"/>
  <c r="D41" i="52" a="1"/>
  <c r="D41" i="52" s="1"/>
  <c r="E41" i="52" s="1"/>
  <c r="G40" i="52" a="1"/>
  <c r="G40" i="52" s="1"/>
  <c r="H40" i="52" s="1"/>
  <c r="D40" i="52" a="1"/>
  <c r="D40" i="52" s="1"/>
  <c r="E40" i="52" s="1"/>
  <c r="G39" i="52" a="1"/>
  <c r="G39" i="52" s="1"/>
  <c r="H39" i="52" s="1"/>
  <c r="D39" i="52" a="1"/>
  <c r="D39" i="52" s="1"/>
  <c r="E39" i="52" s="1"/>
  <c r="G38" i="52" a="1"/>
  <c r="G38" i="52" s="1"/>
  <c r="H38" i="52" s="1"/>
  <c r="D38" i="52" a="1"/>
  <c r="D38" i="52" s="1"/>
  <c r="E38" i="52" s="1"/>
  <c r="G37" i="52" a="1"/>
  <c r="G37" i="52" s="1"/>
  <c r="H37" i="52" s="1"/>
  <c r="D37" i="52" a="1"/>
  <c r="D37" i="52" s="1"/>
  <c r="E37" i="52" s="1"/>
  <c r="G36" i="52" a="1"/>
  <c r="G36" i="52" s="1"/>
  <c r="H36" i="52" s="1"/>
  <c r="D36" i="52" a="1"/>
  <c r="D36" i="52" s="1"/>
  <c r="E36" i="52" s="1"/>
  <c r="G35" i="52" a="1"/>
  <c r="G35" i="52" s="1"/>
  <c r="H35" i="52" s="1"/>
  <c r="D35" i="52" a="1"/>
  <c r="D35" i="52" s="1"/>
  <c r="E35" i="52" s="1"/>
  <c r="G34" i="52" a="1"/>
  <c r="G34" i="52" s="1"/>
  <c r="D34" i="52" a="1"/>
  <c r="D34" i="52" s="1"/>
  <c r="E34" i="52" s="1"/>
  <c r="G33" i="52" a="1"/>
  <c r="G33" i="52" s="1"/>
  <c r="H33" i="52" s="1"/>
  <c r="D33" i="52" a="1"/>
  <c r="D33" i="52" s="1"/>
  <c r="E33" i="52" s="1"/>
  <c r="G32" i="52" a="1"/>
  <c r="G32" i="52" s="1"/>
  <c r="H32" i="52" s="1"/>
  <c r="D32" i="52" a="1"/>
  <c r="D32" i="52" s="1"/>
  <c r="E32" i="52" s="1"/>
  <c r="G31" i="52" a="1"/>
  <c r="G31" i="52" s="1"/>
  <c r="H31" i="52" s="1"/>
  <c r="D31" i="52" a="1"/>
  <c r="D31" i="52" s="1"/>
  <c r="E31" i="52" s="1"/>
  <c r="G30" i="52" a="1"/>
  <c r="G30" i="52" s="1"/>
  <c r="H30" i="52" s="1"/>
  <c r="D30" i="52" a="1"/>
  <c r="D30" i="52" s="1"/>
  <c r="E30" i="52" s="1"/>
  <c r="G29" i="52" a="1"/>
  <c r="G29" i="52" s="1"/>
  <c r="H29" i="52" s="1"/>
  <c r="D29" i="52" a="1"/>
  <c r="D29" i="52" s="1"/>
  <c r="E29" i="52" s="1"/>
  <c r="G28" i="52" a="1"/>
  <c r="G28" i="52" s="1"/>
  <c r="H28" i="52" s="1"/>
  <c r="D28" i="52" a="1"/>
  <c r="D28" i="52" s="1"/>
  <c r="E28" i="52" s="1"/>
  <c r="AB27" i="62" l="1"/>
  <c r="AB56" i="62" s="1"/>
  <c r="AC10" i="62"/>
  <c r="AE8" i="62"/>
  <c r="AD25" i="62"/>
  <c r="AD54" i="62" s="1"/>
  <c r="AB30" i="62"/>
  <c r="AB59" i="62" s="1"/>
  <c r="AC13" i="62"/>
  <c r="AC11" i="62"/>
  <c r="AB28" i="62"/>
  <c r="AB57" i="62" s="1"/>
  <c r="AA21" i="62"/>
  <c r="AB4" i="62"/>
  <c r="AA15" i="62"/>
  <c r="AC20" i="62"/>
  <c r="AD3" i="62"/>
  <c r="AA29" i="62"/>
  <c r="AA58" i="62" s="1"/>
  <c r="AB12" i="62"/>
  <c r="Z50" i="62"/>
  <c r="Z62" i="62" s="1"/>
  <c r="Z63" i="62" s="1"/>
  <c r="Z32" i="62"/>
  <c r="AB22" i="62"/>
  <c r="AB51" i="62" s="1"/>
  <c r="AC5" i="62"/>
  <c r="AC7" i="62"/>
  <c r="AB24" i="62"/>
  <c r="AB53" i="62" s="1"/>
  <c r="AN31" i="62"/>
  <c r="AN60" i="62" s="1"/>
  <c r="AP14" i="62"/>
  <c r="AP31" i="62" s="1"/>
  <c r="AP60" i="62" s="1"/>
  <c r="AB49" i="62"/>
  <c r="AF9" i="62"/>
  <c r="AE26" i="62"/>
  <c r="AE55" i="62" s="1"/>
  <c r="G36" i="50"/>
  <c r="G46" i="50"/>
  <c r="G41" i="50"/>
  <c r="F46" i="50"/>
  <c r="F41" i="50"/>
  <c r="F36" i="50"/>
  <c r="E46" i="50"/>
  <c r="E41" i="50"/>
  <c r="E36" i="50"/>
  <c r="I24" i="50"/>
  <c r="AD5" i="62" l="1"/>
  <c r="AC22" i="62"/>
  <c r="AC51" i="62" s="1"/>
  <c r="AD20" i="62"/>
  <c r="AE3" i="62"/>
  <c r="AC28" i="62"/>
  <c r="AC57" i="62" s="1"/>
  <c r="AD11" i="62"/>
  <c r="AC24" i="62"/>
  <c r="AC53" i="62" s="1"/>
  <c r="AD7" i="62"/>
  <c r="AC49" i="62"/>
  <c r="AE25" i="62"/>
  <c r="AE54" i="62" s="1"/>
  <c r="AF8" i="62"/>
  <c r="AC4" i="62"/>
  <c r="AB21" i="62"/>
  <c r="AB15" i="62"/>
  <c r="AC27" i="62"/>
  <c r="AC56" i="62" s="1"/>
  <c r="AD10" i="62"/>
  <c r="AC30" i="62"/>
  <c r="AC59" i="62" s="1"/>
  <c r="AD13" i="62"/>
  <c r="AG9" i="62"/>
  <c r="AF26" i="62"/>
  <c r="AF55" i="62" s="1"/>
  <c r="AC12" i="62"/>
  <c r="AB29" i="62"/>
  <c r="AB58" i="62" s="1"/>
  <c r="AA50" i="62"/>
  <c r="AA62" i="62" s="1"/>
  <c r="AA63" i="62" s="1"/>
  <c r="AA32" i="62"/>
  <c r="AB50" i="62" l="1"/>
  <c r="AB62" i="62" s="1"/>
  <c r="AB63" i="62" s="1"/>
  <c r="AB32" i="62"/>
  <c r="AC29" i="62"/>
  <c r="AC58" i="62" s="1"/>
  <c r="AD12" i="62"/>
  <c r="AC21" i="62"/>
  <c r="AD4" i="62"/>
  <c r="AC15" i="62"/>
  <c r="AE20" i="62"/>
  <c r="AF3" i="62"/>
  <c r="AE10" i="62"/>
  <c r="AD27" i="62"/>
  <c r="AD56" i="62" s="1"/>
  <c r="AD49" i="62"/>
  <c r="AE11" i="62"/>
  <c r="AD28" i="62"/>
  <c r="AD57" i="62" s="1"/>
  <c r="AG8" i="62"/>
  <c r="AF25" i="62"/>
  <c r="AF54" i="62" s="1"/>
  <c r="AG26" i="62"/>
  <c r="AG55" i="62" s="1"/>
  <c r="AH9" i="62"/>
  <c r="AD30" i="62"/>
  <c r="AD59" i="62" s="1"/>
  <c r="AE13" i="62"/>
  <c r="AE7" i="62"/>
  <c r="AD24" i="62"/>
  <c r="AD53" i="62" s="1"/>
  <c r="AE5" i="62"/>
  <c r="AD22" i="62"/>
  <c r="AD51" i="62" s="1"/>
  <c r="AE30" i="62" l="1"/>
  <c r="AE59" i="62" s="1"/>
  <c r="AF13" i="62"/>
  <c r="AE49" i="62"/>
  <c r="AE24" i="62"/>
  <c r="AE53" i="62" s="1"/>
  <c r="AF7" i="62"/>
  <c r="AC50" i="62"/>
  <c r="AC62" i="62" s="1"/>
  <c r="AC63" i="62" s="1"/>
  <c r="AC32" i="62"/>
  <c r="AF10" i="62"/>
  <c r="AE27" i="62"/>
  <c r="AE56" i="62" s="1"/>
  <c r="AE28" i="62"/>
  <c r="AE57" i="62" s="1"/>
  <c r="AF11" i="62"/>
  <c r="AD21" i="62"/>
  <c r="AE4" i="62"/>
  <c r="AD15" i="62"/>
  <c r="AF20" i="62"/>
  <c r="AG3" i="62"/>
  <c r="AH26" i="62"/>
  <c r="AH55" i="62" s="1"/>
  <c r="AI9" i="62"/>
  <c r="AD29" i="62"/>
  <c r="AD58" i="62" s="1"/>
  <c r="AE12" i="62"/>
  <c r="AE22" i="62"/>
  <c r="AE51" i="62" s="1"/>
  <c r="AF5" i="62"/>
  <c r="AG25" i="62"/>
  <c r="AG54" i="62" s="1"/>
  <c r="AH8" i="62"/>
  <c r="AF49" i="62" l="1"/>
  <c r="AG7" i="62"/>
  <c r="AF24" i="62"/>
  <c r="AF53" i="62" s="1"/>
  <c r="AD50" i="62"/>
  <c r="AD62" i="62" s="1"/>
  <c r="AD63" i="62" s="1"/>
  <c r="AD32" i="62"/>
  <c r="AI26" i="62"/>
  <c r="AI55" i="62" s="1"/>
  <c r="AJ9" i="62"/>
  <c r="AG20" i="62"/>
  <c r="AH3" i="62"/>
  <c r="AF30" i="62"/>
  <c r="AF59" i="62" s="1"/>
  <c r="AG13" i="62"/>
  <c r="AE29" i="62"/>
  <c r="AE58" i="62" s="1"/>
  <c r="AF12" i="62"/>
  <c r="AE21" i="62"/>
  <c r="AF4" i="62"/>
  <c r="AE15" i="62"/>
  <c r="AG11" i="62"/>
  <c r="AF28" i="62"/>
  <c r="AF57" i="62" s="1"/>
  <c r="AH25" i="62"/>
  <c r="AH54" i="62" s="1"/>
  <c r="AI8" i="62"/>
  <c r="AF22" i="62"/>
  <c r="AF51" i="62" s="1"/>
  <c r="AG5" i="62"/>
  <c r="AG10" i="62"/>
  <c r="AF27" i="62"/>
  <c r="AF56" i="62" s="1"/>
  <c r="AH20" i="62" l="1"/>
  <c r="AI3" i="62"/>
  <c r="AF29" i="62"/>
  <c r="AF58" i="62" s="1"/>
  <c r="AG12" i="62"/>
  <c r="AI25" i="62"/>
  <c r="AI54" i="62" s="1"/>
  <c r="AJ8" i="62"/>
  <c r="AG30" i="62"/>
  <c r="AG59" i="62" s="1"/>
  <c r="AH13" i="62"/>
  <c r="AH11" i="62"/>
  <c r="AG28" i="62"/>
  <c r="AG57" i="62" s="1"/>
  <c r="AH7" i="62"/>
  <c r="AG24" i="62"/>
  <c r="AG53" i="62" s="1"/>
  <c r="AH10" i="62"/>
  <c r="AG27" i="62"/>
  <c r="AG56" i="62" s="1"/>
  <c r="AF21" i="62"/>
  <c r="AG4" i="62"/>
  <c r="AF15" i="62"/>
  <c r="AG49" i="62"/>
  <c r="AG22" i="62"/>
  <c r="AG51" i="62" s="1"/>
  <c r="AH5" i="62"/>
  <c r="AE50" i="62"/>
  <c r="AE62" i="62" s="1"/>
  <c r="AE63" i="62" s="1"/>
  <c r="AE32" i="62"/>
  <c r="AJ26" i="62"/>
  <c r="AJ55" i="62" s="1"/>
  <c r="AK9" i="62"/>
  <c r="AJ25" i="62" l="1"/>
  <c r="AJ54" i="62" s="1"/>
  <c r="AK8" i="62"/>
  <c r="AF50" i="62"/>
  <c r="AF62" i="62" s="1"/>
  <c r="AF63" i="62" s="1"/>
  <c r="AF32" i="62"/>
  <c r="AI10" i="62"/>
  <c r="AH27" i="62"/>
  <c r="AH56" i="62" s="1"/>
  <c r="AJ3" i="62"/>
  <c r="AI20" i="62"/>
  <c r="AI7" i="62"/>
  <c r="AH24" i="62"/>
  <c r="AH53" i="62" s="1"/>
  <c r="AH22" i="62"/>
  <c r="AH51" i="62" s="1"/>
  <c r="AI5" i="62"/>
  <c r="AG29" i="62"/>
  <c r="AG58" i="62" s="1"/>
  <c r="AH12" i="62"/>
  <c r="AK26" i="62"/>
  <c r="AK55" i="62" s="1"/>
  <c r="AL9" i="62"/>
  <c r="AH28" i="62"/>
  <c r="AH57" i="62" s="1"/>
  <c r="AI11" i="62"/>
  <c r="AG21" i="62"/>
  <c r="AH4" i="62"/>
  <c r="AG15" i="62"/>
  <c r="AH30" i="62"/>
  <c r="AH59" i="62" s="1"/>
  <c r="AI13" i="62"/>
  <c r="AH49" i="62"/>
  <c r="AJ5" i="62" l="1"/>
  <c r="AI22" i="62"/>
  <c r="AI51" i="62" s="1"/>
  <c r="AJ7" i="62"/>
  <c r="AI24" i="62"/>
  <c r="AI53" i="62" s="1"/>
  <c r="AH29" i="62"/>
  <c r="AH58" i="62" s="1"/>
  <c r="AI12" i="62"/>
  <c r="AH21" i="62"/>
  <c r="AI4" i="62"/>
  <c r="AH15" i="62"/>
  <c r="AG50" i="62"/>
  <c r="AG62" i="62" s="1"/>
  <c r="AG63" i="62" s="1"/>
  <c r="AG32" i="62"/>
  <c r="AI49" i="62"/>
  <c r="AK25" i="62"/>
  <c r="AK54" i="62" s="1"/>
  <c r="AL8" i="62"/>
  <c r="AJ20" i="62"/>
  <c r="AK3" i="62"/>
  <c r="AI27" i="62"/>
  <c r="AI56" i="62" s="1"/>
  <c r="AJ10" i="62"/>
  <c r="AJ11" i="62"/>
  <c r="AI28" i="62"/>
  <c r="AI57" i="62" s="1"/>
  <c r="AM9" i="62"/>
  <c r="AL26" i="62"/>
  <c r="AL55" i="62" s="1"/>
  <c r="AI30" i="62"/>
  <c r="AI59" i="62" s="1"/>
  <c r="AJ13" i="62"/>
  <c r="I32" i="50"/>
  <c r="AN9" i="62" l="1"/>
  <c r="AM26" i="62"/>
  <c r="AM55" i="62" s="1"/>
  <c r="AJ49" i="62"/>
  <c r="AJ4" i="62"/>
  <c r="AI21" i="62"/>
  <c r="AI15" i="62"/>
  <c r="AM8" i="62"/>
  <c r="AL25" i="62"/>
  <c r="AL54" i="62" s="1"/>
  <c r="AH50" i="62"/>
  <c r="AH62" i="62" s="1"/>
  <c r="AH63" i="62" s="1"/>
  <c r="AH32" i="62"/>
  <c r="AJ30" i="62"/>
  <c r="AJ59" i="62" s="1"/>
  <c r="AK13" i="62"/>
  <c r="AK7" i="62"/>
  <c r="AJ24" i="62"/>
  <c r="AJ53" i="62" s="1"/>
  <c r="AI29" i="62"/>
  <c r="AI58" i="62" s="1"/>
  <c r="AJ12" i="62"/>
  <c r="AK11" i="62"/>
  <c r="AJ28" i="62"/>
  <c r="AJ57" i="62" s="1"/>
  <c r="AJ27" i="62"/>
  <c r="AJ56" i="62" s="1"/>
  <c r="AK10" i="62"/>
  <c r="AL3" i="62"/>
  <c r="AK20" i="62"/>
  <c r="AJ22" i="62"/>
  <c r="AJ51" i="62" s="1"/>
  <c r="AK5" i="62"/>
  <c r="AL20" i="62" l="1"/>
  <c r="AM3" i="62"/>
  <c r="AK30" i="62"/>
  <c r="AK59" i="62" s="1"/>
  <c r="AL13" i="62"/>
  <c r="AK4" i="62"/>
  <c r="AJ21" i="62"/>
  <c r="AJ15" i="62"/>
  <c r="AM25" i="62"/>
  <c r="AM54" i="62" s="1"/>
  <c r="AN8" i="62"/>
  <c r="AI50" i="62"/>
  <c r="AI62" i="62" s="1"/>
  <c r="AI63" i="62" s="1"/>
  <c r="AI32" i="62"/>
  <c r="AL5" i="62"/>
  <c r="AK22" i="62"/>
  <c r="AK51" i="62" s="1"/>
  <c r="AK28" i="62"/>
  <c r="AK57" i="62" s="1"/>
  <c r="AL11" i="62"/>
  <c r="AK49" i="62"/>
  <c r="AK24" i="62"/>
  <c r="AK53" i="62" s="1"/>
  <c r="AL7" i="62"/>
  <c r="AK27" i="62"/>
  <c r="AK56" i="62" s="1"/>
  <c r="AL10" i="62"/>
  <c r="AK12" i="62"/>
  <c r="AJ29" i="62"/>
  <c r="AJ58" i="62" s="1"/>
  <c r="AO9" i="62"/>
  <c r="AN26" i="62"/>
  <c r="AN55" i="62" s="1"/>
  <c r="AJ50" i="62" l="1"/>
  <c r="AJ62" i="62" s="1"/>
  <c r="AJ63" i="62" s="1"/>
  <c r="AJ32" i="62"/>
  <c r="AM10" i="62"/>
  <c r="AL27" i="62"/>
  <c r="AL56" i="62" s="1"/>
  <c r="AL30" i="62"/>
  <c r="AL59" i="62" s="1"/>
  <c r="AM13" i="62"/>
  <c r="AM20" i="62"/>
  <c r="AN3" i="62"/>
  <c r="AL28" i="62"/>
  <c r="AL57" i="62" s="1"/>
  <c r="AM11" i="62"/>
  <c r="AK21" i="62"/>
  <c r="AL4" i="62"/>
  <c r="AK15" i="62"/>
  <c r="AM5" i="62"/>
  <c r="AL22" i="62"/>
  <c r="AL51" i="62" s="1"/>
  <c r="AO26" i="62"/>
  <c r="AO55" i="62" s="1"/>
  <c r="AP9" i="62"/>
  <c r="AO8" i="62"/>
  <c r="AN25" i="62"/>
  <c r="AN54" i="62" s="1"/>
  <c r="AK29" i="62"/>
  <c r="AK58" i="62" s="1"/>
  <c r="AL12" i="62"/>
  <c r="AM7" i="62"/>
  <c r="AL24" i="62"/>
  <c r="AL53" i="62" s="1"/>
  <c r="AL49" i="62"/>
  <c r="AM22" i="62" l="1"/>
  <c r="AM51" i="62" s="1"/>
  <c r="AN5" i="62"/>
  <c r="AM49" i="62"/>
  <c r="AM24" i="62"/>
  <c r="AM53" i="62" s="1"/>
  <c r="AN7" i="62"/>
  <c r="AO25" i="62"/>
  <c r="AO54" i="62" s="1"/>
  <c r="AP8" i="62"/>
  <c r="AM28" i="62"/>
  <c r="AM57" i="62" s="1"/>
  <c r="AN11" i="62"/>
  <c r="AN10" i="62"/>
  <c r="AM27" i="62"/>
  <c r="AM56" i="62" s="1"/>
  <c r="AL29" i="62"/>
  <c r="AL58" i="62" s="1"/>
  <c r="AM12" i="62"/>
  <c r="AK50" i="62"/>
  <c r="AK62" i="62" s="1"/>
  <c r="AK63" i="62" s="1"/>
  <c r="AK32" i="62"/>
  <c r="AP26" i="62"/>
  <c r="AP55" i="62" s="1"/>
  <c r="AQ9" i="62"/>
  <c r="AQ26" i="62" s="1"/>
  <c r="AQ55" i="62" s="1"/>
  <c r="AM30" i="62"/>
  <c r="AM59" i="62" s="1"/>
  <c r="AN13" i="62"/>
  <c r="AL21" i="62"/>
  <c r="AM4" i="62"/>
  <c r="AL15" i="62"/>
  <c r="AN20" i="62"/>
  <c r="AO3" i="62"/>
  <c r="AP25" i="62" l="1"/>
  <c r="AP54" i="62" s="1"/>
  <c r="AQ8" i="62"/>
  <c r="AQ25" i="62" s="1"/>
  <c r="AQ54" i="62" s="1"/>
  <c r="AL50" i="62"/>
  <c r="AL62" i="62" s="1"/>
  <c r="AL63" i="62" s="1"/>
  <c r="AL32" i="62"/>
  <c r="AM29" i="62"/>
  <c r="AM58" i="62" s="1"/>
  <c r="AN12" i="62"/>
  <c r="AN30" i="62"/>
  <c r="AN59" i="62" s="1"/>
  <c r="AO13" i="62"/>
  <c r="AM21" i="62"/>
  <c r="AN4" i="62"/>
  <c r="AM15" i="62"/>
  <c r="AO7" i="62"/>
  <c r="AN24" i="62"/>
  <c r="AN53" i="62" s="1"/>
  <c r="AO20" i="62"/>
  <c r="AP3" i="62"/>
  <c r="AO10" i="62"/>
  <c r="AN27" i="62"/>
  <c r="AN56" i="62" s="1"/>
  <c r="AN28" i="62"/>
  <c r="AN57" i="62" s="1"/>
  <c r="AO11" i="62"/>
  <c r="AN22" i="62"/>
  <c r="AN51" i="62" s="1"/>
  <c r="AO5" i="62"/>
  <c r="AN49" i="62"/>
  <c r="AO22" i="62" l="1"/>
  <c r="AO51" i="62" s="1"/>
  <c r="AP5" i="62"/>
  <c r="AO30" i="62"/>
  <c r="AO59" i="62" s="1"/>
  <c r="AP13" i="62"/>
  <c r="AP20" i="62"/>
  <c r="AQ3" i="62"/>
  <c r="AO49" i="62"/>
  <c r="AO28" i="62"/>
  <c r="AO57" i="62" s="1"/>
  <c r="AP11" i="62"/>
  <c r="AN29" i="62"/>
  <c r="AN58" i="62" s="1"/>
  <c r="AO12" i="62"/>
  <c r="AP7" i="62"/>
  <c r="AO24" i="62"/>
  <c r="AO53" i="62" s="1"/>
  <c r="AN21" i="62"/>
  <c r="AO4" i="62"/>
  <c r="AN15" i="62"/>
  <c r="AP10" i="62"/>
  <c r="AO27" i="62"/>
  <c r="AO56" i="62" s="1"/>
  <c r="AM50" i="62"/>
  <c r="AM62" i="62" s="1"/>
  <c r="AM63" i="62" s="1"/>
  <c r="AM32" i="62"/>
  <c r="AQ20" i="62" l="1"/>
  <c r="AQ7" i="62"/>
  <c r="AQ24" i="62" s="1"/>
  <c r="AQ53" i="62" s="1"/>
  <c r="AP24" i="62"/>
  <c r="AP53" i="62" s="1"/>
  <c r="AP49" i="62"/>
  <c r="AO21" i="62"/>
  <c r="AP4" i="62"/>
  <c r="AO15" i="62"/>
  <c r="AP22" i="62"/>
  <c r="AP51" i="62" s="1"/>
  <c r="AQ5" i="62"/>
  <c r="AQ22" i="62" s="1"/>
  <c r="AQ51" i="62" s="1"/>
  <c r="AO29" i="62"/>
  <c r="AO58" i="62" s="1"/>
  <c r="AP12" i="62"/>
  <c r="AQ10" i="62"/>
  <c r="AQ27" i="62" s="1"/>
  <c r="AQ56" i="62" s="1"/>
  <c r="AP27" i="62"/>
  <c r="AP56" i="62" s="1"/>
  <c r="AP30" i="62"/>
  <c r="AP59" i="62" s="1"/>
  <c r="AQ13" i="62"/>
  <c r="AQ30" i="62" s="1"/>
  <c r="AQ59" i="62" s="1"/>
  <c r="AP28" i="62"/>
  <c r="AP57" i="62" s="1"/>
  <c r="AQ11" i="62"/>
  <c r="AQ28" i="62" s="1"/>
  <c r="AQ57" i="62" s="1"/>
  <c r="AN50" i="62"/>
  <c r="AN62" i="62" s="1"/>
  <c r="AN63" i="62" s="1"/>
  <c r="AN32" i="62"/>
  <c r="AO50" i="62" l="1"/>
  <c r="AO62" i="62" s="1"/>
  <c r="AO63" i="62" s="1"/>
  <c r="AO32" i="62"/>
  <c r="AP29" i="62"/>
  <c r="AP58" i="62" s="1"/>
  <c r="AQ12" i="62"/>
  <c r="AQ29" i="62" s="1"/>
  <c r="AQ58" i="62" s="1"/>
  <c r="AP21" i="62"/>
  <c r="AQ4" i="62"/>
  <c r="AP15" i="62"/>
  <c r="AQ49" i="62"/>
  <c r="AP50" i="62" l="1"/>
  <c r="AP62" i="62" s="1"/>
  <c r="AP63" i="62" s="1"/>
  <c r="AP32" i="62"/>
  <c r="AQ21" i="62"/>
  <c r="AQ15" i="62"/>
  <c r="AQ50" i="62" l="1"/>
  <c r="AQ62" i="62" s="1"/>
  <c r="AQ63" i="62" s="1"/>
  <c r="AQ32" i="62"/>
  <c r="I33" i="50" l="1"/>
  <c r="I31" i="50"/>
  <c r="I13" i="50"/>
  <c r="I12" i="50"/>
  <c r="I11" i="50"/>
  <c r="I9" i="50"/>
  <c r="I8" i="50"/>
  <c r="I7" i="50"/>
  <c r="I5" i="50"/>
  <c r="I4" i="50"/>
  <c r="I3" i="50"/>
  <c r="D6" i="33" l="1"/>
  <c r="D8" i="33" s="1"/>
  <c r="F6" i="33"/>
  <c r="F8" i="33" s="1"/>
  <c r="C6" i="33"/>
  <c r="C8" i="33" s="1"/>
  <c r="E6" i="33"/>
  <c r="E8" i="33" s="1"/>
  <c r="G6" i="33"/>
  <c r="G8" i="33" s="1"/>
  <c r="H21" i="61"/>
  <c r="K21" i="61"/>
  <c r="J21" i="61"/>
  <c r="M21" i="61"/>
  <c r="L21" i="61"/>
  <c r="I21" i="61"/>
  <c r="Q21" i="61"/>
  <c r="G21" i="61"/>
  <c r="O21" i="61"/>
  <c r="F21" i="61"/>
  <c r="P21" i="61"/>
  <c r="N21" i="61"/>
  <c r="O22" i="61" l="1"/>
  <c r="O25" i="61" s="1"/>
  <c r="O26" i="61" s="1"/>
  <c r="J22" i="61"/>
  <c r="J25" i="61" s="1"/>
  <c r="J26" i="61" s="1"/>
  <c r="K22" i="61"/>
  <c r="K25" i="61" s="1"/>
  <c r="K26" i="61" s="1"/>
  <c r="H22" i="61"/>
  <c r="H25" i="61" s="1"/>
  <c r="H26" i="61" s="1"/>
  <c r="G22" i="61"/>
  <c r="G25" i="61" s="1"/>
  <c r="G26" i="61" s="1"/>
  <c r="N22" i="61"/>
  <c r="N25" i="61" s="1"/>
  <c r="N26" i="61" s="1"/>
  <c r="Q22" i="61"/>
  <c r="Q25" i="61" s="1"/>
  <c r="Q26" i="61" s="1"/>
  <c r="I22" i="61"/>
  <c r="I25" i="61" s="1"/>
  <c r="I26" i="61" s="1"/>
  <c r="P22" i="61"/>
  <c r="P25" i="61" s="1"/>
  <c r="P26" i="61" s="1"/>
  <c r="L22" i="61"/>
  <c r="L25" i="61" s="1"/>
  <c r="L26" i="61" s="1"/>
  <c r="F22" i="61"/>
  <c r="F25" i="61" s="1"/>
  <c r="F26" i="61" s="1"/>
  <c r="M22" i="61"/>
  <c r="M25" i="61" s="1"/>
  <c r="M26" i="61" s="1"/>
  <c r="L8" i="33"/>
  <c r="F6" i="37"/>
  <c r="D6" i="37"/>
  <c r="E49" i="61"/>
  <c r="D6" i="28" s="1"/>
  <c r="D7" i="28" s="1"/>
  <c r="H6" i="33"/>
  <c r="H8" i="33" s="1"/>
  <c r="I6" i="33"/>
  <c r="I8" i="33" s="1"/>
  <c r="J6" i="33"/>
  <c r="J8" i="33" s="1"/>
  <c r="S21" i="61"/>
  <c r="I6" i="37" l="1"/>
  <c r="L49" i="61"/>
  <c r="L50" i="61" s="1"/>
  <c r="G49" i="61"/>
  <c r="F6" i="28" s="1"/>
  <c r="K6" i="37"/>
  <c r="H6" i="37"/>
  <c r="G6" i="37"/>
  <c r="Q49" i="61"/>
  <c r="Q50" i="61" s="1"/>
  <c r="N49" i="61"/>
  <c r="N50" i="61" s="1"/>
  <c r="M49" i="61"/>
  <c r="M50" i="61" s="1"/>
  <c r="F49" i="61"/>
  <c r="F50" i="61" s="1"/>
  <c r="E7" i="28" s="1"/>
  <c r="J49" i="61"/>
  <c r="J50" i="61" s="1"/>
  <c r="J7" i="28" s="1"/>
  <c r="P49" i="61"/>
  <c r="P50" i="61" s="1"/>
  <c r="O49" i="61"/>
  <c r="O50" i="61" s="1"/>
  <c r="J6" i="37"/>
  <c r="E6" i="37"/>
  <c r="K49" i="61"/>
  <c r="K50" i="61" s="1"/>
  <c r="S22" i="61"/>
  <c r="I49" i="61"/>
  <c r="H6" i="28" s="1"/>
  <c r="H49" i="61"/>
  <c r="E50" i="61"/>
  <c r="S25" i="61"/>
  <c r="S26" i="61" s="1"/>
  <c r="G50" i="61" l="1"/>
  <c r="F7" i="28" s="1"/>
  <c r="J6" i="28"/>
  <c r="S49" i="61"/>
  <c r="E6" i="28"/>
  <c r="H50" i="61"/>
  <c r="G7" i="28" s="1"/>
  <c r="G6" i="28"/>
  <c r="I50" i="61"/>
  <c r="H7" i="28" s="1"/>
  <c r="S50" i="61" l="1"/>
  <c r="J11" i="10"/>
  <c r="E11" i="10"/>
  <c r="F11" i="10"/>
  <c r="G11" i="10"/>
  <c r="H11" i="10"/>
  <c r="I11" i="10"/>
  <c r="K11" i="10"/>
  <c r="L11" i="10"/>
  <c r="M11" i="10"/>
  <c r="N11" i="10"/>
  <c r="O11" i="10"/>
  <c r="P11" i="10"/>
  <c r="D28" i="50"/>
  <c r="R11" i="10" l="1"/>
  <c r="C10" i="33"/>
  <c r="G10" i="37"/>
  <c r="F10" i="37" l="1"/>
  <c r="J10" i="33"/>
  <c r="I10" i="37"/>
  <c r="I10" i="33"/>
  <c r="G10" i="33"/>
  <c r="D10" i="37"/>
  <c r="E10" i="37"/>
  <c r="D10" i="33"/>
  <c r="F10" i="33"/>
  <c r="K10" i="37" l="1"/>
  <c r="E10" i="33"/>
  <c r="J10" i="37"/>
  <c r="H10" i="37"/>
  <c r="H10" i="33"/>
  <c r="G19" i="50" l="1"/>
  <c r="F19" i="50"/>
  <c r="E19" i="50"/>
  <c r="H19" i="50" l="1"/>
  <c r="H26" i="50" s="1"/>
  <c r="E26" i="50"/>
  <c r="F26" i="50"/>
  <c r="G26" i="50"/>
  <c r="D19" i="50"/>
  <c r="H48" i="50" l="1"/>
  <c r="H38" i="50"/>
  <c r="H43" i="50"/>
  <c r="I19" i="50"/>
  <c r="F43" i="50"/>
  <c r="F38" i="50"/>
  <c r="F48" i="50"/>
  <c r="G43" i="50"/>
  <c r="G38" i="50"/>
  <c r="G48" i="50"/>
  <c r="E48" i="50"/>
  <c r="E43" i="50"/>
  <c r="E38" i="50"/>
  <c r="D26" i="50"/>
  <c r="I36" i="50"/>
  <c r="I41" i="50"/>
  <c r="I46" i="50"/>
  <c r="I7" i="43"/>
  <c r="I8" i="43"/>
  <c r="I9" i="43"/>
  <c r="I10" i="43"/>
  <c r="I11" i="43"/>
  <c r="I12" i="43"/>
  <c r="I13" i="43"/>
  <c r="D14" i="43"/>
  <c r="E14" i="43"/>
  <c r="F14" i="43"/>
  <c r="G14" i="43"/>
  <c r="H14" i="43"/>
  <c r="I26" i="50" l="1"/>
  <c r="D38" i="50"/>
  <c r="I38" i="50"/>
  <c r="D48" i="50"/>
  <c r="I48" i="50" s="1"/>
  <c r="D43" i="50"/>
  <c r="I43" i="50" s="1"/>
  <c r="D19" i="42" l="1"/>
  <c r="D20" i="42"/>
  <c r="L16" i="33" l="1"/>
  <c r="L10" i="33" l="1"/>
  <c r="L12" i="33" l="1"/>
  <c r="L13" i="33" l="1"/>
  <c r="L4" i="33" l="1"/>
  <c r="I18" i="50" l="1"/>
  <c r="H25" i="50"/>
  <c r="H20" i="50"/>
  <c r="G25" i="50"/>
  <c r="G20" i="50"/>
  <c r="D25" i="50"/>
  <c r="D20" i="50"/>
  <c r="F20" i="50"/>
  <c r="F25" i="50"/>
  <c r="E20" i="50"/>
  <c r="E25" i="50"/>
  <c r="D37" i="50" l="1"/>
  <c r="I20" i="50"/>
  <c r="I25" i="50"/>
  <c r="H47" i="50"/>
  <c r="H49" i="50" s="1"/>
  <c r="H37" i="50"/>
  <c r="H39" i="50" s="1"/>
  <c r="H42" i="50"/>
  <c r="H44" i="50" s="1"/>
  <c r="H28" i="50"/>
  <c r="H27" i="50"/>
  <c r="F47" i="50"/>
  <c r="F42" i="50"/>
  <c r="F37" i="50"/>
  <c r="D42" i="50"/>
  <c r="D47" i="50"/>
  <c r="D49" i="50" s="1"/>
  <c r="E42" i="50"/>
  <c r="E37" i="50"/>
  <c r="E47" i="50"/>
  <c r="G47" i="50"/>
  <c r="G42" i="50"/>
  <c r="G37" i="50"/>
  <c r="E28" i="50"/>
  <c r="F28" i="50"/>
  <c r="G28" i="50"/>
  <c r="L6" i="33"/>
  <c r="I47" i="50" l="1"/>
  <c r="I42" i="50"/>
  <c r="I37" i="50"/>
  <c r="I28" i="50"/>
  <c r="F49" i="50"/>
  <c r="F39" i="50"/>
  <c r="F44" i="50"/>
  <c r="F27" i="50"/>
  <c r="G49" i="50"/>
  <c r="G44" i="50"/>
  <c r="G39" i="50"/>
  <c r="G27" i="50"/>
  <c r="E49" i="50"/>
  <c r="E39" i="50"/>
  <c r="E44" i="50"/>
  <c r="E27" i="50"/>
  <c r="D27" i="50"/>
  <c r="I27" i="50" l="1"/>
  <c r="I49" i="50"/>
  <c r="D39" i="50"/>
  <c r="D44" i="50"/>
  <c r="I44" i="50" s="1"/>
  <c r="I39" i="50" l="1"/>
  <c r="D5" i="42" s="1"/>
  <c r="D6" i="42"/>
  <c r="D7" i="42"/>
  <c r="D26" i="42" l="1"/>
  <c r="G34" i="42" s="1"/>
  <c r="G17" i="37" s="1"/>
  <c r="G38" i="37" s="1"/>
  <c r="D24" i="42"/>
  <c r="D25" i="42"/>
  <c r="H48" i="42" s="1"/>
  <c r="H25" i="37" s="1"/>
  <c r="H46" i="37" s="1"/>
  <c r="G37" i="42"/>
  <c r="G18" i="37" s="1"/>
  <c r="G39" i="37" s="1"/>
  <c r="G42" i="42"/>
  <c r="G21" i="37" s="1"/>
  <c r="G42" i="37" s="1"/>
  <c r="G97" i="37" s="1"/>
  <c r="G47" i="42"/>
  <c r="G24" i="37" s="1"/>
  <c r="G45" i="37" s="1"/>
  <c r="D37" i="42"/>
  <c r="E37" i="42"/>
  <c r="E18" i="37" s="1"/>
  <c r="E39" i="37" s="1"/>
  <c r="F47" i="42"/>
  <c r="F24" i="37" s="1"/>
  <c r="F45" i="37" s="1"/>
  <c r="E32" i="42"/>
  <c r="E15" i="37" s="1"/>
  <c r="E36" i="37" s="1"/>
  <c r="H37" i="42"/>
  <c r="H18" i="37" s="1"/>
  <c r="H39" i="37" s="1"/>
  <c r="H42" i="42"/>
  <c r="H21" i="37" s="1"/>
  <c r="H42" i="37" s="1"/>
  <c r="H97" i="37" s="1"/>
  <c r="H47" i="42"/>
  <c r="H24" i="37" s="1"/>
  <c r="H45" i="37" s="1"/>
  <c r="I32" i="42"/>
  <c r="I15" i="37" s="1"/>
  <c r="I36" i="37" s="1"/>
  <c r="E42" i="42"/>
  <c r="E21" i="37" s="1"/>
  <c r="E42" i="37" s="1"/>
  <c r="E97" i="37" s="1"/>
  <c r="E47" i="42"/>
  <c r="E24" i="37" s="1"/>
  <c r="E45" i="37" s="1"/>
  <c r="F37" i="42"/>
  <c r="F18" i="37" s="1"/>
  <c r="F39" i="37" s="1"/>
  <c r="F32" i="42"/>
  <c r="F15" i="37" s="1"/>
  <c r="F36" i="37" s="1"/>
  <c r="I37" i="42"/>
  <c r="I18" i="37" s="1"/>
  <c r="I39" i="37" s="1"/>
  <c r="I42" i="42"/>
  <c r="I21" i="37" s="1"/>
  <c r="I42" i="37" s="1"/>
  <c r="I97" i="37" s="1"/>
  <c r="I47" i="42"/>
  <c r="I24" i="37" s="1"/>
  <c r="I45" i="37" s="1"/>
  <c r="F42" i="42"/>
  <c r="F21" i="37" s="1"/>
  <c r="F42" i="37" s="1"/>
  <c r="F97" i="37" s="1"/>
  <c r="G32" i="42"/>
  <c r="G15" i="37" s="1"/>
  <c r="G36" i="37" s="1"/>
  <c r="J37" i="42"/>
  <c r="J18" i="37" s="1"/>
  <c r="J39" i="37" s="1"/>
  <c r="J42" i="42"/>
  <c r="J21" i="37" s="1"/>
  <c r="J42" i="37" s="1"/>
  <c r="J97" i="37" s="1"/>
  <c r="J47" i="42"/>
  <c r="J24" i="37" s="1"/>
  <c r="J45" i="37" s="1"/>
  <c r="D47" i="42"/>
  <c r="J32" i="42"/>
  <c r="J15" i="37" s="1"/>
  <c r="J36" i="37" s="1"/>
  <c r="K32" i="42"/>
  <c r="K15" i="37" s="1"/>
  <c r="K36" i="37" s="1"/>
  <c r="H32" i="42"/>
  <c r="H15" i="37" s="1"/>
  <c r="H36" i="37" s="1"/>
  <c r="K37" i="42"/>
  <c r="K18" i="37" s="1"/>
  <c r="K39" i="37" s="1"/>
  <c r="K42" i="42"/>
  <c r="K21" i="37" s="1"/>
  <c r="K42" i="37" s="1"/>
  <c r="K97" i="37" s="1"/>
  <c r="K47" i="42"/>
  <c r="K24" i="37" s="1"/>
  <c r="K45" i="37" s="1"/>
  <c r="D42" i="42"/>
  <c r="G38" i="42"/>
  <c r="G19" i="37" s="1"/>
  <c r="G40" i="37" s="1"/>
  <c r="G43" i="42"/>
  <c r="G48" i="42"/>
  <c r="G25" i="37" s="1"/>
  <c r="G46" i="37" s="1"/>
  <c r="E33" i="42"/>
  <c r="E16" i="37" s="1"/>
  <c r="E37" i="37" s="1"/>
  <c r="H38" i="42"/>
  <c r="H19" i="37" s="1"/>
  <c r="H40" i="37" s="1"/>
  <c r="E38" i="42"/>
  <c r="E19" i="37" s="1"/>
  <c r="E40" i="37" s="1"/>
  <c r="F43" i="42"/>
  <c r="F33" i="42"/>
  <c r="F16" i="37" s="1"/>
  <c r="F37" i="37" s="1"/>
  <c r="I38" i="42"/>
  <c r="I19" i="37" s="1"/>
  <c r="I40" i="37" s="1"/>
  <c r="I43" i="42"/>
  <c r="I22" i="37" s="1"/>
  <c r="I43" i="37" s="1"/>
  <c r="K33" i="42"/>
  <c r="K16" i="37" s="1"/>
  <c r="K37" i="37" s="1"/>
  <c r="G33" i="42"/>
  <c r="G16" i="37" s="1"/>
  <c r="G37" i="37" s="1"/>
  <c r="J38" i="42"/>
  <c r="J19" i="37" s="1"/>
  <c r="J40" i="37" s="1"/>
  <c r="J43" i="42"/>
  <c r="J22" i="37" s="1"/>
  <c r="J43" i="37" s="1"/>
  <c r="J48" i="42"/>
  <c r="J25" i="37" s="1"/>
  <c r="J46" i="37" s="1"/>
  <c r="H33" i="42"/>
  <c r="H16" i="37" s="1"/>
  <c r="H37" i="37" s="1"/>
  <c r="K38" i="42"/>
  <c r="K19" i="37" s="1"/>
  <c r="K40" i="37" s="1"/>
  <c r="K43" i="42"/>
  <c r="K22" i="37" s="1"/>
  <c r="K43" i="37" s="1"/>
  <c r="K48" i="42"/>
  <c r="K25" i="37" s="1"/>
  <c r="K46" i="37" s="1"/>
  <c r="F38" i="42"/>
  <c r="F19" i="37" s="1"/>
  <c r="F40" i="37" s="1"/>
  <c r="F49" i="42" l="1"/>
  <c r="F26" i="37" s="1"/>
  <c r="F47" i="37" s="1"/>
  <c r="G49" i="42"/>
  <c r="G26" i="37" s="1"/>
  <c r="G47" i="37" s="1"/>
  <c r="H44" i="42"/>
  <c r="H23" i="37" s="1"/>
  <c r="H44" i="37" s="1"/>
  <c r="K39" i="42"/>
  <c r="K20" i="37" s="1"/>
  <c r="K41" i="37" s="1"/>
  <c r="J39" i="42"/>
  <c r="J20" i="37" s="1"/>
  <c r="J41" i="37" s="1"/>
  <c r="F44" i="42"/>
  <c r="F23" i="37" s="1"/>
  <c r="F44" i="37" s="1"/>
  <c r="E39" i="42"/>
  <c r="E20" i="37" s="1"/>
  <c r="E41" i="37" s="1"/>
  <c r="E44" i="42"/>
  <c r="E23" i="37" s="1"/>
  <c r="E44" i="37" s="1"/>
  <c r="E98" i="37" s="1"/>
  <c r="D49" i="42"/>
  <c r="D26" i="37" s="1"/>
  <c r="D47" i="37" s="1"/>
  <c r="D44" i="42"/>
  <c r="J49" i="42"/>
  <c r="J26" i="37" s="1"/>
  <c r="J47" i="37" s="1"/>
  <c r="J44" i="42"/>
  <c r="J23" i="37" s="1"/>
  <c r="J44" i="37" s="1"/>
  <c r="H34" i="42"/>
  <c r="H17" i="37" s="1"/>
  <c r="H38" i="37" s="1"/>
  <c r="F39" i="42"/>
  <c r="F20" i="37" s="1"/>
  <c r="F41" i="37" s="1"/>
  <c r="I44" i="42"/>
  <c r="I23" i="37" s="1"/>
  <c r="I44" i="37" s="1"/>
  <c r="I39" i="42"/>
  <c r="I20" i="37" s="1"/>
  <c r="I41" i="37" s="1"/>
  <c r="I49" i="42"/>
  <c r="I26" i="37" s="1"/>
  <c r="I47" i="37" s="1"/>
  <c r="H49" i="42"/>
  <c r="H26" i="37" s="1"/>
  <c r="H47" i="37" s="1"/>
  <c r="E49" i="42"/>
  <c r="E26" i="37" s="1"/>
  <c r="E47" i="37" s="1"/>
  <c r="H39" i="42"/>
  <c r="H20" i="37" s="1"/>
  <c r="H41" i="37" s="1"/>
  <c r="K44" i="42"/>
  <c r="K23" i="37" s="1"/>
  <c r="K44" i="37" s="1"/>
  <c r="K34" i="42"/>
  <c r="K17" i="37" s="1"/>
  <c r="K38" i="37" s="1"/>
  <c r="G44" i="42"/>
  <c r="G23" i="37" s="1"/>
  <c r="G44" i="37" s="1"/>
  <c r="G98" i="37" s="1"/>
  <c r="D39" i="42"/>
  <c r="D20" i="37" s="1"/>
  <c r="D41" i="37" s="1"/>
  <c r="D34" i="42"/>
  <c r="D17" i="37" s="1"/>
  <c r="D38" i="37" s="1"/>
  <c r="G39" i="42"/>
  <c r="G20" i="37" s="1"/>
  <c r="G41" i="37" s="1"/>
  <c r="J34" i="42"/>
  <c r="J17" i="37" s="1"/>
  <c r="J38" i="37" s="1"/>
  <c r="E34" i="42"/>
  <c r="E17" i="37" s="1"/>
  <c r="E38" i="37" s="1"/>
  <c r="F34" i="42"/>
  <c r="F17" i="37" s="1"/>
  <c r="F38" i="37" s="1"/>
  <c r="K49" i="42"/>
  <c r="K26" i="37" s="1"/>
  <c r="K47" i="37" s="1"/>
  <c r="I34" i="42"/>
  <c r="I17" i="37" s="1"/>
  <c r="I38" i="37" s="1"/>
  <c r="E43" i="42"/>
  <c r="D38" i="42"/>
  <c r="D19" i="37" s="1"/>
  <c r="D40" i="37" s="1"/>
  <c r="D32" i="42"/>
  <c r="D15" i="37" s="1"/>
  <c r="D48" i="42"/>
  <c r="D25" i="37" s="1"/>
  <c r="D46" i="37" s="1"/>
  <c r="F48" i="42"/>
  <c r="F25" i="37" s="1"/>
  <c r="F46" i="37" s="1"/>
  <c r="E48" i="42"/>
  <c r="E25" i="37" s="1"/>
  <c r="E46" i="37" s="1"/>
  <c r="J33" i="42"/>
  <c r="J16" i="37" s="1"/>
  <c r="J37" i="37" s="1"/>
  <c r="I33" i="42"/>
  <c r="I16" i="37" s="1"/>
  <c r="I37" i="37" s="1"/>
  <c r="I48" i="42"/>
  <c r="I25" i="37" s="1"/>
  <c r="I46" i="37" s="1"/>
  <c r="H43" i="42"/>
  <c r="H22" i="37" s="1"/>
  <c r="H43" i="37" s="1"/>
  <c r="D33" i="42"/>
  <c r="M33" i="42" s="1"/>
  <c r="D43" i="42"/>
  <c r="D22" i="37" s="1"/>
  <c r="D43" i="37" s="1"/>
  <c r="F22" i="37"/>
  <c r="F43" i="37" s="1"/>
  <c r="F3" i="28"/>
  <c r="G22" i="37"/>
  <c r="G43" i="37" s="1"/>
  <c r="G3" i="28"/>
  <c r="E22" i="37"/>
  <c r="E43" i="37" s="1"/>
  <c r="E3" i="28"/>
  <c r="D18" i="37"/>
  <c r="D39" i="37" s="1"/>
  <c r="M37" i="42"/>
  <c r="M49" i="42"/>
  <c r="D23" i="37"/>
  <c r="D44" i="37" s="1"/>
  <c r="D21" i="37"/>
  <c r="D42" i="37" s="1"/>
  <c r="D97" i="37" s="1"/>
  <c r="M42" i="42"/>
  <c r="D16" i="37"/>
  <c r="D37" i="37" s="1"/>
  <c r="D24" i="37"/>
  <c r="D45" i="37" s="1"/>
  <c r="M47" i="42"/>
  <c r="D36" i="37"/>
  <c r="K98" i="37"/>
  <c r="H98" i="37"/>
  <c r="F98" i="37"/>
  <c r="J98" i="37"/>
  <c r="I98" i="37"/>
  <c r="I14" i="33"/>
  <c r="I18" i="33" s="1"/>
  <c r="J14" i="33"/>
  <c r="J18" i="33" s="1"/>
  <c r="D14" i="33"/>
  <c r="D18" i="33" s="1"/>
  <c r="H14" i="33"/>
  <c r="H18" i="33" s="1"/>
  <c r="F14" i="33"/>
  <c r="F18" i="33" s="1"/>
  <c r="E14" i="33"/>
  <c r="E18" i="33" s="1"/>
  <c r="M38" i="42" l="1"/>
  <c r="M34" i="42"/>
  <c r="M44" i="42"/>
  <c r="M39" i="42"/>
  <c r="G14" i="33"/>
  <c r="G18" i="33" s="1"/>
  <c r="H3" i="28"/>
  <c r="M32" i="42"/>
  <c r="M48" i="42"/>
  <c r="M43" i="42"/>
  <c r="D3" i="28"/>
  <c r="D8" i="28" s="1"/>
  <c r="C14" i="33"/>
  <c r="C18" i="33" s="1"/>
  <c r="D98" i="37"/>
  <c r="I30" i="37"/>
  <c r="I34" i="37"/>
  <c r="I95" i="37" s="1"/>
  <c r="F34" i="37"/>
  <c r="F95" i="37" s="1"/>
  <c r="F30" i="37"/>
  <c r="E30" i="37"/>
  <c r="E34" i="37"/>
  <c r="E95" i="37" s="1"/>
  <c r="H34" i="37"/>
  <c r="H95" i="37" s="1"/>
  <c r="H30" i="37"/>
  <c r="K34" i="37"/>
  <c r="K95" i="37" s="1"/>
  <c r="K30" i="37"/>
  <c r="D34" i="37"/>
  <c r="D95" i="37" s="1"/>
  <c r="D30" i="37"/>
  <c r="D54" i="37" s="1"/>
  <c r="G30" i="37"/>
  <c r="G34" i="37"/>
  <c r="G95" i="37" s="1"/>
  <c r="J30" i="37"/>
  <c r="J34" i="37"/>
  <c r="J95" i="37" s="1"/>
  <c r="L14" i="33" l="1"/>
  <c r="J3" i="28"/>
  <c r="G8" i="28"/>
  <c r="H8" i="28"/>
  <c r="F8" i="28"/>
  <c r="E8" i="28"/>
  <c r="E99" i="37"/>
  <c r="E94" i="37"/>
  <c r="D99" i="37"/>
  <c r="D94" i="37"/>
  <c r="J99" i="37"/>
  <c r="J94" i="37"/>
  <c r="G99" i="37"/>
  <c r="G94" i="37"/>
  <c r="I99" i="37"/>
  <c r="I94" i="37"/>
  <c r="K94" i="37"/>
  <c r="K99" i="37"/>
  <c r="H99" i="37"/>
  <c r="H94" i="37"/>
  <c r="F99" i="37"/>
  <c r="F94" i="37"/>
  <c r="D56" i="37"/>
  <c r="D76" i="37" s="1"/>
  <c r="D58" i="37"/>
  <c r="D78" i="37" s="1"/>
  <c r="D59" i="37"/>
  <c r="D79" i="37" s="1"/>
  <c r="D60" i="37"/>
  <c r="D80" i="37" s="1"/>
  <c r="D61" i="37"/>
  <c r="D81" i="37" s="1"/>
  <c r="D62" i="37"/>
  <c r="D82" i="37" s="1"/>
  <c r="D63" i="37"/>
  <c r="D83" i="37" s="1"/>
  <c r="D64" i="37"/>
  <c r="D84" i="37" s="1"/>
  <c r="D65" i="37"/>
  <c r="D85" i="37" s="1"/>
  <c r="D66" i="37"/>
  <c r="D86" i="37" s="1"/>
  <c r="D67" i="37"/>
  <c r="D87" i="37" s="1"/>
  <c r="D68" i="37"/>
  <c r="D88" i="37" s="1"/>
  <c r="D69" i="37"/>
  <c r="D89" i="37" s="1"/>
  <c r="D74" i="37"/>
  <c r="D52" i="37"/>
  <c r="J52" i="37"/>
  <c r="J56" i="37"/>
  <c r="J76" i="37" s="1"/>
  <c r="J58" i="37"/>
  <c r="J78" i="37" s="1"/>
  <c r="J59" i="37"/>
  <c r="J79" i="37" s="1"/>
  <c r="J60" i="37"/>
  <c r="J80" i="37" s="1"/>
  <c r="J61" i="37"/>
  <c r="J81" i="37" s="1"/>
  <c r="J62" i="37"/>
  <c r="J82" i="37" s="1"/>
  <c r="J63" i="37"/>
  <c r="J83" i="37" s="1"/>
  <c r="J64" i="37"/>
  <c r="J84" i="37" s="1"/>
  <c r="J65" i="37"/>
  <c r="J85" i="37" s="1"/>
  <c r="J66" i="37"/>
  <c r="J86" i="37" s="1"/>
  <c r="J67" i="37"/>
  <c r="J87" i="37" s="1"/>
  <c r="J68" i="37"/>
  <c r="J88" i="37" s="1"/>
  <c r="J69" i="37"/>
  <c r="J89" i="37" s="1"/>
  <c r="H56" i="37"/>
  <c r="H76" i="37" s="1"/>
  <c r="H61" i="37"/>
  <c r="H81" i="37" s="1"/>
  <c r="H63" i="37"/>
  <c r="H83" i="37" s="1"/>
  <c r="H65" i="37"/>
  <c r="H85" i="37" s="1"/>
  <c r="H68" i="37"/>
  <c r="H88" i="37" s="1"/>
  <c r="H52" i="37"/>
  <c r="H58" i="37"/>
  <c r="H78" i="37" s="1"/>
  <c r="H62" i="37"/>
  <c r="H82" i="37" s="1"/>
  <c r="H64" i="37"/>
  <c r="H84" i="37" s="1"/>
  <c r="H66" i="37"/>
  <c r="H86" i="37" s="1"/>
  <c r="H59" i="37"/>
  <c r="H79" i="37" s="1"/>
  <c r="H69" i="37"/>
  <c r="H89" i="37" s="1"/>
  <c r="H60" i="37"/>
  <c r="H80" i="37" s="1"/>
  <c r="H67" i="37"/>
  <c r="H87" i="37" s="1"/>
  <c r="I52" i="37"/>
  <c r="I56" i="37"/>
  <c r="I76" i="37" s="1"/>
  <c r="I58" i="37"/>
  <c r="I78" i="37" s="1"/>
  <c r="I59" i="37"/>
  <c r="I79" i="37" s="1"/>
  <c r="I60" i="37"/>
  <c r="I80" i="37" s="1"/>
  <c r="I61" i="37"/>
  <c r="I81" i="37" s="1"/>
  <c r="I62" i="37"/>
  <c r="I82" i="37" s="1"/>
  <c r="I63" i="37"/>
  <c r="I83" i="37" s="1"/>
  <c r="I64" i="37"/>
  <c r="I84" i="37" s="1"/>
  <c r="I65" i="37"/>
  <c r="I85" i="37" s="1"/>
  <c r="I66" i="37"/>
  <c r="I86" i="37" s="1"/>
  <c r="I67" i="37"/>
  <c r="I87" i="37" s="1"/>
  <c r="I68" i="37"/>
  <c r="I88" i="37" s="1"/>
  <c r="I69" i="37"/>
  <c r="I89" i="37" s="1"/>
  <c r="K58" i="37"/>
  <c r="K78" i="37" s="1"/>
  <c r="K59" i="37"/>
  <c r="K79" i="37" s="1"/>
  <c r="K61" i="37"/>
  <c r="K81" i="37" s="1"/>
  <c r="K63" i="37"/>
  <c r="K83" i="37" s="1"/>
  <c r="K65" i="37"/>
  <c r="K85" i="37" s="1"/>
  <c r="K67" i="37"/>
  <c r="K87" i="37" s="1"/>
  <c r="K69" i="37"/>
  <c r="K89" i="37" s="1"/>
  <c r="K52" i="37"/>
  <c r="K56" i="37"/>
  <c r="K76" i="37" s="1"/>
  <c r="K60" i="37"/>
  <c r="K80" i="37" s="1"/>
  <c r="K62" i="37"/>
  <c r="K82" i="37" s="1"/>
  <c r="K64" i="37"/>
  <c r="K84" i="37" s="1"/>
  <c r="K66" i="37"/>
  <c r="K86" i="37" s="1"/>
  <c r="K68" i="37"/>
  <c r="K88" i="37" s="1"/>
  <c r="G52" i="37"/>
  <c r="G56" i="37"/>
  <c r="G76" i="37" s="1"/>
  <c r="G58" i="37"/>
  <c r="G78" i="37" s="1"/>
  <c r="G59" i="37"/>
  <c r="G79" i="37" s="1"/>
  <c r="G60" i="37"/>
  <c r="G80" i="37" s="1"/>
  <c r="G61" i="37"/>
  <c r="G81" i="37" s="1"/>
  <c r="G62" i="37"/>
  <c r="G82" i="37" s="1"/>
  <c r="G63" i="37"/>
  <c r="G83" i="37" s="1"/>
  <c r="G64" i="37"/>
  <c r="G84" i="37" s="1"/>
  <c r="G65" i="37"/>
  <c r="G85" i="37" s="1"/>
  <c r="G66" i="37"/>
  <c r="G86" i="37" s="1"/>
  <c r="G67" i="37"/>
  <c r="G87" i="37" s="1"/>
  <c r="G68" i="37"/>
  <c r="G88" i="37" s="1"/>
  <c r="G69" i="37"/>
  <c r="G89" i="37" s="1"/>
  <c r="G54" i="37"/>
  <c r="G74" i="37" s="1"/>
  <c r="E52" i="37"/>
  <c r="E56" i="37"/>
  <c r="E76" i="37" s="1"/>
  <c r="E58" i="37"/>
  <c r="E78" i="37" s="1"/>
  <c r="E59" i="37"/>
  <c r="E79" i="37" s="1"/>
  <c r="E60" i="37"/>
  <c r="E80" i="37" s="1"/>
  <c r="E61" i="37"/>
  <c r="E81" i="37" s="1"/>
  <c r="E62" i="37"/>
  <c r="E82" i="37" s="1"/>
  <c r="E63" i="37"/>
  <c r="E83" i="37" s="1"/>
  <c r="E64" i="37"/>
  <c r="E84" i="37" s="1"/>
  <c r="E65" i="37"/>
  <c r="E85" i="37" s="1"/>
  <c r="E66" i="37"/>
  <c r="E86" i="37" s="1"/>
  <c r="E67" i="37"/>
  <c r="E87" i="37" s="1"/>
  <c r="E54" i="37"/>
  <c r="E74" i="37" s="1"/>
  <c r="E68" i="37"/>
  <c r="E88" i="37" s="1"/>
  <c r="E69" i="37"/>
  <c r="E89" i="37" s="1"/>
  <c r="F56" i="37"/>
  <c r="F76" i="37" s="1"/>
  <c r="F58" i="37"/>
  <c r="F78" i="37" s="1"/>
  <c r="F59" i="37"/>
  <c r="F79" i="37" s="1"/>
  <c r="F60" i="37"/>
  <c r="F80" i="37" s="1"/>
  <c r="F61" i="37"/>
  <c r="F81" i="37" s="1"/>
  <c r="F62" i="37"/>
  <c r="F82" i="37" s="1"/>
  <c r="F63" i="37"/>
  <c r="F83" i="37" s="1"/>
  <c r="F64" i="37"/>
  <c r="F84" i="37" s="1"/>
  <c r="F65" i="37"/>
  <c r="F85" i="37" s="1"/>
  <c r="F66" i="37"/>
  <c r="F86" i="37" s="1"/>
  <c r="F67" i="37"/>
  <c r="F87" i="37" s="1"/>
  <c r="F68" i="37"/>
  <c r="F88" i="37" s="1"/>
  <c r="F69" i="37"/>
  <c r="F89" i="37" s="1"/>
  <c r="F54" i="37"/>
  <c r="F74" i="37" s="1"/>
  <c r="F52" i="37"/>
  <c r="L15" i="33"/>
  <c r="L18" i="33"/>
  <c r="J8" i="28" l="1"/>
  <c r="G12" i="28" l="1"/>
  <c r="G13" i="28" s="1"/>
  <c r="D12" i="28"/>
  <c r="D13" i="28" s="1"/>
  <c r="E12" i="28"/>
  <c r="E13" i="28" s="1"/>
  <c r="F12" i="28"/>
  <c r="F13" i="28" s="1"/>
  <c r="H12" i="28"/>
  <c r="H13" i="28" s="1"/>
  <c r="E14" i="28" l="1"/>
  <c r="F14" i="28"/>
  <c r="H14" i="28"/>
  <c r="G14" i="28"/>
  <c r="D14" i="28"/>
  <c r="J13" i="28"/>
  <c r="J12" i="28"/>
  <c r="F21" i="33" l="1"/>
  <c r="F23" i="33"/>
  <c r="C23" i="33"/>
  <c r="C21" i="33"/>
  <c r="G21" i="33"/>
  <c r="G23" i="33"/>
  <c r="E23" i="33"/>
  <c r="E21" i="33"/>
  <c r="D23" i="33"/>
  <c r="D21" i="33"/>
  <c r="J1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tc={0EDB6539-4F49-4149-AA8F-4779640FE80F}</author>
  </authors>
  <commentList>
    <comment ref="C16" authorId="0" shapeId="0" xr:uid="{0EDB6539-4F49-4149-AA8F-4779640FE80F}">
      <text>
        <t>[Threaded comment]
Your version of Excel allows you to read this threaded comment; however, any edits to it will get removed if the file is opened in a newer version of Excel. Learn more: https://go.microsoft.com/fwlink/?linkid=870924
Comment:
    Assumed percentage of total F-gas emissions covered by SGG levy, based on historical data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tc={8C58AE20-49D3-4AAF-B8F0-B79C27E8A9C3}</author>
    <author>tc={0BC59D4A-3B8E-4075-965B-78328024FF6A}</author>
    <author>tc={B7AFD4FE-C88B-453D-91E3-B92E6BE36FDF}</author>
    <author>tc={FE83AD92-EEE7-4254-874B-BB67FDD98E4F}</author>
    <author>tc={B9EE1F92-4977-45B7-8B74-0941AEBF01A9}</author>
    <author>tc={09277FFA-28D8-4DFC-9EB6-A4C9A845382C}</author>
    <author>tc={4DFFF9F4-4F24-45D6-9625-77B164C645F4}</author>
    <author>tc={0D5E8E33-BD1B-4FA5-B7E9-F3D464EBE2A0}</author>
    <author>tc={1A4C554F-D1A3-422E-9891-527405C3EE33}</author>
    <author>tc={5EF26EF3-CC68-451B-A745-BFB673761746}</author>
    <author>tc={93608B83-DFE7-4616-90A3-C30F6FD4EB29}</author>
    <author>tc={5B4FE057-14BA-45A9-B44E-A7429F623C6A}</author>
    <author>tc={5980F6D5-CEC5-4854-B58E-3167AEB88F2B}</author>
    <author>tc={A2DB4693-F697-460B-AD79-A2883117AD6B}</author>
  </authors>
  <commentList>
    <comment ref="B4" authorId="0" shapeId="0" xr:uid="{8C58AE20-49D3-4AAF-B8F0-B79C27E8A9C3}">
      <text>
        <t>[Threaded comment]
Your version of Excel allows you to read this threaded comment; however, any edits to it will get removed if the file is opened in a newer version of Excel. Learn more: https://go.microsoft.com/fwlink/?linkid=870924
Comment:
    Owning, purchasing obligation fuel; Combusting used or waste oil used tyres or waste; Using crude oil or other liquid hydrocarbons</t>
      </text>
    </comment>
    <comment ref="B5" authorId="1" shapeId="0" xr:uid="{0BC59D4A-3B8E-4075-965B-78328024FF6A}">
      <text>
        <t>[Threaded comment]
Your version of Excel allows you to read this threaded comment; however, any edits to it will get removed if the file is opened in a newer version of Excel. Learn more: https://go.microsoft.com/fwlink/?linkid=870924
Comment:
    Liquid fuel combustion, excl. petrol refining</t>
      </text>
    </comment>
    <comment ref="B9" authorId="2" shapeId="0" xr:uid="{B7AFD4FE-C88B-453D-91E3-B92E6BE36FDF}">
      <text>
        <t>[Threaded comment]
Your version of Excel allows you to read this threaded comment; however, any edits to it will get removed if the file is opened in a newer version of Excel. Learn more: https://go.microsoft.com/fwlink/?linkid=870924
Comment:
    Importing, mining, purchasing coal; Producing iron or steel</t>
      </text>
    </comment>
    <comment ref="B10" authorId="3" shapeId="0" xr:uid="{FE83AD92-EEE7-4254-874B-BB67FDD98E4F}">
      <text>
        <t>[Threaded comment]
Your version of Excel allows you to read this threaded comment; however, any edits to it will get removed if the file is opened in a newer version of Excel. Learn more: https://go.microsoft.com/fwlink/?linkid=870924
Comment:
    Solid fuels combustion; Fugitive emissions, coal mining &amp; handling; IPPU iron &amp; steel</t>
      </text>
    </comment>
    <comment ref="B15" authorId="4" shapeId="0" xr:uid="{B9EE1F92-4977-45B7-8B74-0941AEBF01A9}">
      <text>
        <t>[Threaded comment]
Your version of Excel allows you to read this threaded comment; however, any edits to it will get removed if the file is opened in a newer version of Excel. Learn more: https://go.microsoft.com/fwlink/?linkid=870924
Comment:
    Mining, importing, purchasing natural gas; Removing emissions for embedded substances</t>
      </text>
    </comment>
    <comment ref="B16" authorId="5" shapeId="0" xr:uid="{09277FFA-28D8-4DFC-9EB6-A4C9A845382C}">
      <text>
        <t>[Threaded comment]
Your version of Excel allows you to read this threaded comment; however, any edits to it will get removed if the file is opened in a newer version of Excel. Learn more: https://go.microsoft.com/fwlink/?linkid=870924
Comment:
    Gasesous fuels combustion, Fugitive emissions, natural gas ventilating &amp; flaring; IPPU chemical industry excl. H2 production</t>
      </text>
    </comment>
    <comment ref="B20" authorId="6" shapeId="0" xr:uid="{4DFFF9F4-4F24-45D6-9625-77B164C645F4}">
      <text>
        <t>[Threaded comment]
Your version of Excel allows you to read this threaded comment; however, any edits to it will get removed if the file is opened in a newer version of Excel. Learn more: https://go.microsoft.com/fwlink/?linkid=870924
Comment:
    Using geothermal fluid</t>
      </text>
    </comment>
    <comment ref="B21" authorId="7" shapeId="0" xr:uid="{0D5E8E33-BD1B-4FA5-B7E9-F3D464EBE2A0}">
      <text>
        <t>[Threaded comment]
Your version of Excel allows you to read this threaded comment; however, any edits to it will get removed if the file is opened in a newer version of Excel. Learn more: https://go.microsoft.com/fwlink/?linkid=870924
Comment:
    Geothermal fugitive emissions</t>
      </text>
    </comment>
    <comment ref="B25" authorId="8" shapeId="0" xr:uid="{1A4C554F-D1A3-422E-9891-527405C3EE33}">
      <text>
        <t>[Threaded comment]
Your version of Excel allows you to read this threaded comment; however, any edits to it will get removed if the file is opened in a newer version of Excel. Learn more: https://go.microsoft.com/fwlink/?linkid=870924
Comment:
    Producing aluminium; Producing clinker or burnt lime; Producing glass using soda ash; Operating electrical switchergear that uses sulphur hexafluoride</t>
      </text>
    </comment>
    <comment ref="B26" authorId="9" shapeId="0" xr:uid="{5EF26EF3-CC68-451B-A745-BFB673761746}">
      <text>
        <t>[Threaded comment]
Your version of Excel allows you to read this threaded comment; however, any edits to it will get removed if the file is opened in a newer version of Excel. Learn more: https://go.microsoft.com/fwlink/?linkid=870924
Comment:
    Cement &amp; lime; Aluminium; Glass &amp; "other uses of soda ash"; Electrical switchgear (SF6)</t>
      </text>
    </comment>
    <comment ref="B30" authorId="10" shapeId="0" xr:uid="{93608B83-DFE7-4616-90A3-C30F6FD4EB29}">
      <text>
        <t>[Threaded comment]
Your version of Excel allows you to read this threaded comment; however, any edits to it will get removed if the file is opened in a newer version of Excel. Learn more: https://go.microsoft.com/fwlink/?linkid=870924
Comment:
    Operating a disposal facility</t>
      </text>
    </comment>
    <comment ref="B31" authorId="11" shapeId="0" xr:uid="{5B4FE057-14BA-45A9-B44E-A7429F623C6A}">
      <text>
        <t>[Threaded comment]
Your version of Excel allows you to read this threaded comment; however, any edits to it will get removed if the file is opened in a newer version of Excel. Learn more: https://go.microsoft.com/fwlink/?linkid=870924
Comment:
    Managed waste disposal sites</t>
      </text>
    </comment>
    <comment ref="B35" authorId="12" shapeId="0" xr:uid="{5980F6D5-CEC5-4854-B58E-3167AEB88F2B}">
      <text>
        <t>[Threaded comment]
Your version of Excel allows you to read this threaded comment; however, any edits to it will get removed if the file is opened in a newer version of Excel. Learn more: https://go.microsoft.com/fwlink/?linkid=870924
Comment:
    Importing HFCs; Exporting HFCs; Levy gases</t>
      </text>
    </comment>
    <comment ref="B36" authorId="13" shapeId="0" xr:uid="{A2DB4693-F697-460B-AD79-A2883117AD6B}">
      <text>
        <t>[Threaded comment]
Your version of Excel allows you to read this threaded comment; however, any edits to it will get removed if the file is opened in a newer version of Excel. Learn more: https://go.microsoft.com/fwlink/?linkid=870924
Comment:
    IPPU HFCs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tc={478A5905-8DDC-4A93-B529-BEAD9CF62B04}</author>
    <author>tc={B0E44B16-6FA2-4347-BDBB-E17F1DF7C9E8}</author>
    <author>tc={1BC3AA81-D374-4B94-802B-2B7C5481FF6B}</author>
    <author>tc={3A005B47-7D9E-413F-BBBB-4967A6A0F5E9}</author>
    <author>tc={0FCECC1D-6472-47D6-9D73-168B35980DF4}</author>
    <author>tc={51E9D3AF-3852-4881-B3AE-E30E9EB889B9}</author>
    <author>tc={0075AFEF-2C1F-4778-974D-408D5BE4277E}</author>
    <author>tc={F7895B49-D35F-472E-9CC6-25558C04DA75}</author>
    <author>tc={6C6D1382-96EC-44F5-A10C-3CE5A476533C}</author>
    <author>tc={7E6F23A8-B3CD-48B0-90C8-25A6D7253980}</author>
    <author>tc={7445E3E8-54B5-42CC-96DD-F00AA2D6EB64}</author>
    <author>tc={859EB893-8FE2-4C26-B1BB-F287E33C08B8}</author>
    <author>tc={14277B76-9EEE-4631-8497-CE7994AA6106}</author>
    <author>tc={1DBDD91C-E3BC-4AA9-9410-7A7475C43C34}</author>
    <author>tc={1C7ACBA4-6C3E-4D19-9C95-AB8A93CC0AE0}</author>
    <author>tc={F70AB065-DAD5-43E3-9C89-C481346F5A30}</author>
    <author>tc={D279A2EE-204E-44EF-903C-EC452367E1E9}</author>
    <author>tc={903FF0D0-8AF9-4E64-B15A-41AE576715FA}</author>
    <author>tc={994F1B26-0401-4010-AED9-EB4BE12F4CA6}</author>
    <author>tc={3F99D14C-FEA8-4F92-AC16-3A39533A82F9}</author>
    <author>tc={4BEAB7F8-4BD2-4549-BB72-25E67F921CB5}</author>
    <author>tc={57C6F32C-3400-4B8A-AADF-FEAE190FC036}</author>
  </authors>
  <commentList>
    <comment ref="A2" authorId="0" shapeId="0" xr:uid="{478A5905-8DDC-4A93-B529-BEAD9CF62B04}">
      <text>
        <t>[Threaded comment]
Your version of Excel allows you to read this threaded comment; however, any edits to it will get removed if the file is opened in a newer version of Excel. Learn more: https://go.microsoft.com/fwlink/?linkid=870924
Comment:
    Historic data retrieved from EPA and aggregated into categories https://www.epa.govt.nz/industry-areas/emissions-trading-scheme/industrial-allocations/decisions/</t>
      </text>
    </comment>
    <comment ref="A3" authorId="1" shapeId="0" xr:uid="{B0E44B16-6FA2-4347-BDBB-E17F1DF7C9E8}">
      <text>
        <t>[Threaded comment]
Your version of Excel allows you to read this threaded comment; however, any edits to it will get removed if the file is opened in a newer version of Excel. Learn more: https://go.microsoft.com/fwlink/?linkid=870924
Comment:
    Assumed 0% growth for all sectors in line with ENZ scenarios</t>
      </text>
    </comment>
    <comment ref="B3" authorId="2" shapeId="0" xr:uid="{1BC3AA81-D374-4B94-802B-2B7C5481FF6B}">
      <text>
        <t>[Threaded comment]
Your version of Excel allows you to read this threaded comment; however, any edits to it will get removed if the file is opened in a newer version of Excel. Learn more: https://go.microsoft.com/fwlink/?linkid=870924
Comment:
    NZS + Pacific Steel + Fletcher Steel in its different ownership structures over time. Activities: iron and steel from iron sand and carbon steel from cold ferrous feed.</t>
      </text>
    </comment>
    <comment ref="N4" authorId="3" shapeId="0" xr:uid="{3A005B47-7D9E-413F-BBBB-4967A6A0F5E9}">
      <text>
        <t>[Threaded comment]
Your version of Excel allows you to read this threaded comment; however, any edits to it will get removed if the file is opened in a newer version of Excel. Learn more: https://go.microsoft.com/fwlink/?linkid=870924
Comment:
    NZAS EAF 0.0 tCO2e/MWh for 2021 and 2022 in line w Cab docs. Est. annual reduction of 934,400 NZUs. Assumption this extends to 2050. 
Amended allocative baseline for aluminium smelting: 2.120 in 2021, 2.005 in 2022 and 2023.</t>
      </text>
    </comment>
    <comment ref="P6" authorId="4" shapeId="0" xr:uid="{0FCECC1D-6472-47D6-9D73-168B35980DF4}">
      <text>
        <t>[Threaded comment]
Your version of Excel allows you to read this threaded comment; however, any edits to it will get removed if the file is opened in a newer version of Excel. Learn more: https://go.microsoft.com/fwlink/?linkid=870924
Comment:
    Switches to import terminal</t>
      </text>
    </comment>
    <comment ref="B9" authorId="5" shapeId="0" xr:uid="{51E9D3AF-3852-4881-B3AE-E30E9EB889B9}">
      <text>
        <t>[Threaded comment]
Your version of Excel allows you to read this threaded comment; however, any edits to it will get removed if the file is opened in a newer version of Excel. Learn more: https://go.microsoft.com/fwlink/?linkid=870924
Comment:
    Whey powder and lactose</t>
      </text>
    </comment>
    <comment ref="B10" authorId="6" shapeId="0" xr:uid="{0075AFEF-2C1F-4778-974D-408D5BE4277E}">
      <text>
        <t>[Threaded comment]
Your version of Excel allows you to read this threaded comment; however, any edits to it will get removed if the file is opened in a newer version of Excel. Learn more: https://go.microsoft.com/fwlink/?linkid=870924
Comment:
    Protein meal and gelatine</t>
      </text>
    </comment>
    <comment ref="B12" authorId="7" shapeId="0" xr:uid="{F7895B49-D35F-472E-9CC6-25558C04DA75}">
      <text>
        <t>[Threaded comment]
Your version of Excel allows you to read this threaded comment; however, any edits to it will get removed if the file is opened in a newer version of Excel. Learn more: https://go.microsoft.com/fwlink/?linkid=870924
Comment:
    Cartonboard, market pulp, packaging and industrial paper, newsprint</t>
      </text>
    </comment>
    <comment ref="B13" authorId="8" shapeId="0" xr:uid="{6C6D1382-96EC-44F5-A10C-3CE5A476533C}">
      <text>
        <t>[Threaded comment]
Your version of Excel allows you to read this threaded comment; however, any edits to it will get removed if the file is opened in a newer version of Excel. Learn more: https://go.microsoft.com/fwlink/?linkid=870924
Comment:
    Caustic soda, hydrogen peroxide</t>
      </text>
    </comment>
    <comment ref="B14" authorId="9" shapeId="0" xr:uid="{7E6F23A8-B3CD-48B0-90C8-25A6D7253980}">
      <text>
        <t>[Threaded comment]
Your version of Excel allows you to read this threaded comment; however, any edits to it will get removed if the file is opened in a newer version of Excel. Learn more: https://go.microsoft.com/fwlink/?linkid=870924
Comment:
    Ethanol, clay, glass + tissue paper, reconstituted wood panels</t>
      </text>
    </comment>
    <comment ref="E36" authorId="10" shapeId="0" xr:uid="{7445E3E8-54B5-42CC-96DD-F00AA2D6EB64}">
      <text>
        <t>[Threaded comment]
Your version of Excel allows you to read this threaded comment; however, any edits to it will get removed if the file is opened in a newer version of Excel. Learn more: https://go.microsoft.com/fwlink/?linkid=870924
Comment:
    Potline 4 closed April 2012 until Dec 2018. Accounts for 9% of production capacity.</t>
      </text>
    </comment>
    <comment ref="K36" authorId="11" shapeId="0" xr:uid="{859EB893-8FE2-4C26-B1BB-F287E33C08B8}">
      <text>
        <t>[Threaded comment]
Your version of Excel allows you to read this threaded comment; however, any edits to it will get removed if the file is opened in a newer version of Excel. Learn more: https://go.microsoft.com/fwlink/?linkid=870924
Comment:
    Potline 4 restarted in Dec 2018</t>
      </text>
    </comment>
    <comment ref="M36" authorId="12" shapeId="0" xr:uid="{14277B76-9EEE-4631-8497-CE7994AA6106}">
      <text>
        <t>[Threaded comment]
Your version of Excel allows you to read this threaded comment; however, any edits to it will get removed if the file is opened in a newer version of Excel. Learn more: https://go.microsoft.com/fwlink/?linkid=870924
Comment:
    Potline 4 closed in April 2020. NZAS has not indicated that it will reopen the line despite high Al prices.</t>
      </text>
    </comment>
    <comment ref="R36" authorId="13" shapeId="0" xr:uid="{1DBDD91C-E3BC-4AA9-9410-7A7475C43C34}">
      <text>
        <t>[Threaded comment]
Your version of Excel allows you to read this threaded comment; however, any edits to it will get removed if the file is opened in a newer version of Excel. Learn more: https://go.microsoft.com/fwlink/?linkid=870924
Comment:
    NZAS remains open beyond 2024 and potline 4 remains idled</t>
      </text>
    </comment>
    <comment ref="C37" authorId="14" shapeId="0" xr:uid="{1C7ACBA4-6C3E-4D19-9C95-AB8A93CC0AE0}">
      <text>
        <t>[Threaded comment]
Your version of Excel allows you to read this threaded comment; however, any edits to it will get removed if the file is opened in a newer version of Excel. Learn more: https://go.microsoft.com/fwlink/?linkid=870924
Comment:
    Waitara idled since 2008 due to lack of gas. 1 Motunui train operating.</t>
      </text>
    </comment>
    <comment ref="E37" authorId="15" shapeId="0" xr:uid="{F70AB065-DAD5-43E3-9C89-C481346F5A30}">
      <text>
        <t>[Threaded comment]
Your version of Excel allows you to read this threaded comment; however, any edits to it will get removed if the file is opened in a newer version of Excel. Learn more: https://go.microsoft.com/fwlink/?linkid=870924
Comment:
    Second Motunui train restarts in July 2012, adding 650,000t production capacity</t>
      </text>
    </comment>
    <comment ref="F37" authorId="16" shapeId="0" xr:uid="{D279A2EE-204E-44EF-903C-EC452367E1E9}">
      <text>
        <t>[Threaded comment]
Your version of Excel allows you to read this threaded comment; however, any edits to it will get removed if the file is opened in a newer version of Excel. Learn more: https://go.microsoft.com/fwlink/?linkid=870924
Comment:
    Waitara recommissioned Oct 2013. Full production by end of year.</t>
      </text>
    </comment>
    <comment ref="N37" authorId="17" shapeId="0" xr:uid="{903FF0D0-8AF9-4E64-B15A-41AE576715FA}">
      <text>
        <t>[Threaded comment]
Your version of Excel allows you to read this threaded comment; however, any edits to it will get removed if the file is opened in a newer version of Excel. Learn more: https://go.microsoft.com/fwlink/?linkid=870924
Comment:
    Waitara facility accounting for 20% capacity shutting at the end of 2020</t>
      </text>
    </comment>
    <comment ref="W37" authorId="18" shapeId="0" xr:uid="{994F1B26-0401-4010-AED9-EB4BE12F4CA6}">
      <text>
        <t>[Threaded comment]
Your version of Excel allows you to read this threaded comment; however, any edits to it will get removed if the file is opened in a newer version of Excel. Learn more: https://go.microsoft.com/fwlink/?linkid=870924
Comment:
    Motunui facility shutting, accounting for 40% current production</t>
      </text>
    </comment>
    <comment ref="F44" authorId="19" shapeId="0" xr:uid="{3F99D14C-FEA8-4F92-AC16-3A39533A82F9}">
      <text>
        <t>[Threaded comment]
Your version of Excel allows you to read this threaded comment; however, any edits to it will get removed if the file is opened in a newer version of Excel. Learn more: https://go.microsoft.com/fwlink/?linkid=870924
Comment:
    Tasman Mill permanently shuts one of its paper machines. Units allocated to this sector decrease by 11%</t>
      </text>
    </comment>
    <comment ref="N44" authorId="20" shapeId="0" xr:uid="{4BEAB7F8-4BD2-4549-BB72-25E67F921CB5}">
      <text>
        <t>[Threaded comment]
Your version of Excel allows you to read this threaded comment; however, any edits to it will get removed if the file is opened in a newer version of Excel. Learn more: https://go.microsoft.com/fwlink/?linkid=870924
Comment:
    NS closes end of June. Received a five year avg of 16% of this sector's allocation.</t>
      </text>
    </comment>
    <comment ref="A72" authorId="21" shapeId="0" xr:uid="{57C6F32C-3400-4B8A-AADF-FEAE190FC036}">
      <text>
        <t>[Threaded comment]
Your version of Excel allows you to read this threaded comment; however, any edits to it will get removed if the file is opened in a newer version of Excel. Learn more: https://go.microsoft.com/fwlink/?linkid=870924
Comment:
    https://environment.govt.nz/assets/publications/cab-77-setting-an-electricity-allocation-factor-for-the-new-zealand-aluminium-smelters-limited.pdf pg. 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tc={64DD991E-296D-48A5-AC83-B5A5B2CC8837}</author>
    <author>tc={FB61527F-5E47-4F0F-9FE8-364EA947994B}</author>
  </authors>
  <commentList>
    <comment ref="C18" authorId="0" shapeId="0" xr:uid="{64DD991E-296D-48A5-AC83-B5A5B2CC8837}">
      <text>
        <t>[Threaded comment]
Your version of Excel allows you to read this threaded comment; however, any edits to it will get removed if the file is opened in a newer version of Excel. Learn more: https://go.microsoft.com/fwlink/?linkid=870924
Comment:
    This is calculated as the total of ETS energy and IPPU emissions (converted to AR5) minus the liquid fossil fuel emissions above</t>
      </text>
    </comment>
    <comment ref="C32" authorId="1" shapeId="0" xr:uid="{FB61527F-5E47-4F0F-9FE8-364EA947994B}">
      <text>
        <t>[Threaded comment]
Your version of Excel allows you to read this threaded comment; however, any edits to it will get removed if the file is opened in a newer version of Excel. Learn more: https://go.microsoft.com/fwlink/?linkid=870924
Comment:
    Includes calculation based on 2020 data that pulp and paper participants have direct emissions surrender obligations for only 14% of total volume received for industrial free allocation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tc={D664E6AC-A5F3-47F9-8C28-69F92943A07B}</author>
    <author>tc={10A74315-21ED-4DD3-B1C3-A0D710DA4502}</author>
  </authors>
  <commentList>
    <comment ref="B21" authorId="0" shapeId="0" xr:uid="{D664E6AC-A5F3-47F9-8C28-69F92943A07B}">
      <text>
        <t>[Threaded comment]
Your version of Excel allows you to read this threaded comment; however, any edits to it will get removed if the file is opened in a newer version of Excel. Learn more: https://go.microsoft.com/fwlink/?linkid=870924
Comment:
    Auction volume + total CCR volume</t>
      </text>
    </comment>
    <comment ref="B23" authorId="1" shapeId="0" xr:uid="{10A74315-21ED-4DD3-B1C3-A0D710DA4502}">
      <text>
        <t>[Threaded comment]
Your version of Excel allows you to read this threaded comment; however, any edits to it will get removed if the file is opened in a newer version of Excel. Learn more: https://go.microsoft.com/fwlink/?linkid=870924
Comment:
    Auction volume +free allocation volume projection + overseas unit limit + total CCR volume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tc={C57DE268-7A63-46F5-BF15-BAF744AF8561}</author>
  </authors>
  <commentList>
    <comment ref="B31" authorId="0" shapeId="0" xr:uid="{C57DE268-7A63-46F5-BF15-BAF744AF8561}">
      <text>
        <t>[Threaded comment]
Your version of Excel allows you to read this threaded comment; however, any edits to it will get removed if the file is opened in a newer version of Excel. Learn more: https://go.microsoft.com/fwlink/?linkid=870924
Comment:
    Calculated based on registered forest area as at September 2021. Assumes all post-2018 afforestation registers in the NZ ETS.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tc={4E7217F6-928E-40B8-B1AD-19C91ADC402B}</author>
  </authors>
  <commentList>
    <comment ref="B31" authorId="0" shapeId="0" xr:uid="{4E7217F6-928E-40B8-B1AD-19C91ADC402B}">
      <text>
        <t>[Threaded comment]
Your version of Excel allows you to read this threaded comment; however, any edits to it will get removed if the file is opened in a newer version of Excel. Learn more: https://go.microsoft.com/fwlink/?linkid=870924
Comment:
    Calculated based on registered forest area as at September 2021. Assumes all post-2018 afforestation registers in the NZ ETS.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<sst xmlns="http://schemas.openxmlformats.org/spreadsheetml/2006/main" count="639" uniqueCount="358">
  <si>
    <t>Unit supply settings workbook</t>
  </si>
  <si>
    <t>Step number</t>
  </si>
  <si>
    <t>Title</t>
  </si>
  <si>
    <t>Description</t>
  </si>
  <si>
    <t>Step 2</t>
  </si>
  <si>
    <t>Allocate the emissions budget</t>
  </si>
  <si>
    <t>Allocation of emissions budgets to NZ ETS and non-NZ ETS sectors</t>
  </si>
  <si>
    <t>Step 3</t>
  </si>
  <si>
    <t>Technical adjustments</t>
  </si>
  <si>
    <t>Adjustments for discrepencies between NZ ETS and GHG inventory emissions</t>
  </si>
  <si>
    <t>Step 4</t>
  </si>
  <si>
    <t>Industrial free allocation projections</t>
  </si>
  <si>
    <t>Calculations and assumptions used to forecast industrial free allocation</t>
  </si>
  <si>
    <t>Step 5</t>
  </si>
  <si>
    <t>Unit surplus reduction volume</t>
  </si>
  <si>
    <t>Estimate of total unit surplus and calculations of annual reduction volumes under different options</t>
  </si>
  <si>
    <t>Hedging profile</t>
  </si>
  <si>
    <t>Estimate of unit hedging profiles and volume by sector</t>
  </si>
  <si>
    <t>P90 trends</t>
  </si>
  <si>
    <t>Historical pre-1990 forestry unit sales, and forecasts based on trends</t>
  </si>
  <si>
    <t>Total units held</t>
  </si>
  <si>
    <t>Privately held units by unit type and account holder categories</t>
  </si>
  <si>
    <t>Step 7</t>
  </si>
  <si>
    <t>Calculate auction volumes</t>
  </si>
  <si>
    <t>Calculations to reach final recommended auction volumes</t>
  </si>
  <si>
    <t>Sensitivity analysis</t>
  </si>
  <si>
    <t>Sensivitiy testing of auction volumes based on alternative options</t>
  </si>
  <si>
    <t>Price controls</t>
  </si>
  <si>
    <t>Cost containment reserve volumes</t>
  </si>
  <si>
    <t>Step calculations to recommended cost containment reserve volumes</t>
  </si>
  <si>
    <t>ENZ input data</t>
  </si>
  <si>
    <t>Demonstration path data</t>
  </si>
  <si>
    <t>Emissions inputs from the demonstration path, which meets the emissions budgets (2022 update)</t>
  </si>
  <si>
    <t>Current policy reference data</t>
  </si>
  <si>
    <t>Emissions inputs from the current policy reference scenario (2022 update)</t>
  </si>
  <si>
    <t>Sum 2023-2027</t>
  </si>
  <si>
    <r>
      <t>Total emissions forecasts and budget (kt CO</t>
    </r>
    <r>
      <rPr>
        <b/>
        <vertAlign val="subscript"/>
        <sz val="9.35"/>
        <color theme="1"/>
        <rFont val="Calibri"/>
        <family val="2"/>
      </rPr>
      <t>2</t>
    </r>
    <r>
      <rPr>
        <b/>
        <sz val="11"/>
        <color theme="1"/>
        <rFont val="Calibri"/>
        <family val="2"/>
        <scheme val="minor"/>
      </rPr>
      <t>e)</t>
    </r>
  </si>
  <si>
    <t>Current policy reference (CPR) scenario</t>
  </si>
  <si>
    <t>Gross emissions</t>
  </si>
  <si>
    <t>Net emissions</t>
  </si>
  <si>
    <t>Demonstration path</t>
  </si>
  <si>
    <t>Option 1: Based on current policy reference (CPR)</t>
  </si>
  <si>
    <t>Budget allocation to non-NZ ETS sectors/sources</t>
  </si>
  <si>
    <t>Agriculture</t>
  </si>
  <si>
    <t>Waste</t>
  </si>
  <si>
    <t>Biomass combustion</t>
  </si>
  <si>
    <t>Sum of gross emissions outside NZ ETS</t>
  </si>
  <si>
    <t>Sum of net emissions outside NZ ETS</t>
  </si>
  <si>
    <t>NZ ETS budget allocation</t>
  </si>
  <si>
    <t>TOTAL NZ ETS budget based on CPR</t>
  </si>
  <si>
    <t>NZ ETS allocation</t>
  </si>
  <si>
    <t>TOTAL NZ ETS budget based on demonstration path</t>
  </si>
  <si>
    <t>Supplementary calculations</t>
  </si>
  <si>
    <t>Abatement requirements (demonstration path relative to CPR)</t>
  </si>
  <si>
    <t>Emissions budget abatement</t>
  </si>
  <si>
    <t>Non-NZ ETS abatement</t>
  </si>
  <si>
    <t>NZ ETS abatement</t>
  </si>
  <si>
    <t>Breakdown of emissions outside NZ ETS by inventory sector (demonstration path)</t>
  </si>
  <si>
    <t>Transport energy</t>
  </si>
  <si>
    <t>Non-transport energy</t>
  </si>
  <si>
    <t>IPPU</t>
  </si>
  <si>
    <t>Forestry</t>
  </si>
  <si>
    <t>Breakdown of NZ ETS emissions by inventory sector (demonstration path)</t>
  </si>
  <si>
    <t>Check totals</t>
  </si>
  <si>
    <t>Gross</t>
  </si>
  <si>
    <t>Net</t>
  </si>
  <si>
    <t>Breakdown of NZ ETS emissions by ETS categories (demonstration path)</t>
  </si>
  <si>
    <t>Liquid fuels</t>
  </si>
  <si>
    <t>Stationary energy</t>
  </si>
  <si>
    <t>Industrial processes + SGGs</t>
  </si>
  <si>
    <t>ETS Waste</t>
  </si>
  <si>
    <t>SUM 2023-2027</t>
  </si>
  <si>
    <t>Technical adjustment (kt CO2-e)</t>
  </si>
  <si>
    <t>Liquid fossil fuels</t>
  </si>
  <si>
    <t>Total emissions</t>
  </si>
  <si>
    <t>Adjustment volume</t>
  </si>
  <si>
    <t>Total technical adjustment volume</t>
  </si>
  <si>
    <t>1. Base industrial allocation growth</t>
  </si>
  <si>
    <t>Iron and steel</t>
  </si>
  <si>
    <t>Aluminium</t>
  </si>
  <si>
    <t>Methanol</t>
  </si>
  <si>
    <t>Petroleum refining</t>
  </si>
  <si>
    <t xml:space="preserve">Cement and lime </t>
  </si>
  <si>
    <t>Urea</t>
  </si>
  <si>
    <t>Dairy products</t>
  </si>
  <si>
    <t>Meat products</t>
  </si>
  <si>
    <t>Horticulture</t>
  </si>
  <si>
    <t>Pulp and paper products</t>
  </si>
  <si>
    <t>"Other" - High 90%</t>
  </si>
  <si>
    <t>"Other" - Moderate 60%</t>
  </si>
  <si>
    <t>Total</t>
  </si>
  <si>
    <t>2. IA phase-down</t>
  </si>
  <si>
    <t>Units in millions</t>
  </si>
  <si>
    <t>Assumptions</t>
  </si>
  <si>
    <t>Assumed that no sectors grow with GDP. Production capacity is not expanded for sectors that are already operating at capacity.</t>
  </si>
  <si>
    <t>Staged closure of Methanex is assumed - in line with MBIE assumption</t>
  </si>
  <si>
    <t>NZAS EAF set to 0 tCO2e/MWh from 2021 removing</t>
  </si>
  <si>
    <t>units</t>
  </si>
  <si>
    <t xml:space="preserve">Refinery assumed to move to import model and not receive industrial allocation </t>
  </si>
  <si>
    <t>Total unit surplus volume (thousand NZUs)</t>
  </si>
  <si>
    <t>Total registry units (1 June 2022)</t>
  </si>
  <si>
    <t>Hedge profile</t>
  </si>
  <si>
    <t>P89 units held for harvest</t>
  </si>
  <si>
    <t>Percent P90 units not available for sale</t>
  </si>
  <si>
    <t>Total P90 units not available for sale</t>
  </si>
  <si>
    <t>CCR release in June 2022 auction</t>
  </si>
  <si>
    <t xml:space="preserve">Total surplus volumes </t>
  </si>
  <si>
    <t>Annual surplus reduction options</t>
  </si>
  <si>
    <t>2023-2027</t>
  </si>
  <si>
    <t>(Recommended option)</t>
  </si>
  <si>
    <t>Hedging assumptions</t>
  </si>
  <si>
    <t>Stationary energy &amp; IPPU</t>
  </si>
  <si>
    <t>Emissions under demonstration path (kt CO2e)</t>
  </si>
  <si>
    <t>Before technical adjustments</t>
  </si>
  <si>
    <t>Liquid fossil fuels emissions</t>
  </si>
  <si>
    <t>Stationary energy &amp; IPPU emissions</t>
  </si>
  <si>
    <t>Waste emissions</t>
  </si>
  <si>
    <t>Check w/cap calculations</t>
  </si>
  <si>
    <t>After technical adjustments</t>
  </si>
  <si>
    <t>Check</t>
  </si>
  <si>
    <t>Forecast industrial allocation (thousand NZUs)</t>
  </si>
  <si>
    <t>IA: Liquid fossil fuels</t>
  </si>
  <si>
    <t>IA: Stationary energy &amp; IPPU</t>
  </si>
  <si>
    <t xml:space="preserve">IA: Waste </t>
  </si>
  <si>
    <t>Total hedging volumes (thousand NZUs)</t>
  </si>
  <si>
    <t>SUM large hedging volumes</t>
  </si>
  <si>
    <t>SUM moderate hedging volumes</t>
  </si>
  <si>
    <t>SUM small hedging volumes</t>
  </si>
  <si>
    <t>P90 units in accounts that originally received p90 units</t>
  </si>
  <si>
    <t>Data provided by EPA at Commission's request</t>
  </si>
  <si>
    <t>Quarter</t>
  </si>
  <si>
    <t>Date</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</si>
  <si>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</si>
  <si>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</si>
  <si>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</si>
  <si>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</si>
  <si>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</si>
  <si>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</si>
  <si>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</si>
  <si>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</si>
  <si>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</si>
  <si>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</si>
  <si>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</si>
  <si>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</si>
  <si>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</si>
  <si>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</si>
  <si>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</si>
  <si>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</si>
  <si>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</si>
  <si>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</si>
  <si>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</si>
  <si>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</si>
  <si>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</si>
  <si>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</si>
  <si>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</si>
  <si>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</si>
  <si>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</si>
  <si>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</si>
  <si>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</si>
  <si>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</si>
  <si>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</si>
  <si>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</si>
  <si>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</si>
  <si>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</si>
  <si>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</si>
  <si>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</si>
  <si>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</si>
  <si>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</si>
  <si>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</si>
  <si>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</si>
  <si>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</si>
  <si>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</si>
  <si>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</si>
  <si>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</si>
  <si>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</si>
  <si>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</si>
  <si>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</si>
  <si>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</si>
  <si>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</si>
  <si>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</si>
  <si>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</si>
  <si>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</si>
  <si>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</si>
  <si>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</si>
  <si>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</si>
  <si>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</si>
  <si>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</si>
  <si>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</si>
  <si>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2031 Q1</t>
  </si>
  <si>
    <t>Breakdown of privately held units as at 1 June 2022</t>
  </si>
  <si>
    <t>Account holder category/Type of unit</t>
  </si>
  <si>
    <t>Auction</t>
  </si>
  <si>
    <t>P90 Units</t>
  </si>
  <si>
    <t>P90 Units (in Accounts that originally received p90 units)*</t>
  </si>
  <si>
    <t>PFSI Units</t>
  </si>
  <si>
    <t>P89 Units</t>
  </si>
  <si>
    <t>EITE</t>
  </si>
  <si>
    <t>Other (All other NZUs + Kyoto Units)</t>
  </si>
  <si>
    <t>Sum Unit holders</t>
  </si>
  <si>
    <t>Non-Forestry</t>
  </si>
  <si>
    <t>Non-Forestry with EITE</t>
  </si>
  <si>
    <t>Received p90*</t>
  </si>
  <si>
    <t>Received p90+EITE</t>
  </si>
  <si>
    <t>Received p90+PFSI</t>
  </si>
  <si>
    <t>PFSI</t>
  </si>
  <si>
    <t>Receive EITE (but no obligations)</t>
  </si>
  <si>
    <t>Other</t>
  </si>
  <si>
    <t>Sum Unit Types</t>
  </si>
  <si>
    <t>Notes from EPA:</t>
  </si>
  <si>
    <t>Where a participant is/was registered for both Forestry and Non-Forestry activities we have included them in the category that most closely matches their main involvement in the scheme</t>
  </si>
  <si>
    <t>We have added two categories for account holder that received allocations for p90 as well as PFSI/EITE</t>
  </si>
  <si>
    <t xml:space="preserve">The numbers provided are the holdings on the last day of each quarter </t>
  </si>
  <si>
    <t xml:space="preserve">*This includes P90 units that sit in accounts where the account holder has originally received p90 allocations. It is not the number of p90 units that were originally allocated. </t>
  </si>
  <si>
    <t>**We did not break this down into units held by Iwi vs non-Iwi due to the large amount of data involved as we would need to manually check each allocation transaction and associated account</t>
  </si>
  <si>
    <t>Steps to final auction volume (kt CO2-e)</t>
  </si>
  <si>
    <t>1.</t>
  </si>
  <si>
    <t>Emissions budget</t>
  </si>
  <si>
    <t xml:space="preserve">2. </t>
  </si>
  <si>
    <t>Outside NZ ETS</t>
  </si>
  <si>
    <t>NZ ETS cap</t>
  </si>
  <si>
    <t>3.</t>
  </si>
  <si>
    <t>4.</t>
  </si>
  <si>
    <t>Industrial free allocation</t>
  </si>
  <si>
    <t>5.</t>
  </si>
  <si>
    <t>Surplus reduction volume</t>
  </si>
  <si>
    <t>6.</t>
  </si>
  <si>
    <t>Overseas unit limit</t>
  </si>
  <si>
    <t>7.</t>
  </si>
  <si>
    <t>NZU auction volumes</t>
  </si>
  <si>
    <t>Alternative options (kt CO2-e)</t>
  </si>
  <si>
    <t>Budget</t>
  </si>
  <si>
    <t>Domestic emissions budget (recommended)</t>
  </si>
  <si>
    <t>Non-NZ ETS allocation</t>
  </si>
  <si>
    <t>Based on CPR</t>
  </si>
  <si>
    <t>Based on demonstration path (recommended)</t>
  </si>
  <si>
    <t>Recommended</t>
  </si>
  <si>
    <t>Industrial allocation</t>
  </si>
  <si>
    <t>Unit oversupply</t>
  </si>
  <si>
    <t>Large surplus reduction by 2030</t>
  </si>
  <si>
    <t>Moderate surplus reduction by 2030</t>
  </si>
  <si>
    <t>Small surplus reduction by 2030</t>
  </si>
  <si>
    <t>Large surplus reduction in 5 years</t>
  </si>
  <si>
    <t>Moderate surplus reduction in 5 years</t>
  </si>
  <si>
    <t>Small surplus reduction in 5 years</t>
  </si>
  <si>
    <t>Equal % cap Large</t>
  </si>
  <si>
    <t>Equal % cap moderate (recommended)</t>
  </si>
  <si>
    <t>Equal % cap small</t>
  </si>
  <si>
    <t>Frontload straightline large</t>
  </si>
  <si>
    <t>Frontload straight line moderate</t>
  </si>
  <si>
    <t>Frontload straight line small</t>
  </si>
  <si>
    <t>Recommended options</t>
  </si>
  <si>
    <t>Status quo</t>
  </si>
  <si>
    <t>Outside NZ ETS based on CPR</t>
  </si>
  <si>
    <t>Graphs</t>
  </si>
  <si>
    <t>Emissions outside ETS</t>
  </si>
  <si>
    <t>Outside NZ ETS demonstration path (recommended)</t>
  </si>
  <si>
    <t>Outside NZ ETS CPR</t>
  </si>
  <si>
    <t>Low vs high surplus</t>
  </si>
  <si>
    <t>Low</t>
  </si>
  <si>
    <t>Potential auction range surplus size</t>
  </si>
  <si>
    <t>Recommended auction volume (moderate surplus)</t>
  </si>
  <si>
    <t>SUM/average 2023-2027</t>
  </si>
  <si>
    <t>Steps</t>
  </si>
  <si>
    <t>Total surplus reduction volume</t>
  </si>
  <si>
    <t>Total emissions budget abatement</t>
  </si>
  <si>
    <t>NZ ETS abatement requirement</t>
  </si>
  <si>
    <t>NZ ETS abatement percent of total stockpile reduction volume</t>
  </si>
  <si>
    <t>Tier 1 (36% surplus)</t>
  </si>
  <si>
    <t>Tier 2</t>
  </si>
  <si>
    <t>TOTAL</t>
  </si>
  <si>
    <t>2022 Demonstration path update</t>
  </si>
  <si>
    <t>Key inputs converted to AR5 GWP values</t>
  </si>
  <si>
    <t>Total emissions by inventory category (kt CO2e)</t>
  </si>
  <si>
    <t>Transport Energy</t>
  </si>
  <si>
    <t>Non-Transport Energy</t>
  </si>
  <si>
    <t>Forests</t>
  </si>
  <si>
    <t>Total combustion emissions by fuel</t>
  </si>
  <si>
    <t>Gas</t>
  </si>
  <si>
    <t>Coal</t>
  </si>
  <si>
    <t>Biomass</t>
  </si>
  <si>
    <t>Municipal solid waste emissions (kt CO2e)</t>
  </si>
  <si>
    <t>F-gas emissions, total (kt CO2e)</t>
  </si>
  <si>
    <t>Iron and steel emissions (kt CO2e)</t>
  </si>
  <si>
    <t>Fugitive emissions, Coal mining and handling (kt CO2e)</t>
  </si>
  <si>
    <t>IPPU emissions not covered by NZ ETS (kt CO2e)</t>
  </si>
  <si>
    <t>Net forestry emissions inside and outside NZ ETS (kt CO2e)</t>
  </si>
  <si>
    <t>Inside NZ ETS</t>
  </si>
  <si>
    <t>Supplementary data</t>
  </si>
  <si>
    <t>Total emissions by inventory category using AR4 GWP values (kt CO2e)</t>
  </si>
  <si>
    <t>Gross emissions by gas and inventory category (kt of gas)</t>
  </si>
  <si>
    <t>Transport</t>
  </si>
  <si>
    <t>kt CO2</t>
  </si>
  <si>
    <t>kt CH4</t>
  </si>
  <si>
    <t>kt N2O</t>
  </si>
  <si>
    <t>IPPU, excluding F-gases</t>
  </si>
  <si>
    <t>F-gases, AR4</t>
  </si>
  <si>
    <t>kt CO2e</t>
  </si>
  <si>
    <t>Total by gas</t>
  </si>
  <si>
    <t>2022 Current policy reference update</t>
  </si>
  <si>
    <t>Total emissions by inventory category using AR4 GWPs (kt CO2e)</t>
  </si>
  <si>
    <t>HFCs</t>
  </si>
  <si>
    <t>Geothermal</t>
  </si>
  <si>
    <t>Option 2: Based on demonstration path (recommended option)</t>
  </si>
  <si>
    <t>Net emissions (emissions budget trajectory)</t>
  </si>
  <si>
    <t>NZAS assumed to remain open</t>
  </si>
  <si>
    <t xml:space="preserve">The largest four emitters rebound in 2021 from reduced activity due to COVID in line with Treasury's GDP projections. Then it is assumed that there is zero growth from 2022 onwards - as has been assumed in the past. </t>
  </si>
  <si>
    <t>3. Assumptions on output reductions, including closures</t>
  </si>
  <si>
    <t>Unit limit available by auction</t>
  </si>
  <si>
    <t>Overall unit limit</t>
  </si>
  <si>
    <t>Limit on approaved overseas units</t>
  </si>
  <si>
    <t>Final unit limit recommendations 2023-2027 (million units)</t>
  </si>
  <si>
    <t>N/A</t>
  </si>
  <si>
    <t>Alternative option difference from recommended</t>
  </si>
  <si>
    <t>Alternative option % difference from recommended</t>
  </si>
  <si>
    <t>Alternative option auction volume results</t>
  </si>
  <si>
    <t>4. Totals</t>
  </si>
  <si>
    <t>Allocation rate high</t>
  </si>
  <si>
    <t>Allocation rate low</t>
  </si>
  <si>
    <t>Final volumes</t>
  </si>
  <si>
    <t>*Data provided by EPA at Commission's request</t>
  </si>
  <si>
    <t>Core scenario</t>
  </si>
  <si>
    <t>Large hedge volume</t>
  </si>
  <si>
    <t>Small hedge volume</t>
  </si>
  <si>
    <t>Core surplus scenario</t>
  </si>
  <si>
    <t>High % not for sale</t>
  </si>
  <si>
    <t>Low % not for sale</t>
  </si>
  <si>
    <t>Total P90 June 2022</t>
  </si>
  <si>
    <t>Large P90 held long-term</t>
  </si>
  <si>
    <t>Small P90 held long-term</t>
  </si>
  <si>
    <t>Fast sales path</t>
  </si>
  <si>
    <t>Slow sales path</t>
  </si>
  <si>
    <t>Historic sales</t>
  </si>
  <si>
    <t>Fast sales % of June 2022 volume</t>
  </si>
  <si>
    <t>Slow sales % of June 2022 volume</t>
  </si>
  <si>
    <t>P89 forestry</t>
  </si>
  <si>
    <t>Industrial processes and product use (IPPU)</t>
  </si>
  <si>
    <t>Total in millions</t>
  </si>
  <si>
    <t>Advice on NZ ETS unit limit settings for 2023-2027</t>
  </si>
  <si>
    <t>High surplus scenario</t>
  </si>
  <si>
    <t>Low surplus scenario</t>
  </si>
  <si>
    <t>High hedge volume</t>
  </si>
  <si>
    <t>Low hedge volume</t>
  </si>
  <si>
    <t>High harvest liability</t>
  </si>
  <si>
    <t>Low harvest liability</t>
  </si>
  <si>
    <t>Straight-line trajectory</t>
  </si>
  <si>
    <t>Constant to 2030</t>
  </si>
  <si>
    <t>Constant to 2027</t>
  </si>
  <si>
    <t>Constant proportion of cap</t>
  </si>
  <si>
    <t>NZ ETS emissions</t>
  </si>
  <si>
    <t>GHG inventory</t>
  </si>
  <si>
    <t>Difference</t>
  </si>
  <si>
    <t>Coal and steel</t>
  </si>
  <si>
    <t>SGG levy + NZ ETS emissions</t>
  </si>
  <si>
    <t>Comparing NZ ETS to GHG inventory emissions (Kt CO2-e)</t>
  </si>
  <si>
    <t>Emissions comparisons</t>
  </si>
  <si>
    <t>Historic emissions reported by the NZ ETS to the corresponding emissions in the GHG inventory</t>
  </si>
  <si>
    <t>CCR Volumes (Kt CO2-e)</t>
  </si>
  <si>
    <t>Total CCR volumes (thousand NZUs)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</si>
</sst>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4" formatCode="_-&quot;$&quot;* #,##0.00_-;\-&quot;$&quot;* #,##0.00_-;_-&quot;$&quot;* &quot;-&quot;??_-;_-@_-"/>
    <numFmt numFmtId="43" formatCode="_-* #,##0.00_-;\-* #,##0.00_-;_-* &quot;-&quot;??_-;_-@_-"/>
    <numFmt numFmtId="164" formatCode="0.0"/>
    <numFmt numFmtId="165" formatCode="0.0%"/>
    <numFmt numFmtId="166" formatCode="_-* #,##0_-;\-* #,##0_-;_-* &quot;-&quot;??_-;_-@_-"/>
    <numFmt numFmtId="167" formatCode="_-* #,##0.000_-;\-* #,##0.000_-;_-* &quot;-&quot;??_-;_-@_-"/>
    <numFmt numFmtId="168" formatCode="_-* #,##0.0_-;\-* #,##0.0_-;_-* &quot;-&quot;??_-;_-@_-"/>
    <numFmt numFmtId="169" formatCode="_-* #,##0.000000_-;\-* #,##0.000000_-;_-* &quot;-&quot;??_-;_-@_-"/>
    <numFmt numFmtId="170" formatCode="_-* #,##0.0000_-;\-* #,##0.0000_-;_-* &quot;-&quot;??_-;_-@_-"/>
    <numFmt numFmtId="171" formatCode="_-* #,##0.00000_-;\-* #,##0.00000_-;_-* &quot;-&quot;??_-;_-@_-"/>
    <numFmt numFmtId="172" formatCode="#,##0_ ;\-#,##0\ "/>
    <numFmt numFmtId="173" formatCode="#,##0.0_ ;\-#,##0.0\ "/>
    <numFmt numFmtId="174" formatCode="#,##0.00_ ;\-#,##0.00\ "/>
    <numFmt numFmtId="175" formatCode="0.0000%"/>
  </numFmts>
  <fonts count="20"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i/>
      <sz val="11"/>
      <color theme="1"/>
      <name val="Calibri"/>
      <family val="2"/>
      <scheme val="minor"/>
    </font>
    <font>
      <sz val="8"/>
      <name val="Calibri"/>
      <family val="2"/>
      <scheme val="minor"/>
    </font>
    <font>
      <i/>
      <sz val="11"/>
      <color theme="2" tint="-0.249977111117893"/>
      <name val="Calibri"/>
      <family val="2"/>
      <scheme val="minor"/>
    </font>
    <font>
      <sz val="11"/>
      <color rgb="FFFA7D00"/>
      <name val="Calibri"/>
      <family val="2"/>
      <scheme val="minor"/>
    </font>
    <font>
      <i/>
      <sz val="11"/>
      <color rgb="FF7F7F7F"/>
      <name val="Calibri"/>
      <family val="2"/>
      <scheme val="minor"/>
    </font>
    <font>
      <sz val="10"/>
      <name val="Calibri"/>
      <family val="2"/>
      <scheme val="minor"/>
    </font>
    <font>
      <u/>
      <sz val="11"/>
      <color theme="3" tint="0.249977111117893"/>
      <name val="Calibri"/>
      <family val="2"/>
      <scheme val="minor"/>
    </font>
    <font>
      <sz val="11"/>
      <color theme="3" tint="0.249977111117893"/>
      <name val="Calibri"/>
      <family val="2"/>
      <scheme val="minor"/>
    </font>
    <font>
      <b/>
      <vertAlign val="subscript"/>
      <sz val="9.35"/>
      <color theme="1"/>
      <name val="Calibri"/>
      <family val="2"/>
    </font>
    <font>
      <b/>
      <sz val="14"/>
      <color theme="1"/>
      <name val="Calibri"/>
      <family val="2"/>
      <scheme val="minor"/>
    </font>
    <font>
      <sz val="11"/>
      <color rgb="FF00610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3" tint="0.89999084444715716"/>
        <bgColor indexed="64"/>
      </patternFill>
    </fill>
    <fill>
      <patternFill patternType="solid">
        <fgColor rgb="FFC6EFCE"/>
      </patternFill>
    </fill>
  </fills>
  <borders count="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4"/>
      </top>
      <bottom style="double">
        <color indexed="64"/>
      </bottom>
      <diagonal/>
    </border>
    <border>
      <left style="thin">
        <color rgb="FF7F7F7F"/>
      </left>
      <right style="thin">
        <color rgb="FF7F7F7F"/>
      </right>
      <top style="thin">
        <color rgb="FF7F7F7F"/>
      </top>
      <bottom/>
      <diagonal/>
    </border>
    <border>
      <left/>
      <right/>
      <top style="thin">
        <color indexed="64"/>
      </top>
      <bottom/>
      <diagonal/>
    </border>
    <border>
      <left/>
      <right/>
      <top/>
      <bottom style="double">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8" fillId="0" borderId="0" applyNumberFormat="0" applyFill="0" applyBorder="0" applyAlignment="0" applyProtection="0"/>
    <xf numFmtId="0" fontId="12" fillId="0" borderId="2" applyNumberFormat="0" applyFill="0" applyAlignment="0" applyProtection="0"/>
    <xf numFmtId="0" fontId="13" fillId="0" borderId="0" applyNumberFormat="0" applyFill="0" applyBorder="0" applyAlignment="0" applyProtection="0"/>
    <xf numFmtId="43" fontId="1" fillId="0" borderId="0" applyFont="0" applyFill="0" applyBorder="0" applyAlignment="0" applyProtection="0"/>
    <xf numFmtId="0" fontId="19" fillId="7" borderId="0" applyNumberFormat="0" applyBorder="0" applyAlignment="0" applyProtection="0"/>
  </cellStyleXfs>
  <cellXfs count="150">
    <xf numFmtId="0" fontId="0" fillId="0" borderId="0" xfId="0"/>
    <xf numFmtId="0" fontId="5" fillId="0" borderId="0" xfId="0" applyFont="1"/>
    <xf numFmtId="0" fontId="4" fillId="0" borderId="0" xfId="0" applyFont="1"/>
    <xf numFmtId="1" fontId="0" fillId="0" borderId="0" xfId="0" applyNumberFormat="1"/>
    <xf numFmtId="9" fontId="0" fillId="0" borderId="0" xfId="3" applyFont="1"/>
    <xf numFmtId="164" fontId="0" fillId="0" borderId="0" xfId="0" applyNumberFormat="1"/>
    <xf numFmtId="166" fontId="0" fillId="0" borderId="0" xfId="1" applyNumberFormat="1" applyFont="1"/>
    <xf numFmtId="166" fontId="4" fillId="0" borderId="0" xfId="1" applyNumberFormat="1" applyFont="1"/>
    <xf numFmtId="2" fontId="0" fillId="0" borderId="0" xfId="0" applyNumberFormat="1"/>
    <xf numFmtId="43" fontId="0" fillId="0" borderId="0" xfId="1" applyFont="1"/>
    <xf numFmtId="0" fontId="0" fillId="0" borderId="0" xfId="0" applyAlignment="1">
      <alignment wrapText="1"/>
    </xf>
    <xf numFmtId="9" fontId="0" fillId="0" borderId="0" xfId="0" applyNumberFormat="1"/>
    <xf numFmtId="166" fontId="0" fillId="0" borderId="0" xfId="0" applyNumberFormat="1"/>
    <xf numFmtId="166" fontId="0" fillId="0" borderId="0" xfId="3" applyNumberFormat="1" applyFont="1"/>
    <xf numFmtId="168" fontId="0" fillId="0" borderId="0" xfId="1" applyNumberFormat="1" applyFont="1"/>
    <xf numFmtId="168" fontId="0" fillId="0" borderId="0" xfId="0" applyNumberFormat="1"/>
    <xf numFmtId="43" fontId="0" fillId="0" borderId="0" xfId="0" applyNumberFormat="1"/>
    <xf numFmtId="166" fontId="0" fillId="0" borderId="0" xfId="1" applyNumberFormat="1" applyFont="1" applyFill="1" applyBorder="1"/>
    <xf numFmtId="166" fontId="1" fillId="0" borderId="0" xfId="1" applyNumberFormat="1" applyFont="1"/>
    <xf numFmtId="9" fontId="4" fillId="0" borderId="0" xfId="3" applyFont="1"/>
    <xf numFmtId="49" fontId="0" fillId="0" borderId="0" xfId="0" applyNumberFormat="1"/>
    <xf numFmtId="166" fontId="11" fillId="0" borderId="0" xfId="1" applyNumberFormat="1" applyFont="1"/>
    <xf numFmtId="9" fontId="3" fillId="3" borderId="1" xfId="5" applyNumberFormat="1"/>
    <xf numFmtId="165" fontId="3" fillId="3" borderId="1" xfId="5" applyNumberFormat="1"/>
    <xf numFmtId="0" fontId="2" fillId="2" borderId="1" xfId="4"/>
    <xf numFmtId="166" fontId="2" fillId="2" borderId="1" xfId="4" applyNumberFormat="1"/>
    <xf numFmtId="166" fontId="3" fillId="3" borderId="1" xfId="5" applyNumberFormat="1"/>
    <xf numFmtId="10" fontId="0" fillId="0" borderId="0" xfId="0" applyNumberFormat="1"/>
    <xf numFmtId="0" fontId="8" fillId="0" borderId="0" xfId="6"/>
    <xf numFmtId="0" fontId="9" fillId="0" borderId="0" xfId="0" applyFont="1"/>
    <xf numFmtId="9" fontId="2" fillId="2" borderId="1" xfId="4" applyNumberFormat="1"/>
    <xf numFmtId="9" fontId="0" fillId="0" borderId="0" xfId="3" applyFont="1" applyFill="1"/>
    <xf numFmtId="166" fontId="9" fillId="0" borderId="0" xfId="1" applyNumberFormat="1" applyFont="1"/>
    <xf numFmtId="166" fontId="4" fillId="0" borderId="0" xfId="1" applyNumberFormat="1" applyFont="1" applyBorder="1"/>
    <xf numFmtId="166" fontId="0" fillId="0" borderId="0" xfId="1" applyNumberFormat="1" applyFont="1" applyBorder="1"/>
    <xf numFmtId="0" fontId="4" fillId="0" borderId="0" xfId="1" applyNumberFormat="1" applyFont="1" applyBorder="1"/>
    <xf numFmtId="9" fontId="0" fillId="0" borderId="0" xfId="3" applyFont="1" applyBorder="1"/>
    <xf numFmtId="9" fontId="6" fillId="0" borderId="0" xfId="4" applyNumberFormat="1" applyFont="1" applyFill="1" applyBorder="1"/>
    <xf numFmtId="9" fontId="7" fillId="0" borderId="0" xfId="3" applyFont="1" applyFill="1" applyBorder="1"/>
    <xf numFmtId="14" fontId="0" fillId="0" borderId="0" xfId="0" applyNumberFormat="1"/>
    <xf numFmtId="166" fontId="0" fillId="4" borderId="0" xfId="1" applyNumberFormat="1" applyFont="1" applyFill="1"/>
    <xf numFmtId="9" fontId="0" fillId="5" borderId="0" xfId="3" applyFont="1" applyFill="1"/>
    <xf numFmtId="14" fontId="0" fillId="0" borderId="0" xfId="0" applyNumberFormat="1" applyAlignment="1">
      <alignment wrapText="1"/>
    </xf>
    <xf numFmtId="14" fontId="0" fillId="4" borderId="0" xfId="0" applyNumberFormat="1" applyFill="1" applyAlignment="1">
      <alignment wrapText="1"/>
    </xf>
    <xf numFmtId="49" fontId="0" fillId="0" borderId="0" xfId="0" applyNumberFormat="1" applyAlignment="1">
      <alignment horizontal="left"/>
    </xf>
    <xf numFmtId="169" fontId="0" fillId="0" borderId="0" xfId="0" applyNumberFormat="1"/>
    <xf numFmtId="171" fontId="0" fillId="0" borderId="0" xfId="0" applyNumberFormat="1"/>
    <xf numFmtId="168" fontId="0" fillId="0" borderId="0" xfId="1" applyNumberFormat="1" applyFont="1" applyBorder="1"/>
    <xf numFmtId="43" fontId="0" fillId="0" borderId="0" xfId="1" applyFont="1" applyBorder="1"/>
    <xf numFmtId="172" fontId="0" fillId="0" borderId="0" xfId="0" applyNumberFormat="1"/>
    <xf numFmtId="173" fontId="0" fillId="0" borderId="0" xfId="0" applyNumberFormat="1"/>
    <xf numFmtId="174" fontId="0" fillId="0" borderId="0" xfId="0" applyNumberFormat="1"/>
    <xf numFmtId="167" fontId="0" fillId="0" borderId="0" xfId="1" applyNumberFormat="1" applyFont="1"/>
    <xf numFmtId="173" fontId="0" fillId="0" borderId="0" xfId="1" applyNumberFormat="1" applyFont="1" applyBorder="1"/>
    <xf numFmtId="166" fontId="9" fillId="0" borderId="0" xfId="1" applyNumberFormat="1" applyFont="1" applyBorder="1"/>
    <xf numFmtId="174" fontId="0" fillId="0" borderId="0" xfId="1" applyNumberFormat="1" applyFont="1"/>
    <xf numFmtId="0" fontId="14" fillId="0" borderId="0" xfId="0" applyFont="1" applyAlignment="1">
      <alignment horizontal="left" vertical="center"/>
    </xf>
    <xf numFmtId="5" fontId="0" fillId="0" borderId="0" xfId="2" applyNumberFormat="1" applyFont="1"/>
    <xf numFmtId="0" fontId="4" fillId="6" borderId="0" xfId="0" applyFont="1" applyFill="1"/>
    <xf numFmtId="0" fontId="0" fillId="6" borderId="0" xfId="0" applyFill="1"/>
    <xf numFmtId="166" fontId="0" fillId="0" borderId="0" xfId="1" applyNumberFormat="1" applyFont="1" applyFill="1"/>
    <xf numFmtId="166" fontId="4" fillId="0" borderId="0" xfId="1" applyNumberFormat="1" applyFont="1" applyFill="1"/>
    <xf numFmtId="1" fontId="6" fillId="0" borderId="0" xfId="8" applyNumberFormat="1" applyFont="1" applyFill="1"/>
    <xf numFmtId="165" fontId="0" fillId="0" borderId="0" xfId="3" applyNumberFormat="1" applyFont="1" applyFill="1" applyBorder="1"/>
    <xf numFmtId="43" fontId="4" fillId="0" borderId="0" xfId="0" applyNumberFormat="1" applyFont="1"/>
    <xf numFmtId="168" fontId="4" fillId="0" borderId="0" xfId="0" applyNumberFormat="1" applyFont="1"/>
    <xf numFmtId="166" fontId="4" fillId="0" borderId="0" xfId="0" applyNumberFormat="1" applyFont="1"/>
    <xf numFmtId="166" fontId="1" fillId="0" borderId="0" xfId="1" applyNumberFormat="1" applyFont="1" applyFill="1"/>
    <xf numFmtId="2" fontId="4" fillId="0" borderId="0" xfId="0" applyNumberFormat="1" applyFont="1" applyAlignment="1">
      <alignment horizontal="left" vertical="top"/>
    </xf>
    <xf numFmtId="0" fontId="7" fillId="0" borderId="0" xfId="0" applyFont="1" applyAlignment="1">
      <alignment vertical="center" wrapText="1"/>
    </xf>
    <xf numFmtId="0" fontId="6" fillId="0" borderId="0" xfId="0" applyFont="1" applyAlignment="1">
      <alignment vertical="center" wrapText="1"/>
    </xf>
    <xf numFmtId="168" fontId="6" fillId="0" borderId="0" xfId="0" applyNumberFormat="1" applyFont="1" applyAlignment="1">
      <alignment vertical="center" wrapText="1"/>
    </xf>
    <xf numFmtId="170" fontId="0" fillId="0" borderId="0" xfId="0" applyNumberFormat="1"/>
    <xf numFmtId="0" fontId="4" fillId="0" borderId="3" xfId="0" applyFont="1" applyBorder="1"/>
    <xf numFmtId="0" fontId="0" fillId="0" borderId="3" xfId="0" applyBorder="1"/>
    <xf numFmtId="166" fontId="0" fillId="0" borderId="3" xfId="1" applyNumberFormat="1" applyFont="1" applyBorder="1"/>
    <xf numFmtId="49" fontId="0" fillId="0" borderId="0" xfId="1" applyNumberFormat="1" applyFont="1"/>
    <xf numFmtId="166" fontId="0" fillId="0" borderId="0" xfId="0" applyNumberFormat="1" applyAlignment="1">
      <alignment wrapText="1"/>
    </xf>
    <xf numFmtId="166" fontId="4" fillId="0" borderId="0" xfId="0" applyNumberFormat="1" applyFont="1" applyAlignment="1">
      <alignment wrapText="1"/>
    </xf>
    <xf numFmtId="9" fontId="12" fillId="0" borderId="0" xfId="7" applyNumberFormat="1" applyBorder="1"/>
    <xf numFmtId="0" fontId="15" fillId="0" borderId="0" xfId="6" applyFont="1"/>
    <xf numFmtId="0" fontId="16" fillId="0" borderId="0" xfId="0" applyFont="1"/>
    <xf numFmtId="168" fontId="4" fillId="0" borderId="0" xfId="1" applyNumberFormat="1" applyFont="1" applyFill="1" applyBorder="1"/>
    <xf numFmtId="0" fontId="0" fillId="0" borderId="0" xfId="1" applyNumberFormat="1" applyFont="1"/>
    <xf numFmtId="0" fontId="4" fillId="0" borderId="0" xfId="1" applyNumberFormat="1" applyFont="1"/>
    <xf numFmtId="168" fontId="0" fillId="0" borderId="0" xfId="1" applyNumberFormat="1" applyFont="1" applyFill="1" applyBorder="1"/>
    <xf numFmtId="168" fontId="4" fillId="6" borderId="0" xfId="1" applyNumberFormat="1" applyFont="1" applyFill="1" applyBorder="1"/>
    <xf numFmtId="166" fontId="0" fillId="6" borderId="0" xfId="1" applyNumberFormat="1" applyFont="1" applyFill="1" applyBorder="1"/>
    <xf numFmtId="166" fontId="0" fillId="6" borderId="0" xfId="0" applyNumberFormat="1" applyFill="1"/>
    <xf numFmtId="165" fontId="0" fillId="6" borderId="0" xfId="3" applyNumberFormat="1" applyFont="1" applyFill="1" applyBorder="1"/>
    <xf numFmtId="166" fontId="0" fillId="6" borderId="0" xfId="1" applyNumberFormat="1" applyFont="1" applyFill="1"/>
    <xf numFmtId="166" fontId="4" fillId="6" borderId="0" xfId="1" applyNumberFormat="1" applyFont="1" applyFill="1" applyBorder="1"/>
    <xf numFmtId="0" fontId="0" fillId="6" borderId="0" xfId="1" applyNumberFormat="1" applyFont="1" applyFill="1" applyBorder="1"/>
    <xf numFmtId="0" fontId="4" fillId="6" borderId="0" xfId="1" applyNumberFormat="1" applyFont="1" applyFill="1" applyBorder="1"/>
    <xf numFmtId="175" fontId="0" fillId="6" borderId="0" xfId="3" applyNumberFormat="1" applyFont="1" applyFill="1" applyBorder="1"/>
    <xf numFmtId="43" fontId="0" fillId="6" borderId="0" xfId="1" applyFont="1" applyFill="1" applyBorder="1"/>
    <xf numFmtId="0" fontId="0" fillId="0" borderId="0" xfId="1" applyNumberFormat="1" applyFont="1" applyFill="1" applyBorder="1"/>
    <xf numFmtId="166" fontId="0" fillId="0" borderId="3" xfId="0" applyNumberFormat="1" applyBorder="1"/>
    <xf numFmtId="166" fontId="1" fillId="0" borderId="0" xfId="1" applyNumberFormat="1" applyFont="1" applyFill="1" applyBorder="1"/>
    <xf numFmtId="166" fontId="1" fillId="6" borderId="0" xfId="1" applyNumberFormat="1" applyFont="1" applyFill="1" applyBorder="1"/>
    <xf numFmtId="166" fontId="1" fillId="0" borderId="0" xfId="1" applyNumberFormat="1" applyFont="1" applyBorder="1"/>
    <xf numFmtId="0" fontId="4" fillId="0" borderId="0" xfId="0" applyFont="1" applyAlignment="1">
      <alignment wrapText="1"/>
    </xf>
    <xf numFmtId="0" fontId="18" fillId="0" borderId="0" xfId="0" applyFont="1"/>
    <xf numFmtId="49" fontId="4" fillId="0" borderId="0" xfId="0" applyNumberFormat="1" applyFont="1" applyBorder="1"/>
    <xf numFmtId="0" fontId="0" fillId="0" borderId="0" xfId="0" applyBorder="1"/>
    <xf numFmtId="166" fontId="0" fillId="0" borderId="0" xfId="0" applyNumberFormat="1" applyBorder="1"/>
    <xf numFmtId="166" fontId="9" fillId="0" borderId="0" xfId="0" applyNumberFormat="1" applyFont="1"/>
    <xf numFmtId="9" fontId="2" fillId="2" borderId="1" xfId="3" applyFont="1" applyFill="1" applyBorder="1"/>
    <xf numFmtId="166" fontId="2" fillId="2" borderId="1" xfId="1" applyNumberFormat="1" applyFont="1" applyFill="1" applyBorder="1"/>
    <xf numFmtId="166" fontId="2" fillId="2" borderId="4" xfId="1" applyNumberFormat="1" applyFont="1" applyFill="1" applyBorder="1"/>
    <xf numFmtId="166" fontId="4" fillId="0" borderId="3" xfId="1" applyNumberFormat="1" applyFont="1" applyBorder="1"/>
    <xf numFmtId="9" fontId="2" fillId="2" borderId="4" xfId="4" applyNumberFormat="1" applyBorder="1"/>
    <xf numFmtId="0" fontId="0" fillId="0" borderId="6" xfId="0" applyBorder="1"/>
    <xf numFmtId="43" fontId="0" fillId="0" borderId="6" xfId="1" applyFont="1" applyBorder="1"/>
    <xf numFmtId="0" fontId="4" fillId="6" borderId="5" xfId="0" applyFont="1" applyFill="1" applyBorder="1"/>
    <xf numFmtId="0" fontId="0" fillId="6" borderId="5" xfId="0" applyFill="1" applyBorder="1"/>
    <xf numFmtId="166" fontId="0" fillId="6" borderId="5" xfId="1" applyNumberFormat="1" applyFont="1" applyFill="1" applyBorder="1"/>
    <xf numFmtId="166" fontId="4" fillId="6" borderId="5" xfId="1" applyNumberFormat="1" applyFont="1" applyFill="1" applyBorder="1"/>
    <xf numFmtId="164" fontId="0" fillId="6" borderId="0" xfId="0" applyNumberFormat="1" applyFill="1"/>
    <xf numFmtId="49" fontId="4" fillId="0" borderId="0" xfId="1" applyNumberFormat="1" applyFont="1" applyAlignment="1">
      <alignment horizontal="left"/>
    </xf>
    <xf numFmtId="49" fontId="4" fillId="0" borderId="0" xfId="0" applyNumberFormat="1" applyFont="1" applyAlignment="1">
      <alignment horizontal="left" wrapText="1"/>
    </xf>
    <xf numFmtId="0" fontId="4" fillId="0" borderId="0" xfId="0" applyFont="1" applyBorder="1"/>
    <xf numFmtId="166" fontId="4" fillId="0" borderId="0" xfId="1" applyNumberFormat="1" applyFont="1" applyFill="1" applyBorder="1"/>
    <xf numFmtId="0" fontId="4" fillId="0" borderId="0" xfId="0" applyFont="1" applyBorder="1" applyAlignment="1">
      <alignment wrapText="1"/>
    </xf>
    <xf numFmtId="164" fontId="0" fillId="0" borderId="0" xfId="1" applyNumberFormat="1" applyFont="1" applyBorder="1"/>
    <xf numFmtId="9" fontId="0" fillId="0" borderId="0" xfId="3" applyNumberFormat="1" applyFont="1"/>
    <xf numFmtId="166" fontId="3" fillId="3" borderId="1" xfId="1" applyNumberFormat="1" applyFont="1" applyFill="1" applyBorder="1"/>
    <xf numFmtId="173" fontId="0" fillId="0" borderId="0" xfId="1" applyNumberFormat="1" applyFont="1"/>
    <xf numFmtId="168" fontId="4" fillId="0" borderId="6" xfId="1" applyNumberFormat="1" applyFont="1" applyBorder="1"/>
    <xf numFmtId="0" fontId="4" fillId="0" borderId="6" xfId="0" applyFont="1" applyBorder="1"/>
    <xf numFmtId="168" fontId="4" fillId="0" borderId="6" xfId="0" applyNumberFormat="1" applyFont="1" applyBorder="1" applyAlignment="1">
      <alignment wrapText="1"/>
    </xf>
    <xf numFmtId="166" fontId="0" fillId="0" borderId="6" xfId="0" applyNumberFormat="1" applyBorder="1" applyAlignment="1">
      <alignment wrapText="1"/>
    </xf>
    <xf numFmtId="0" fontId="0" fillId="0" borderId="5" xfId="0" applyBorder="1"/>
    <xf numFmtId="0" fontId="4" fillId="0" borderId="5" xfId="0" applyFont="1" applyBorder="1"/>
    <xf numFmtId="166" fontId="4" fillId="0" borderId="5" xfId="0" applyNumberFormat="1" applyFont="1" applyBorder="1" applyAlignment="1">
      <alignment wrapText="1"/>
    </xf>
    <xf numFmtId="166" fontId="0" fillId="0" borderId="5" xfId="0" applyNumberFormat="1" applyBorder="1" applyAlignment="1">
      <alignment wrapText="1"/>
    </xf>
    <xf numFmtId="0" fontId="0" fillId="0" borderId="0" xfId="0" applyFill="1"/>
    <xf numFmtId="166" fontId="2" fillId="0" borderId="1" xfId="4" applyNumberFormat="1" applyFill="1"/>
    <xf numFmtId="0" fontId="0" fillId="0" borderId="3" xfId="0" applyFill="1" applyBorder="1"/>
    <xf numFmtId="168" fontId="0" fillId="0" borderId="0" xfId="0" applyNumberFormat="1" applyFill="1"/>
    <xf numFmtId="166" fontId="19" fillId="7" borderId="3" xfId="10" applyNumberFormat="1" applyBorder="1"/>
    <xf numFmtId="168" fontId="19" fillId="7" borderId="6" xfId="10" applyNumberFormat="1" applyBorder="1"/>
    <xf numFmtId="166" fontId="19" fillId="7" borderId="0" xfId="10" applyNumberFormat="1"/>
    <xf numFmtId="9" fontId="19" fillId="7" borderId="0" xfId="10" applyNumberFormat="1"/>
    <xf numFmtId="166" fontId="19" fillId="7" borderId="0" xfId="10" applyNumberFormat="1" applyBorder="1"/>
    <xf numFmtId="0" fontId="4" fillId="0" borderId="0" xfId="0" applyFont="1" applyAlignment="1"/>
    <xf numFmtId="168" fontId="1" fillId="0" borderId="0" xfId="1" applyNumberFormat="1" applyFont="1" applyFill="1"/>
    <xf numFmtId="0" fontId="0" fillId="0" borderId="0" xfId="0" applyFont="1"/>
    <xf numFmtId="168" fontId="7" fillId="7" borderId="6" xfId="10" applyNumberFormat="1" applyFont="1" applyBorder="1" applyAlignment="1">
      <alignment wrapText="1"/>
    </xf>
    <xf numFmtId="166" fontId="4" fillId="0" borderId="5" xfId="1" applyNumberFormat="1" applyFont="1" applyBorder="1"/>
  </cellXfs>
  <cellStyles count="11">
    <cellStyle name="Calculation" xfId="5" builtinId="22"/>
    <cellStyle name="Comma" xfId="1" builtinId="3"/>
    <cellStyle name="Comma 2" xfId="9" xr:uid="{735D7005-D04A-460C-B05A-006A20426706}"/>
    <cellStyle name="Currency" xfId="2" builtinId="4"/>
    <cellStyle name="Explanatory Text" xfId="8" builtinId="53"/>
    <cellStyle name="Good" xfId="10" builtinId="26"/>
    <cellStyle name="Hyperlink" xfId="6" builtinId="8"/>
    <cellStyle name="Input" xfId="4" builtinId="20"/>
    <cellStyle name="Linked Cell" xfId="7" builtinId="24"/>
    <cellStyle name="Normal" xfId="0" builtinId="0"/>
    <cellStyle name="Percent" xfId="3" builtinId="5"/>
  </cellStyles>
  <dxfs count="0"/>
  <tableStyles count="0" defaultTableStyle="TableStyleMedium2" defaultPivotStyle="PivotStyleLight16"/>
  <colors>
    <mruColors>
      <color rgb="FF15E137"/>
      <color rgb="FFFFFFFF"/>
      <color rgb="FFF98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33744219507421"/>
          <c:y val="4.3956443292344424E-2"/>
          <c:w val="0.68412893628881444"/>
          <c:h val="0.85506082156457064"/>
        </c:manualLayout>
      </c:layout>
      <c:barChart>
        <c:barDir val="col"/>
        <c:grouping val="stacked"/>
        <c:varyColors val="0"/>
        <c:ser>
          <c:idx val="0"/>
          <c:order val="0"/>
          <c:tx>
            <c:v>Emissions outside  NZ ETS</c:v>
          </c:tx>
          <c:spPr>
            <a:solidFill>
              <a:schemeClr val="tx2"/>
            </a:solidFill>
            <a:ln>
              <a:noFill/>
            </a:ln>
            <a:effectLst/>
          </c:spPr>
          <c:invertIfNegative val="0"/>
          <c:cat>
            <c:numRef>
              <c:f>'2. Allocate emissions budget'!$E$1:$I$1</c:f>
              <c:numCache>
                <c:formatCode>General</c:formatCode>
                <c:ptCount val="5"/>
                <c:pt idx="0">
                  <c:v>2023</c:v>
                </c:pt>
                <c:pt idx="1">
                  <c:v>2024</c:v>
                </c:pt>
                <c:pt idx="2">
                  <c:v>2025</c:v>
                </c:pt>
                <c:pt idx="3">
                  <c:v>2026</c:v>
                </c:pt>
                <c:pt idx="4">
                  <c:v>2027</c:v>
                </c:pt>
              </c:numCache>
            </c:numRef>
          </c:cat>
          <c:val>
            <c:numRef>
              <c:f>'2. Allocate emissions budget'!$E$39:$I$39</c:f>
              <c:numCache>
                <c:formatCode>_-* #,##0_-;\-* #,##0_-;_-* "-"??_-;_-@_-</c:formatCode>
                <c:ptCount val="5"/>
                <c:pt idx="0">
                  <c:v>41323.393450290081</c:v>
                </c:pt>
                <c:pt idx="1">
                  <c:v>41045.241864990858</c:v>
                </c:pt>
                <c:pt idx="2">
                  <c:v>41001.054871889195</c:v>
                </c:pt>
                <c:pt idx="3">
                  <c:v>40351.796062871457</c:v>
                </c:pt>
                <c:pt idx="4">
                  <c:v>40171.208183367751</c:v>
                </c:pt>
              </c:numCache>
            </c:numRef>
          </c:val>
          <c:extLst>
            <c:ext xmlns:c16="http://schemas.microsoft.com/office/drawing/2014/chart" uri="{C3380CC4-5D6E-409C-BE32-E72D297353CC}">
              <c16:uniqueId val="{00000000-9476-41CD-B9D1-92812594ABD8}"/>
            </c:ext>
          </c:extLst>
        </c:ser>
        <c:ser>
          <c:idx val="1"/>
          <c:order val="1"/>
          <c:tx>
            <c:v>NZ ETS cap</c:v>
          </c:tx>
          <c:spPr>
            <a:solidFill>
              <a:schemeClr val="accent1"/>
            </a:solidFill>
            <a:ln>
              <a:noFill/>
            </a:ln>
            <a:effectLst/>
          </c:spPr>
          <c:invertIfNegative val="0"/>
          <c:cat>
            <c:numRef>
              <c:f>'2. Allocate emissions budget'!$E$1:$I$1</c:f>
              <c:numCache>
                <c:formatCode>General</c:formatCode>
                <c:ptCount val="5"/>
                <c:pt idx="0">
                  <c:v>2023</c:v>
                </c:pt>
                <c:pt idx="1">
                  <c:v>2024</c:v>
                </c:pt>
                <c:pt idx="2">
                  <c:v>2025</c:v>
                </c:pt>
                <c:pt idx="3">
                  <c:v>2026</c:v>
                </c:pt>
                <c:pt idx="4">
                  <c:v>2027</c:v>
                </c:pt>
              </c:numCache>
            </c:numRef>
          </c:cat>
          <c:val>
            <c:numRef>
              <c:f>'2. Allocate emissions budget'!$E$42:$I$42</c:f>
              <c:numCache>
                <c:formatCode>_-* #,##0_-;\-* #,##0_-;_-* "-"??_-;_-@_-</c:formatCode>
                <c:ptCount val="5"/>
                <c:pt idx="0">
                  <c:v>32325.62717209509</c:v>
                </c:pt>
                <c:pt idx="1">
                  <c:v>31076.812019709199</c:v>
                </c:pt>
                <c:pt idx="2">
                  <c:v>28699.253697602733</c:v>
                </c:pt>
                <c:pt idx="3">
                  <c:v>26174.817434522767</c:v>
                </c:pt>
                <c:pt idx="4">
                  <c:v>23686.513144484954</c:v>
                </c:pt>
              </c:numCache>
            </c:numRef>
          </c:val>
          <c:extLst>
            <c:ext xmlns:c16="http://schemas.microsoft.com/office/drawing/2014/chart" uri="{C3380CC4-5D6E-409C-BE32-E72D297353CC}">
              <c16:uniqueId val="{00000001-9476-41CD-B9D1-92812594ABD8}"/>
            </c:ext>
          </c:extLst>
        </c:ser>
        <c:dLbls>
          <c:showLegendKey val="0"/>
          <c:showVal val="0"/>
          <c:showCatName val="0"/>
          <c:showSerName val="0"/>
          <c:showPercent val="0"/>
          <c:showBubbleSize val="0"/>
        </c:dLbls>
        <c:gapWidth val="73"/>
        <c:overlap val="100"/>
        <c:axId val="1363993056"/>
        <c:axId val="1363991392"/>
      </c:barChart>
      <c:lineChart>
        <c:grouping val="standard"/>
        <c:varyColors val="0"/>
        <c:ser>
          <c:idx val="2"/>
          <c:order val="2"/>
          <c:tx>
            <c:v>Emissions budget</c:v>
          </c:tx>
          <c:spPr>
            <a:ln w="28575" cap="rnd">
              <a:solidFill>
                <a:schemeClr val="tx1"/>
              </a:solidFill>
              <a:prstDash val="dash"/>
              <a:round/>
            </a:ln>
            <a:effectLst/>
          </c:spPr>
          <c:marker>
            <c:symbol val="none"/>
          </c:marker>
          <c:val>
            <c:numRef>
              <c:f>'2. Allocate emissions budget'!$E$9:$I$9</c:f>
              <c:numCache>
                <c:formatCode>_-* #,##0_-;\-* #,##0_-;_-* "-"??_-;_-@_-</c:formatCode>
                <c:ptCount val="5"/>
                <c:pt idx="0">
                  <c:v>73649.020622385171</c:v>
                </c:pt>
                <c:pt idx="1">
                  <c:v>72122.053884700057</c:v>
                </c:pt>
                <c:pt idx="2">
                  <c:v>69700.308569491928</c:v>
                </c:pt>
                <c:pt idx="3">
                  <c:v>66526.613497394224</c:v>
                </c:pt>
                <c:pt idx="4">
                  <c:v>63857.721327852705</c:v>
                </c:pt>
              </c:numCache>
            </c:numRef>
          </c:val>
          <c:smooth val="0"/>
          <c:extLst>
            <c:ext xmlns:c16="http://schemas.microsoft.com/office/drawing/2014/chart" uri="{C3380CC4-5D6E-409C-BE32-E72D297353CC}">
              <c16:uniqueId val="{00000003-9476-41CD-B9D1-92812594ABD8}"/>
            </c:ext>
          </c:extLst>
        </c:ser>
        <c:ser>
          <c:idx val="3"/>
          <c:order val="3"/>
          <c:tx>
            <c:v>Projected gross emissions (CPR)</c:v>
          </c:tx>
          <c:spPr>
            <a:ln w="28575" cap="rnd">
              <a:solidFill>
                <a:srgbClr val="FF0000"/>
              </a:solidFill>
              <a:prstDash val="sysDash"/>
              <a:round/>
            </a:ln>
            <a:effectLst/>
          </c:spPr>
          <c:marker>
            <c:symbol val="none"/>
          </c:marker>
          <c:val>
            <c:numRef>
              <c:f>'2. Allocate emissions budget'!$E$5:$I$5</c:f>
              <c:numCache>
                <c:formatCode>_-* #,##0_-;\-* #,##0_-;_-* "-"??_-;_-@_-</c:formatCode>
                <c:ptCount val="5"/>
                <c:pt idx="0">
                  <c:v>81319.861324096026</c:v>
                </c:pt>
                <c:pt idx="1">
                  <c:v>80533.989646387228</c:v>
                </c:pt>
                <c:pt idx="2">
                  <c:v>79867.959842884899</c:v>
                </c:pt>
                <c:pt idx="3">
                  <c:v>79553.396146937084</c:v>
                </c:pt>
                <c:pt idx="4">
                  <c:v>79248.095563331954</c:v>
                </c:pt>
              </c:numCache>
            </c:numRef>
          </c:val>
          <c:smooth val="0"/>
          <c:extLst>
            <c:ext xmlns:c16="http://schemas.microsoft.com/office/drawing/2014/chart" uri="{C3380CC4-5D6E-409C-BE32-E72D297353CC}">
              <c16:uniqueId val="{00000004-9476-41CD-B9D1-92812594ABD8}"/>
            </c:ext>
          </c:extLst>
        </c:ser>
        <c:dLbls>
          <c:showLegendKey val="0"/>
          <c:showVal val="0"/>
          <c:showCatName val="0"/>
          <c:showSerName val="0"/>
          <c:showPercent val="0"/>
          <c:showBubbleSize val="0"/>
        </c:dLbls>
        <c:marker val="1"/>
        <c:smooth val="0"/>
        <c:axId val="1363993056"/>
        <c:axId val="1363991392"/>
      </c:lineChart>
      <c:catAx>
        <c:axId val="136399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63991392"/>
        <c:crosses val="autoZero"/>
        <c:auto val="1"/>
        <c:lblAlgn val="ctr"/>
        <c:lblOffset val="100"/>
        <c:noMultiLvlLbl val="0"/>
      </c:catAx>
      <c:valAx>
        <c:axId val="1363991392"/>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63993056"/>
        <c:crosses val="autoZero"/>
        <c:crossBetween val="between"/>
        <c:dispUnits>
          <c:builtInUnit val="thousands"/>
        </c:dispUnits>
      </c:valAx>
      <c:spPr>
        <a:noFill/>
        <a:ln>
          <a:noFill/>
        </a:ln>
        <a:effectLst/>
      </c:spPr>
    </c:plotArea>
    <c:legend>
      <c:legendPos val="r"/>
      <c:layout>
        <c:manualLayout>
          <c:xMode val="edge"/>
          <c:yMode val="edge"/>
          <c:x val="0.77719987917984845"/>
          <c:y val="0.11915064029988055"/>
          <c:w val="0.19780027473711453"/>
          <c:h val="0.7432149691851234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Liquid fossil fuels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comparisons'!$B$4</c:f>
              <c:strCache>
                <c:ptCount val="1"/>
                <c:pt idx="0">
                  <c:v>NZ ETS emissions</c:v>
                </c:pt>
              </c:strCache>
            </c:strRef>
          </c:tx>
          <c:spPr>
            <a:ln w="28575" cap="rnd">
              <a:solidFill>
                <a:schemeClr val="accent5"/>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comparisons'!$C$4:$M$4</c:f>
              <c:numCache>
                <c:formatCode>_-* #,##0_-;\-* #,##0_-;_-* "-"??_-;_-@_-</c:formatCode>
                <c:ptCount val="11"/>
                <c:pt idx="0">
                  <c:v>16212.598</c:v>
                </c:pt>
                <c:pt idx="1">
                  <c:v>16038.689</c:v>
                </c:pt>
                <c:pt idx="2">
                  <c:v>16282.877999999999</c:v>
                </c:pt>
                <c:pt idx="3">
                  <c:v>16594.495999999999</c:v>
                </c:pt>
                <c:pt idx="4">
                  <c:v>16801.807000000001</c:v>
                </c:pt>
                <c:pt idx="5">
                  <c:v>17215.886000000002</c:v>
                </c:pt>
                <c:pt idx="6">
                  <c:v>17648.878999999997</c:v>
                </c:pt>
                <c:pt idx="7">
                  <c:v>18384.857</c:v>
                </c:pt>
                <c:pt idx="8">
                  <c:v>18753.941000000003</c:v>
                </c:pt>
                <c:pt idx="9">
                  <c:v>19021.705999999998</c:v>
                </c:pt>
                <c:pt idx="10">
                  <c:v>17343.826000000001</c:v>
                </c:pt>
              </c:numCache>
            </c:numRef>
          </c:val>
          <c:smooth val="0"/>
          <c:extLst>
            <c:ext xmlns:c16="http://schemas.microsoft.com/office/drawing/2014/chart" uri="{C3380CC4-5D6E-409C-BE32-E72D297353CC}">
              <c16:uniqueId val="{00000000-5BE5-4558-8986-41E9E927A994}"/>
            </c:ext>
          </c:extLst>
        </c:ser>
        <c:ser>
          <c:idx val="1"/>
          <c:order val="1"/>
          <c:tx>
            <c:strRef>
              <c:f>'Emissions comparisons'!$B$5</c:f>
              <c:strCache>
                <c:ptCount val="1"/>
                <c:pt idx="0">
                  <c:v>GHG inventory</c:v>
                </c:pt>
              </c:strCache>
            </c:strRef>
          </c:tx>
          <c:spPr>
            <a:ln w="28575" cap="rnd">
              <a:solidFill>
                <a:schemeClr val="tx2"/>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comparisons'!$C$5:$M$5</c:f>
              <c:numCache>
                <c:formatCode>_-* #,##0_-;\-* #,##0_-;_-* "-"??_-;_-@_-</c:formatCode>
                <c:ptCount val="11"/>
                <c:pt idx="0">
                  <c:v>16978.542102264782</c:v>
                </c:pt>
                <c:pt idx="1">
                  <c:v>17200.764764084881</c:v>
                </c:pt>
                <c:pt idx="2">
                  <c:v>16987.371793020247</c:v>
                </c:pt>
                <c:pt idx="3">
                  <c:v>17373.099495246326</c:v>
                </c:pt>
                <c:pt idx="4">
                  <c:v>17684.29805665182</c:v>
                </c:pt>
                <c:pt idx="5">
                  <c:v>18129.814194253413</c:v>
                </c:pt>
                <c:pt idx="6">
                  <c:v>18414.176920670125</c:v>
                </c:pt>
                <c:pt idx="7">
                  <c:v>19276.729777539302</c:v>
                </c:pt>
                <c:pt idx="8">
                  <c:v>19542.912930873747</c:v>
                </c:pt>
                <c:pt idx="9">
                  <c:v>19826.797123524611</c:v>
                </c:pt>
                <c:pt idx="10">
                  <c:v>18151.34590644695</c:v>
                </c:pt>
              </c:numCache>
            </c:numRef>
          </c:val>
          <c:smooth val="0"/>
          <c:extLst>
            <c:ext xmlns:c16="http://schemas.microsoft.com/office/drawing/2014/chart" uri="{C3380CC4-5D6E-409C-BE32-E72D297353CC}">
              <c16:uniqueId val="{00000001-5BE5-4558-8986-41E9E927A994}"/>
            </c:ext>
          </c:extLst>
        </c:ser>
        <c:ser>
          <c:idx val="2"/>
          <c:order val="2"/>
          <c:tx>
            <c:strRef>
              <c:f>'Emissions comparisons'!$B$6</c:f>
              <c:strCache>
                <c:ptCount val="1"/>
                <c:pt idx="0">
                  <c:v>Difference</c:v>
                </c:pt>
              </c:strCache>
            </c:strRef>
          </c:tx>
          <c:spPr>
            <a:ln w="28575" cap="rnd">
              <a:solidFill>
                <a:schemeClr val="accent4"/>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comparisons'!$C$6:$M$6</c:f>
              <c:numCache>
                <c:formatCode>_-* #,##0_-;\-* #,##0_-;_-* "-"??_-;_-@_-</c:formatCode>
                <c:ptCount val="11"/>
                <c:pt idx="0">
                  <c:v>765.94410226478249</c:v>
                </c:pt>
                <c:pt idx="1">
                  <c:v>1162.0757640848806</c:v>
                </c:pt>
                <c:pt idx="2">
                  <c:v>704.49379302024863</c:v>
                </c:pt>
                <c:pt idx="3">
                  <c:v>778.60349524632693</c:v>
                </c:pt>
                <c:pt idx="4">
                  <c:v>882.49105665181924</c:v>
                </c:pt>
                <c:pt idx="5">
                  <c:v>913.92819425341077</c:v>
                </c:pt>
                <c:pt idx="6">
                  <c:v>765.2979206701275</c:v>
                </c:pt>
                <c:pt idx="7">
                  <c:v>891.87277753930175</c:v>
                </c:pt>
                <c:pt idx="8">
                  <c:v>788.97193087374399</c:v>
                </c:pt>
                <c:pt idx="9">
                  <c:v>805.09112352461307</c:v>
                </c:pt>
                <c:pt idx="10">
                  <c:v>807.51990644694888</c:v>
                </c:pt>
              </c:numCache>
            </c:numRef>
          </c:val>
          <c:smooth val="0"/>
          <c:extLst>
            <c:ext xmlns:c16="http://schemas.microsoft.com/office/drawing/2014/chart" uri="{C3380CC4-5D6E-409C-BE32-E72D297353CC}">
              <c16:uniqueId val="{00000002-5BE5-4558-8986-41E9E927A994}"/>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20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Gas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comparisons'!$B$15</c:f>
              <c:strCache>
                <c:ptCount val="1"/>
                <c:pt idx="0">
                  <c:v>NZ ETS emissions</c:v>
                </c:pt>
              </c:strCache>
            </c:strRef>
          </c:tx>
          <c:spPr>
            <a:ln w="28575" cap="rnd">
              <a:solidFill>
                <a:schemeClr val="accent5"/>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comparisons'!$C$15:$M$15</c:f>
              <c:numCache>
                <c:formatCode>_-* #,##0_-;\-* #,##0_-;_-* "-"??_-;_-@_-</c:formatCode>
                <c:ptCount val="11"/>
                <c:pt idx="0">
                  <c:v>10064.038999999999</c:v>
                </c:pt>
                <c:pt idx="1">
                  <c:v>8180.4630000000006</c:v>
                </c:pt>
                <c:pt idx="2">
                  <c:v>8553.5930000000008</c:v>
                </c:pt>
                <c:pt idx="3">
                  <c:v>8496.0139999999992</c:v>
                </c:pt>
                <c:pt idx="4">
                  <c:v>8744.6670000000013</c:v>
                </c:pt>
                <c:pt idx="5">
                  <c:v>8770.1059999999998</c:v>
                </c:pt>
                <c:pt idx="6">
                  <c:v>8643.9910000000018</c:v>
                </c:pt>
                <c:pt idx="7">
                  <c:v>9190.2389999999996</c:v>
                </c:pt>
                <c:pt idx="8">
                  <c:v>8248.85052</c:v>
                </c:pt>
                <c:pt idx="9">
                  <c:v>8492.4920000000002</c:v>
                </c:pt>
                <c:pt idx="10">
                  <c:v>8368.2670000000016</c:v>
                </c:pt>
              </c:numCache>
            </c:numRef>
          </c:val>
          <c:smooth val="0"/>
          <c:extLst>
            <c:ext xmlns:c16="http://schemas.microsoft.com/office/drawing/2014/chart" uri="{C3380CC4-5D6E-409C-BE32-E72D297353CC}">
              <c16:uniqueId val="{00000000-C421-4216-940C-88479D6F0230}"/>
            </c:ext>
          </c:extLst>
        </c:ser>
        <c:ser>
          <c:idx val="1"/>
          <c:order val="1"/>
          <c:tx>
            <c:strRef>
              <c:f>'Emissions comparisons'!$B$16</c:f>
              <c:strCache>
                <c:ptCount val="1"/>
                <c:pt idx="0">
                  <c:v>GHG inventory</c:v>
                </c:pt>
              </c:strCache>
            </c:strRef>
          </c:tx>
          <c:spPr>
            <a:ln w="28575" cap="rnd">
              <a:solidFill>
                <a:schemeClr val="tx2"/>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comparisons'!$C$16:$M$16</c:f>
              <c:numCache>
                <c:formatCode>_-* #,##0_-;\-* #,##0_-;_-* "-"??_-;_-@_-</c:formatCode>
                <c:ptCount val="11"/>
                <c:pt idx="0">
                  <c:v>9435.7162361796163</c:v>
                </c:pt>
                <c:pt idx="1">
                  <c:v>8669.9374064244148</c:v>
                </c:pt>
                <c:pt idx="2">
                  <c:v>9048.2791416494874</c:v>
                </c:pt>
                <c:pt idx="3">
                  <c:v>8720.5791472086348</c:v>
                </c:pt>
                <c:pt idx="4">
                  <c:v>9175.4154949525764</c:v>
                </c:pt>
                <c:pt idx="5">
                  <c:v>8904.9017781761177</c:v>
                </c:pt>
                <c:pt idx="6">
                  <c:v>8409.0026400691931</c:v>
                </c:pt>
                <c:pt idx="7">
                  <c:v>8995.7910874332483</c:v>
                </c:pt>
                <c:pt idx="8">
                  <c:v>8279.8331509843865</c:v>
                </c:pt>
                <c:pt idx="9">
                  <c:v>8579.9217039677842</c:v>
                </c:pt>
                <c:pt idx="10">
                  <c:v>8083.4020452876448</c:v>
                </c:pt>
              </c:numCache>
            </c:numRef>
          </c:val>
          <c:smooth val="0"/>
          <c:extLst>
            <c:ext xmlns:c16="http://schemas.microsoft.com/office/drawing/2014/chart" uri="{C3380CC4-5D6E-409C-BE32-E72D297353CC}">
              <c16:uniqueId val="{00000001-C421-4216-940C-88479D6F0230}"/>
            </c:ext>
          </c:extLst>
        </c:ser>
        <c:ser>
          <c:idx val="2"/>
          <c:order val="2"/>
          <c:tx>
            <c:strRef>
              <c:f>'Emissions comparisons'!$B$17</c:f>
              <c:strCache>
                <c:ptCount val="1"/>
                <c:pt idx="0">
                  <c:v>Difference</c:v>
                </c:pt>
              </c:strCache>
            </c:strRef>
          </c:tx>
          <c:spPr>
            <a:ln w="28575" cap="rnd">
              <a:solidFill>
                <a:schemeClr val="accent4"/>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comparisons'!$C$17:$M$17</c:f>
              <c:numCache>
                <c:formatCode>_-* #,##0_-;\-* #,##0_-;_-* "-"??_-;_-@_-</c:formatCode>
                <c:ptCount val="11"/>
                <c:pt idx="0">
                  <c:v>-628.32276382038253</c:v>
                </c:pt>
                <c:pt idx="1">
                  <c:v>489.47440642441416</c:v>
                </c:pt>
                <c:pt idx="2">
                  <c:v>494.68614164948667</c:v>
                </c:pt>
                <c:pt idx="3">
                  <c:v>224.56514720863561</c:v>
                </c:pt>
                <c:pt idx="4">
                  <c:v>430.74849495257513</c:v>
                </c:pt>
                <c:pt idx="5">
                  <c:v>134.79577817611789</c:v>
                </c:pt>
                <c:pt idx="6">
                  <c:v>-234.98835993080866</c:v>
                </c:pt>
                <c:pt idx="7">
                  <c:v>-194.44791256675126</c:v>
                </c:pt>
                <c:pt idx="8">
                  <c:v>30.98263098438656</c:v>
                </c:pt>
                <c:pt idx="9">
                  <c:v>87.429703967784008</c:v>
                </c:pt>
                <c:pt idx="10">
                  <c:v>-284.86495471235685</c:v>
                </c:pt>
              </c:numCache>
            </c:numRef>
          </c:val>
          <c:smooth val="0"/>
          <c:extLst>
            <c:ext xmlns:c16="http://schemas.microsoft.com/office/drawing/2014/chart" uri="{C3380CC4-5D6E-409C-BE32-E72D297353CC}">
              <c16:uniqueId val="{00000002-C421-4216-940C-88479D6F0230}"/>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20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Coal &amp; Steel</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comparisons'!$B$9</c:f>
              <c:strCache>
                <c:ptCount val="1"/>
                <c:pt idx="0">
                  <c:v>NZ ETS emissions</c:v>
                </c:pt>
              </c:strCache>
            </c:strRef>
          </c:tx>
          <c:spPr>
            <a:ln w="28575" cap="rnd">
              <a:solidFill>
                <a:schemeClr val="accent5"/>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comparisons'!$C$9:$M$9</c:f>
              <c:numCache>
                <c:formatCode>_-* #,##0_-;\-* #,##0_-;_-* "-"??_-;_-@_-</c:formatCode>
                <c:ptCount val="11"/>
                <c:pt idx="0">
                  <c:v>4697.0740000000005</c:v>
                </c:pt>
                <c:pt idx="1">
                  <c:v>4201.1040000000003</c:v>
                </c:pt>
                <c:pt idx="2">
                  <c:v>7055.9710000000005</c:v>
                </c:pt>
                <c:pt idx="3">
                  <c:v>6017.5419999999995</c:v>
                </c:pt>
                <c:pt idx="4">
                  <c:v>5772.5609999999997</c:v>
                </c:pt>
                <c:pt idx="5">
                  <c:v>5519.7780000000002</c:v>
                </c:pt>
                <c:pt idx="6">
                  <c:v>4292.0579999999991</c:v>
                </c:pt>
                <c:pt idx="7">
                  <c:v>4518.1260000000002</c:v>
                </c:pt>
                <c:pt idx="8">
                  <c:v>4755.8514800000003</c:v>
                </c:pt>
                <c:pt idx="9">
                  <c:v>4900.8755000000001</c:v>
                </c:pt>
                <c:pt idx="10">
                  <c:v>4798.3789999999999</c:v>
                </c:pt>
              </c:numCache>
            </c:numRef>
          </c:val>
          <c:smooth val="0"/>
          <c:extLst>
            <c:ext xmlns:c16="http://schemas.microsoft.com/office/drawing/2014/chart" uri="{C3380CC4-5D6E-409C-BE32-E72D297353CC}">
              <c16:uniqueId val="{00000000-FC0F-4D95-9EE7-7D63813DB492}"/>
            </c:ext>
          </c:extLst>
        </c:ser>
        <c:ser>
          <c:idx val="1"/>
          <c:order val="1"/>
          <c:tx>
            <c:strRef>
              <c:f>'Emissions comparisons'!$B$10</c:f>
              <c:strCache>
                <c:ptCount val="1"/>
                <c:pt idx="0">
                  <c:v>GHG inventory</c:v>
                </c:pt>
              </c:strCache>
            </c:strRef>
          </c:tx>
          <c:spPr>
            <a:ln w="28575" cap="rnd">
              <a:solidFill>
                <a:schemeClr val="tx2"/>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comparisons'!$C$10:$M$10</c:f>
              <c:numCache>
                <c:formatCode>_-* #,##0_-;\-* #,##0_-;_-* "-"??_-;_-@_-</c:formatCode>
                <c:ptCount val="11"/>
                <c:pt idx="0">
                  <c:v>5890.6307587371539</c:v>
                </c:pt>
                <c:pt idx="1">
                  <c:v>5788.0578783833762</c:v>
                </c:pt>
                <c:pt idx="2">
                  <c:v>7008.0553468117078</c:v>
                </c:pt>
                <c:pt idx="3">
                  <c:v>6144.7042829115726</c:v>
                </c:pt>
                <c:pt idx="4">
                  <c:v>5515.7305257947382</c:v>
                </c:pt>
                <c:pt idx="5">
                  <c:v>5503.0762430745335</c:v>
                </c:pt>
                <c:pt idx="6">
                  <c:v>4501.3237144610903</c:v>
                </c:pt>
                <c:pt idx="7">
                  <c:v>4604.4588041844399</c:v>
                </c:pt>
                <c:pt idx="8">
                  <c:v>5198.1589737992508</c:v>
                </c:pt>
                <c:pt idx="9">
                  <c:v>5926.5747679499154</c:v>
                </c:pt>
                <c:pt idx="10">
                  <c:v>5701.6539640820947</c:v>
                </c:pt>
              </c:numCache>
            </c:numRef>
          </c:val>
          <c:smooth val="0"/>
          <c:extLst>
            <c:ext xmlns:c16="http://schemas.microsoft.com/office/drawing/2014/chart" uri="{C3380CC4-5D6E-409C-BE32-E72D297353CC}">
              <c16:uniqueId val="{00000001-FC0F-4D95-9EE7-7D63813DB492}"/>
            </c:ext>
          </c:extLst>
        </c:ser>
        <c:ser>
          <c:idx val="2"/>
          <c:order val="2"/>
          <c:tx>
            <c:strRef>
              <c:f>'Emissions comparisons'!$B$11</c:f>
              <c:strCache>
                <c:ptCount val="1"/>
                <c:pt idx="0">
                  <c:v>Difference</c:v>
                </c:pt>
              </c:strCache>
            </c:strRef>
          </c:tx>
          <c:spPr>
            <a:ln w="28575" cap="rnd">
              <a:solidFill>
                <a:schemeClr val="accent4"/>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comparisons'!$C$11:$M$11</c:f>
              <c:numCache>
                <c:formatCode>_-* #,##0_-;\-* #,##0_-;_-* "-"??_-;_-@_-</c:formatCode>
                <c:ptCount val="11"/>
                <c:pt idx="0">
                  <c:v>1193.5567587371534</c:v>
                </c:pt>
                <c:pt idx="1">
                  <c:v>1586.9538783833759</c:v>
                </c:pt>
                <c:pt idx="2">
                  <c:v>-47.915653188292708</c:v>
                </c:pt>
                <c:pt idx="3">
                  <c:v>127.16228291157313</c:v>
                </c:pt>
                <c:pt idx="4">
                  <c:v>-256.83047420526145</c:v>
                </c:pt>
                <c:pt idx="5">
                  <c:v>-16.701756925466725</c:v>
                </c:pt>
                <c:pt idx="6">
                  <c:v>209.26571446109119</c:v>
                </c:pt>
                <c:pt idx="7">
                  <c:v>86.332804184439738</c:v>
                </c:pt>
                <c:pt idx="8">
                  <c:v>442.30749379925055</c:v>
                </c:pt>
                <c:pt idx="9">
                  <c:v>1025.6992679499153</c:v>
                </c:pt>
                <c:pt idx="10">
                  <c:v>903.27496408209481</c:v>
                </c:pt>
              </c:numCache>
            </c:numRef>
          </c:val>
          <c:smooth val="0"/>
          <c:extLst>
            <c:ext xmlns:c16="http://schemas.microsoft.com/office/drawing/2014/chart" uri="{C3380CC4-5D6E-409C-BE32-E72D297353CC}">
              <c16:uniqueId val="{00000002-FC0F-4D95-9EE7-7D63813DB492}"/>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10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Waste</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comparisons'!$B$30</c:f>
              <c:strCache>
                <c:ptCount val="1"/>
                <c:pt idx="0">
                  <c:v>NZ ETS emissions</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'Emissions comparisons'!$C$1:$M$1</c15:sqref>
                  </c15:fullRef>
                </c:ext>
              </c:extLst>
              <c:f>'Emissions comparisons'!$E$1:$M$1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extLst>
                <c:ext xmlns:c15="http://schemas.microsoft.com/office/drawing/2012/chart" uri="{02D57815-91ED-43cb-92C2-25804820EDAC}">
                  <c15:fullRef>
                    <c15:sqref>'Emissions comparisons'!$C$30:$M$30</c15:sqref>
                  </c15:fullRef>
                </c:ext>
              </c:extLst>
              <c:f>'Emissions comparisons'!$E$30:$M$30</c:f>
              <c:numCache>
                <c:formatCode>_-* #,##0_-;\-* #,##0_-;_-* "-"??_-;_-@_-</c:formatCode>
                <c:ptCount val="9"/>
                <c:pt idx="0">
                  <c:v>2760.471</c:v>
                </c:pt>
                <c:pt idx="1">
                  <c:v>1970.356</c:v>
                </c:pt>
                <c:pt idx="2">
                  <c:v>1358.42</c:v>
                </c:pt>
                <c:pt idx="3">
                  <c:v>1345.857</c:v>
                </c:pt>
                <c:pt idx="4">
                  <c:v>1268.1120000000001</c:v>
                </c:pt>
                <c:pt idx="5">
                  <c:v>1303.633</c:v>
                </c:pt>
                <c:pt idx="6">
                  <c:v>1283.2639999999999</c:v>
                </c:pt>
                <c:pt idx="7">
                  <c:v>1173.6289999999999</c:v>
                </c:pt>
                <c:pt idx="8">
                  <c:v>1049.9749999999999</c:v>
                </c:pt>
              </c:numCache>
            </c:numRef>
          </c:val>
          <c:smooth val="0"/>
          <c:extLst>
            <c:ext xmlns:c16="http://schemas.microsoft.com/office/drawing/2014/chart" uri="{C3380CC4-5D6E-409C-BE32-E72D297353CC}">
              <c16:uniqueId val="{00000000-CEED-4AB9-9802-06043FD30F8B}"/>
            </c:ext>
          </c:extLst>
        </c:ser>
        <c:ser>
          <c:idx val="1"/>
          <c:order val="1"/>
          <c:tx>
            <c:strRef>
              <c:f>'Emissions comparisons'!$B$31</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'Emissions comparisons'!$C$1:$M$1</c15:sqref>
                  </c15:fullRef>
                </c:ext>
              </c:extLst>
              <c:f>'Emissions comparisons'!$E$1:$M$1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extLst>
                <c:ext xmlns:c15="http://schemas.microsoft.com/office/drawing/2012/chart" uri="{02D57815-91ED-43cb-92C2-25804820EDAC}">
                  <c15:fullRef>
                    <c15:sqref>'Emissions comparisons'!$C$31:$M$31</c15:sqref>
                  </c15:fullRef>
                </c:ext>
              </c:extLst>
              <c:f>'Emissions comparisons'!$E$31:$M$31</c:f>
              <c:numCache>
                <c:formatCode>_-* #,##0_-;\-* #,##0_-;_-* "-"??_-;_-@_-</c:formatCode>
                <c:ptCount val="9"/>
                <c:pt idx="0">
                  <c:v>1410.5413176396301</c:v>
                </c:pt>
                <c:pt idx="1">
                  <c:v>1359.9084848190901</c:v>
                </c:pt>
                <c:pt idx="2">
                  <c:v>1314.1708670740725</c:v>
                </c:pt>
                <c:pt idx="3">
                  <c:v>1275.9271345153275</c:v>
                </c:pt>
                <c:pt idx="4">
                  <c:v>1246.0586846922251</c:v>
                </c:pt>
                <c:pt idx="5">
                  <c:v>1214.8602401561525</c:v>
                </c:pt>
                <c:pt idx="6">
                  <c:v>1156.3598029499426</c:v>
                </c:pt>
                <c:pt idx="7">
                  <c:v>1114.3950725962225</c:v>
                </c:pt>
                <c:pt idx="8">
                  <c:v>1075.3643344180375</c:v>
                </c:pt>
              </c:numCache>
            </c:numRef>
          </c:val>
          <c:smooth val="0"/>
          <c:extLst>
            <c:ext xmlns:c16="http://schemas.microsoft.com/office/drawing/2014/chart" uri="{C3380CC4-5D6E-409C-BE32-E72D297353CC}">
              <c16:uniqueId val="{00000001-CEED-4AB9-9802-06043FD30F8B}"/>
            </c:ext>
          </c:extLst>
        </c:ser>
        <c:ser>
          <c:idx val="2"/>
          <c:order val="2"/>
          <c:tx>
            <c:strRef>
              <c:f>'Emissions comparisons'!$B$32</c:f>
              <c:strCache>
                <c:ptCount val="1"/>
                <c:pt idx="0">
                  <c:v>Difference</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'Emissions comparisons'!$C$1:$M$1</c15:sqref>
                  </c15:fullRef>
                </c:ext>
              </c:extLst>
              <c:f>'Emissions comparisons'!$E$1:$M$1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extLst>
                <c:ext xmlns:c15="http://schemas.microsoft.com/office/drawing/2012/chart" uri="{02D57815-91ED-43cb-92C2-25804820EDAC}">
                  <c15:fullRef>
                    <c15:sqref>'Emissions comparisons'!$C$32:$M$32</c15:sqref>
                  </c15:fullRef>
                </c:ext>
              </c:extLst>
              <c:f>'Emissions comparisons'!$E$32:$M$32</c:f>
              <c:numCache>
                <c:formatCode>_-* #,##0_-;\-* #,##0_-;_-* "-"??_-;_-@_-</c:formatCode>
                <c:ptCount val="9"/>
                <c:pt idx="0">
                  <c:v>1349.92968236037</c:v>
                </c:pt>
                <c:pt idx="1">
                  <c:v>610.44751518090993</c:v>
                </c:pt>
                <c:pt idx="2">
                  <c:v>44.249132925927597</c:v>
                </c:pt>
                <c:pt idx="3">
                  <c:v>69.929865484672519</c:v>
                </c:pt>
                <c:pt idx="4">
                  <c:v>22.053315307774938</c:v>
                </c:pt>
                <c:pt idx="5">
                  <c:v>88.772759843847552</c:v>
                </c:pt>
                <c:pt idx="6">
                  <c:v>126.90419705005729</c:v>
                </c:pt>
                <c:pt idx="7">
                  <c:v>59.233927403777443</c:v>
                </c:pt>
                <c:pt idx="8">
                  <c:v>-25.389334418037606</c:v>
                </c:pt>
              </c:numCache>
            </c:numRef>
          </c:val>
          <c:smooth val="0"/>
          <c:extLst>
            <c:ext xmlns:c16="http://schemas.microsoft.com/office/drawing/2014/chart" uri="{C3380CC4-5D6E-409C-BE32-E72D297353CC}">
              <c16:uniqueId val="{00000002-CEED-4AB9-9802-06043FD30F8B}"/>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5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Geothermal</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comparisons'!$B$20</c:f>
              <c:strCache>
                <c:ptCount val="1"/>
                <c:pt idx="0">
                  <c:v>NZ ETS emissions</c:v>
                </c:pt>
              </c:strCache>
            </c:strRef>
          </c:tx>
          <c:spPr>
            <a:ln w="28575" cap="rnd">
              <a:solidFill>
                <a:schemeClr val="accent5"/>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comparisons'!$C$20:$M$20</c:f>
              <c:numCache>
                <c:formatCode>_-* #,##0_-;\-* #,##0_-;_-* "-"??_-;_-@_-</c:formatCode>
                <c:ptCount val="11"/>
                <c:pt idx="0">
                  <c:v>764.851</c:v>
                </c:pt>
                <c:pt idx="1">
                  <c:v>756.16399999999999</c:v>
                </c:pt>
                <c:pt idx="2">
                  <c:v>748.46600000000001</c:v>
                </c:pt>
                <c:pt idx="3">
                  <c:v>765.75900000000001</c:v>
                </c:pt>
                <c:pt idx="4">
                  <c:v>846.51199999999994</c:v>
                </c:pt>
                <c:pt idx="5">
                  <c:v>854.75699999999995</c:v>
                </c:pt>
                <c:pt idx="6">
                  <c:v>735.49099999999999</c:v>
                </c:pt>
                <c:pt idx="7">
                  <c:v>677.89</c:v>
                </c:pt>
                <c:pt idx="8">
                  <c:v>619.08399999999995</c:v>
                </c:pt>
                <c:pt idx="9">
                  <c:v>595.4</c:v>
                </c:pt>
                <c:pt idx="10">
                  <c:v>572.00199999999995</c:v>
                </c:pt>
              </c:numCache>
            </c:numRef>
          </c:val>
          <c:smooth val="0"/>
          <c:extLst>
            <c:ext xmlns:c16="http://schemas.microsoft.com/office/drawing/2014/chart" uri="{C3380CC4-5D6E-409C-BE32-E72D297353CC}">
              <c16:uniqueId val="{00000000-984B-455A-8C49-0AAE41EF9E4D}"/>
            </c:ext>
          </c:extLst>
        </c:ser>
        <c:ser>
          <c:idx val="1"/>
          <c:order val="1"/>
          <c:tx>
            <c:strRef>
              <c:f>'Emissions comparisons'!$B$21</c:f>
              <c:strCache>
                <c:ptCount val="1"/>
                <c:pt idx="0">
                  <c:v>GHG inventory</c:v>
                </c:pt>
              </c:strCache>
            </c:strRef>
          </c:tx>
          <c:spPr>
            <a:ln w="28575" cap="rnd">
              <a:solidFill>
                <a:schemeClr val="tx2"/>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comparisons'!$C$21:$M$21</c:f>
              <c:numCache>
                <c:formatCode>_-* #,##0_-;\-* #,##0_-;_-* "-"??_-;_-@_-</c:formatCode>
                <c:ptCount val="11"/>
                <c:pt idx="0">
                  <c:v>766.88741716704976</c:v>
                </c:pt>
                <c:pt idx="1">
                  <c:v>759.82718856583074</c:v>
                </c:pt>
                <c:pt idx="2">
                  <c:v>753.52391989212845</c:v>
                </c:pt>
                <c:pt idx="3">
                  <c:v>756.37251744680782</c:v>
                </c:pt>
                <c:pt idx="4">
                  <c:v>771.41953000000046</c:v>
                </c:pt>
                <c:pt idx="5">
                  <c:v>812.56917000000033</c:v>
                </c:pt>
                <c:pt idx="6">
                  <c:v>720.8629297676033</c:v>
                </c:pt>
                <c:pt idx="7">
                  <c:v>672.55436811864183</c:v>
                </c:pt>
                <c:pt idx="8">
                  <c:v>614.11758083911104</c:v>
                </c:pt>
                <c:pt idx="9">
                  <c:v>602.44303186572029</c:v>
                </c:pt>
                <c:pt idx="10">
                  <c:v>568.04123811528973</c:v>
                </c:pt>
              </c:numCache>
            </c:numRef>
          </c:val>
          <c:smooth val="0"/>
          <c:extLst>
            <c:ext xmlns:c16="http://schemas.microsoft.com/office/drawing/2014/chart" uri="{C3380CC4-5D6E-409C-BE32-E72D297353CC}">
              <c16:uniqueId val="{00000001-984B-455A-8C49-0AAE41EF9E4D}"/>
            </c:ext>
          </c:extLst>
        </c:ser>
        <c:ser>
          <c:idx val="2"/>
          <c:order val="2"/>
          <c:tx>
            <c:strRef>
              <c:f>'Emissions comparisons'!$B$22</c:f>
              <c:strCache>
                <c:ptCount val="1"/>
                <c:pt idx="0">
                  <c:v>Difference</c:v>
                </c:pt>
              </c:strCache>
            </c:strRef>
          </c:tx>
          <c:spPr>
            <a:ln w="28575" cap="rnd">
              <a:solidFill>
                <a:schemeClr val="accent4"/>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comparisons'!$C$22:$M$22</c:f>
              <c:numCache>
                <c:formatCode>_-* #,##0_-;\-* #,##0_-;_-* "-"??_-;_-@_-</c:formatCode>
                <c:ptCount val="11"/>
                <c:pt idx="0">
                  <c:v>2.0364171670497626</c:v>
                </c:pt>
                <c:pt idx="1">
                  <c:v>3.663188565830751</c:v>
                </c:pt>
                <c:pt idx="2">
                  <c:v>5.0579198921284387</c:v>
                </c:pt>
                <c:pt idx="3">
                  <c:v>-9.3864825531921952</c:v>
                </c:pt>
                <c:pt idx="4">
                  <c:v>-75.09246999999948</c:v>
                </c:pt>
                <c:pt idx="5">
                  <c:v>-42.187829999999622</c:v>
                </c:pt>
                <c:pt idx="6">
                  <c:v>-14.628070232396681</c:v>
                </c:pt>
                <c:pt idx="7">
                  <c:v>-5.3356318813581538</c:v>
                </c:pt>
                <c:pt idx="8">
                  <c:v>-4.9664191608889041</c:v>
                </c:pt>
                <c:pt idx="9">
                  <c:v>7.0430318657203088</c:v>
                </c:pt>
                <c:pt idx="10">
                  <c:v>-3.9607618847102231</c:v>
                </c:pt>
              </c:numCache>
            </c:numRef>
          </c:val>
          <c:smooth val="0"/>
          <c:extLst>
            <c:ext xmlns:c16="http://schemas.microsoft.com/office/drawing/2014/chart" uri="{C3380CC4-5D6E-409C-BE32-E72D297353CC}">
              <c16:uniqueId val="{00000002-984B-455A-8C49-0AAE41EF9E4D}"/>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2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IPPU</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comparisons'!$B$25</c:f>
              <c:strCache>
                <c:ptCount val="1"/>
                <c:pt idx="0">
                  <c:v>NZ ETS emissions</c:v>
                </c:pt>
              </c:strCache>
            </c:strRef>
          </c:tx>
          <c:spPr>
            <a:ln w="28575" cap="rnd">
              <a:solidFill>
                <a:schemeClr val="accent5"/>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comparisons'!$C$25:$M$25</c:f>
              <c:numCache>
                <c:formatCode>_-* #,##0_-;\-* #,##0_-;_-* "-"??_-;_-@_-</c:formatCode>
                <c:ptCount val="11"/>
                <c:pt idx="0">
                  <c:v>1313.884</c:v>
                </c:pt>
                <c:pt idx="1">
                  <c:v>1275.1879999999999</c:v>
                </c:pt>
                <c:pt idx="2">
                  <c:v>1270.491</c:v>
                </c:pt>
                <c:pt idx="3">
                  <c:v>1339.9489999999998</c:v>
                </c:pt>
                <c:pt idx="4">
                  <c:v>1406.2480000000003</c:v>
                </c:pt>
                <c:pt idx="5">
                  <c:v>1428.5380000000002</c:v>
                </c:pt>
                <c:pt idx="6">
                  <c:v>1269.6299999999999</c:v>
                </c:pt>
                <c:pt idx="7">
                  <c:v>1206.7910000000002</c:v>
                </c:pt>
                <c:pt idx="8">
                  <c:v>1177.2559999999999</c:v>
                </c:pt>
                <c:pt idx="9">
                  <c:v>1205.4304999999999</c:v>
                </c:pt>
                <c:pt idx="10">
                  <c:v>1124.6020000000001</c:v>
                </c:pt>
              </c:numCache>
            </c:numRef>
          </c:val>
          <c:smooth val="0"/>
          <c:extLst>
            <c:ext xmlns:c16="http://schemas.microsoft.com/office/drawing/2014/chart" uri="{C3380CC4-5D6E-409C-BE32-E72D297353CC}">
              <c16:uniqueId val="{00000000-0B98-49DC-8CC5-724AEAB8A5EE}"/>
            </c:ext>
          </c:extLst>
        </c:ser>
        <c:ser>
          <c:idx val="1"/>
          <c:order val="1"/>
          <c:tx>
            <c:strRef>
              <c:f>'Emissions comparisons'!$B$26</c:f>
              <c:strCache>
                <c:ptCount val="1"/>
                <c:pt idx="0">
                  <c:v>GHG inventory</c:v>
                </c:pt>
              </c:strCache>
            </c:strRef>
          </c:tx>
          <c:spPr>
            <a:ln w="28575" cap="rnd">
              <a:solidFill>
                <a:schemeClr val="tx2"/>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comparisons'!$C$26:$M$26</c:f>
              <c:numCache>
                <c:formatCode>_-* #,##0_-;\-* #,##0_-;_-* "-"??_-;_-@_-</c:formatCode>
                <c:ptCount val="11"/>
                <c:pt idx="0">
                  <c:v>1321.2403242830956</c:v>
                </c:pt>
                <c:pt idx="1">
                  <c:v>1277.7560728283138</c:v>
                </c:pt>
                <c:pt idx="2">
                  <c:v>1275.7046426747831</c:v>
                </c:pt>
                <c:pt idx="3">
                  <c:v>1324.1293581698544</c:v>
                </c:pt>
                <c:pt idx="4">
                  <c:v>1406.585640297091</c:v>
                </c:pt>
                <c:pt idx="5">
                  <c:v>1429.0708009343039</c:v>
                </c:pt>
                <c:pt idx="6">
                  <c:v>1271.0349874732685</c:v>
                </c:pt>
                <c:pt idx="7">
                  <c:v>1208.4411347256748</c:v>
                </c:pt>
                <c:pt idx="8">
                  <c:v>1173.3797803320656</c:v>
                </c:pt>
                <c:pt idx="9">
                  <c:v>1202.4750984917184</c:v>
                </c:pt>
                <c:pt idx="10">
                  <c:v>1127.8772301086849</c:v>
                </c:pt>
              </c:numCache>
            </c:numRef>
          </c:val>
          <c:smooth val="0"/>
          <c:extLst>
            <c:ext xmlns:c16="http://schemas.microsoft.com/office/drawing/2014/chart" uri="{C3380CC4-5D6E-409C-BE32-E72D297353CC}">
              <c16:uniqueId val="{00000001-0B98-49DC-8CC5-724AEAB8A5EE}"/>
            </c:ext>
          </c:extLst>
        </c:ser>
        <c:ser>
          <c:idx val="2"/>
          <c:order val="2"/>
          <c:tx>
            <c:strRef>
              <c:f>'Emissions comparisons'!$B$27</c:f>
              <c:strCache>
                <c:ptCount val="1"/>
                <c:pt idx="0">
                  <c:v>Difference</c:v>
                </c:pt>
              </c:strCache>
            </c:strRef>
          </c:tx>
          <c:spPr>
            <a:ln w="28575" cap="rnd">
              <a:solidFill>
                <a:schemeClr val="accent4"/>
              </a:solidFill>
              <a:round/>
            </a:ln>
            <a:effectLst/>
          </c:spPr>
          <c:marker>
            <c:symbol val="none"/>
          </c:marker>
          <c:cat>
            <c:numRef>
              <c:f>'Emissions comparisons'!$C$1:$M$1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'Emissions comparisons'!$C$27:$M$27</c:f>
              <c:numCache>
                <c:formatCode>_-* #,##0_-;\-* #,##0_-;_-* "-"??_-;_-@_-</c:formatCode>
                <c:ptCount val="11"/>
                <c:pt idx="0">
                  <c:v>7.356324283095546</c:v>
                </c:pt>
                <c:pt idx="1">
                  <c:v>2.568072828313916</c:v>
                </c:pt>
                <c:pt idx="2">
                  <c:v>5.2136426747831592</c:v>
                </c:pt>
                <c:pt idx="3">
                  <c:v>-15.819641830145429</c:v>
                </c:pt>
                <c:pt idx="4">
                  <c:v>0.33764029709072929</c:v>
                </c:pt>
                <c:pt idx="5">
                  <c:v>0.53280093430362285</c:v>
                </c:pt>
                <c:pt idx="6">
                  <c:v>1.4049874732686476</c:v>
                </c:pt>
                <c:pt idx="7">
                  <c:v>1.6501347256746612</c:v>
                </c:pt>
                <c:pt idx="8">
                  <c:v>-3.8762196679342651</c:v>
                </c:pt>
                <c:pt idx="9">
                  <c:v>-2.9554015082815113</c:v>
                </c:pt>
                <c:pt idx="10">
                  <c:v>3.2752301086848092</c:v>
                </c:pt>
              </c:numCache>
            </c:numRef>
          </c:val>
          <c:smooth val="0"/>
          <c:extLst>
            <c:ext xmlns:c16="http://schemas.microsoft.com/office/drawing/2014/chart" uri="{C3380CC4-5D6E-409C-BE32-E72D297353CC}">
              <c16:uniqueId val="{00000002-0B98-49DC-8CC5-724AEAB8A5EE}"/>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2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en-NZ"/>
              <a:t>HFCs</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99092592592593"/>
          <c:y val="0.10323159722222222"/>
          <c:w val="0.65666777777777774"/>
          <c:h val="0.7323788194444445"/>
        </c:manualLayout>
      </c:layout>
      <c:lineChart>
        <c:grouping val="standard"/>
        <c:varyColors val="0"/>
        <c:ser>
          <c:idx val="0"/>
          <c:order val="0"/>
          <c:tx>
            <c:strRef>
              <c:f>'Emissions comparisons'!$B$35</c:f>
              <c:strCache>
                <c:ptCount val="1"/>
                <c:pt idx="0">
                  <c:v>SGG levy + NZ ETS emissions</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'Emissions comparisons'!$C$1:$M$1</c15:sqref>
                  </c15:fullRef>
                </c:ext>
              </c:extLst>
              <c:f>'Emissions comparisons'!$F$1:$M$1</c:f>
              <c:numCache>
                <c:formatCode>General</c:formatCode>
                <c:ptCount val="8"/>
                <c:pt idx="0">
                  <c:v>2013</c:v>
                </c:pt>
                <c:pt idx="1">
                  <c:v>2014</c:v>
                </c:pt>
                <c:pt idx="2">
                  <c:v>2015</c:v>
                </c:pt>
                <c:pt idx="3">
                  <c:v>2016</c:v>
                </c:pt>
                <c:pt idx="4">
                  <c:v>2017</c:v>
                </c:pt>
                <c:pt idx="5">
                  <c:v>2018</c:v>
                </c:pt>
                <c:pt idx="6">
                  <c:v>2019</c:v>
                </c:pt>
                <c:pt idx="7">
                  <c:v>2020</c:v>
                </c:pt>
              </c:numCache>
            </c:numRef>
          </c:cat>
          <c:val>
            <c:numRef>
              <c:extLst>
                <c:ext xmlns:c15="http://schemas.microsoft.com/office/drawing/2012/chart" uri="{02D57815-91ED-43cb-92C2-25804820EDAC}">
                  <c15:fullRef>
                    <c15:sqref>'Emissions comparisons'!$C$35:$M$35</c15:sqref>
                  </c15:fullRef>
                </c:ext>
              </c:extLst>
              <c:f>'Emissions comparisons'!$F$35:$M$35</c:f>
              <c:numCache>
                <c:formatCode>General</c:formatCode>
                <c:ptCount val="8"/>
                <c:pt idx="0" formatCode="_-* #,##0_-;\-* #,##0_-;_-* &quot;-&quot;??_-;_-@_-">
                  <c:v>1153.913</c:v>
                </c:pt>
                <c:pt idx="1" formatCode="_-* #,##0_-;\-* #,##0_-;_-* &quot;-&quot;??_-;_-@_-">
                  <c:v>2315.7389999999996</c:v>
                </c:pt>
                <c:pt idx="2" formatCode="_-* #,##0_-;\-* #,##0_-;_-* &quot;-&quot;??_-;_-@_-">
                  <c:v>1460.9009999999998</c:v>
                </c:pt>
                <c:pt idx="3" formatCode="_-* #,##0_-;\-* #,##0_-;_-* &quot;-&quot;??_-;_-@_-">
                  <c:v>2753.152</c:v>
                </c:pt>
                <c:pt idx="4" formatCode="_-* #,##0_-;\-* #,##0_-;_-* &quot;-&quot;??_-;_-@_-">
                  <c:v>2219.373</c:v>
                </c:pt>
                <c:pt idx="5" formatCode="_-* #,##0_-;\-* #,##0_-;_-* &quot;-&quot;??_-;_-@_-">
                  <c:v>1873.99</c:v>
                </c:pt>
                <c:pt idx="6" formatCode="_-* #,##0_-;\-* #,##0_-;_-* &quot;-&quot;??_-;_-@_-">
                  <c:v>654.476</c:v>
                </c:pt>
                <c:pt idx="7" formatCode="_-* #,##0_-;\-* #,##0_-;_-* &quot;-&quot;??_-;_-@_-">
                  <c:v>1351.7429999999999</c:v>
                </c:pt>
              </c:numCache>
            </c:numRef>
          </c:val>
          <c:smooth val="0"/>
          <c:extLst>
            <c:ext xmlns:c16="http://schemas.microsoft.com/office/drawing/2014/chart" uri="{C3380CC4-5D6E-409C-BE32-E72D297353CC}">
              <c16:uniqueId val="{00000000-E20A-40A8-9961-ECBE69C40882}"/>
            </c:ext>
          </c:extLst>
        </c:ser>
        <c:ser>
          <c:idx val="1"/>
          <c:order val="1"/>
          <c:tx>
            <c:strRef>
              <c:f>'Emissions comparisons'!$B$36</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'Emissions comparisons'!$C$1:$M$1</c15:sqref>
                  </c15:fullRef>
                </c:ext>
              </c:extLst>
              <c:f>'Emissions comparisons'!$F$1:$M$1</c:f>
              <c:numCache>
                <c:formatCode>General</c:formatCode>
                <c:ptCount val="8"/>
                <c:pt idx="0">
                  <c:v>2013</c:v>
                </c:pt>
                <c:pt idx="1">
                  <c:v>2014</c:v>
                </c:pt>
                <c:pt idx="2">
                  <c:v>2015</c:v>
                </c:pt>
                <c:pt idx="3">
                  <c:v>2016</c:v>
                </c:pt>
                <c:pt idx="4">
                  <c:v>2017</c:v>
                </c:pt>
                <c:pt idx="5">
                  <c:v>2018</c:v>
                </c:pt>
                <c:pt idx="6">
                  <c:v>2019</c:v>
                </c:pt>
                <c:pt idx="7">
                  <c:v>2020</c:v>
                </c:pt>
              </c:numCache>
            </c:numRef>
          </c:cat>
          <c:val>
            <c:numRef>
              <c:extLst>
                <c:ext xmlns:c15="http://schemas.microsoft.com/office/drawing/2012/chart" uri="{02D57815-91ED-43cb-92C2-25804820EDAC}">
                  <c15:fullRef>
                    <c15:sqref>'Emissions comparisons'!$C$36:$M$36</c15:sqref>
                  </c15:fullRef>
                </c:ext>
              </c:extLst>
              <c:f>'Emissions comparisons'!$F$36:$M$36</c:f>
              <c:numCache>
                <c:formatCode>General</c:formatCode>
                <c:ptCount val="8"/>
                <c:pt idx="0" formatCode="_-* #,##0_-;\-* #,##0_-;_-* &quot;-&quot;??_-;_-@_-">
                  <c:v>1310.8550723426897</c:v>
                </c:pt>
                <c:pt idx="1" formatCode="_-* #,##0_-;\-* #,##0_-;_-* &quot;-&quot;??_-;_-@_-">
                  <c:v>1335.5841248101901</c:v>
                </c:pt>
                <c:pt idx="2" formatCode="_-* #,##0_-;\-* #,##0_-;_-* &quot;-&quot;??_-;_-@_-">
                  <c:v>1385.9517962676664</c:v>
                </c:pt>
                <c:pt idx="3" formatCode="_-* #,##0_-;\-* #,##0_-;_-* &quot;-&quot;??_-;_-@_-">
                  <c:v>1419.3108641873259</c:v>
                </c:pt>
                <c:pt idx="4" formatCode="_-* #,##0_-;\-* #,##0_-;_-* &quot;-&quot;??_-;_-@_-">
                  <c:v>1465.7401416697126</c:v>
                </c:pt>
                <c:pt idx="5" formatCode="_-* #,##0_-;\-* #,##0_-;_-* &quot;-&quot;??_-;_-@_-">
                  <c:v>1478.7952136725999</c:v>
                </c:pt>
                <c:pt idx="6" formatCode="_-* #,##0_-;\-* #,##0_-;_-* &quot;-&quot;??_-;_-@_-">
                  <c:v>1480.767199258129</c:v>
                </c:pt>
                <c:pt idx="7" formatCode="_-* #,##0_-;\-* #,##0_-;_-* &quot;-&quot;??_-;_-@_-">
                  <c:v>1480.0573697785851</c:v>
                </c:pt>
              </c:numCache>
            </c:numRef>
          </c:val>
          <c:smooth val="0"/>
          <c:extLst>
            <c:ext xmlns:c16="http://schemas.microsoft.com/office/drawing/2014/chart" uri="{C3380CC4-5D6E-409C-BE32-E72D297353CC}">
              <c16:uniqueId val="{00000001-E20A-40A8-9961-ECBE69C40882}"/>
            </c:ext>
          </c:extLst>
        </c:ser>
        <c:dLbls>
          <c:showLegendKey val="0"/>
          <c:showVal val="0"/>
          <c:showCatName val="0"/>
          <c:showSerName val="0"/>
          <c:showPercent val="0"/>
          <c:showBubbleSize val="0"/>
        </c:dLbls>
        <c:smooth val="0"/>
        <c:axId val="151001424"/>
        <c:axId val="150990192"/>
      </c:lineChart>
      <c:catAx>
        <c:axId val="15100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0"/>
          <a:lstStyle/>
          <a:p>
            <a:pPr>
              <a:defRPr sz="1050" b="0" i="0" u="none" strike="noStrike" kern="1200" baseline="0">
                <a:solidFill>
                  <a:schemeClr val="tx1">
                    <a:lumMod val="65000"/>
                    <a:lumOff val="35000"/>
                  </a:schemeClr>
                </a:solidFill>
                <a:latin typeface="+mn-lt"/>
                <a:ea typeface="+mn-ea"/>
                <a:cs typeface="+mn-cs"/>
              </a:defRPr>
            </a:pPr>
            <a:endParaRPr lang="en-US"/>
          </a:p>
        </c:txPr>
        <c:crossAx val="150990192"/>
        <c:crosses val="autoZero"/>
        <c:auto val="1"/>
        <c:lblAlgn val="ctr"/>
        <c:lblOffset val="100"/>
        <c:noMultiLvlLbl val="0"/>
      </c:catAx>
      <c:valAx>
        <c:axId val="15099019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51001424"/>
        <c:crosses val="autoZero"/>
        <c:crossBetween val="between"/>
        <c:majorUnit val="500"/>
        <c:dispUnits>
          <c:builtInUnit val="thousands"/>
          <c:dispUnitsLbl>
            <c:layout>
              <c:manualLayout>
                <c:xMode val="edge"/>
                <c:yMode val="edge"/>
                <c:x val="2.1148148148148149E-2"/>
                <c:y val="0.1340392361111111"/>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Emissions reported (Mt CO2-e)</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1112166666666663"/>
          <c:y val="0.27493819444444445"/>
          <c:w val="0.17476722222222221"/>
          <c:h val="0.450123263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8722222222222"/>
          <c:y val="4.7355228758169936E-2"/>
          <c:w val="0.67919425925925925"/>
          <c:h val="0.79792516339869279"/>
        </c:manualLayout>
      </c:layout>
      <c:lineChart>
        <c:grouping val="standard"/>
        <c:varyColors val="0"/>
        <c:ser>
          <c:idx val="0"/>
          <c:order val="0"/>
          <c:tx>
            <c:strRef>
              <c:f>'5. Surplus reduction volume'!$B$31</c:f>
              <c:strCache>
                <c:ptCount val="1"/>
                <c:pt idx="0">
                  <c:v>Constant to 2030</c:v>
                </c:pt>
              </c:strCache>
            </c:strRef>
          </c:tx>
          <c:spPr>
            <a:ln w="28575" cap="rnd">
              <a:solidFill>
                <a:schemeClr val="accent1"/>
              </a:solidFill>
              <a:round/>
            </a:ln>
            <a:effectLst/>
          </c:spPr>
          <c:marker>
            <c:symbol val="none"/>
          </c:marker>
          <c:cat>
            <c:numRef>
              <c:f>'5. Surplus reduction volume'!$D$29:$L$29</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'5. Surplus reduction volume'!$D$33:$L$33</c:f>
              <c:numCache>
                <c:formatCode>_-* #,##0_-;\-* #,##0_-;_-* "-"??_-;_-@_-</c:formatCode>
                <c:ptCount val="9"/>
                <c:pt idx="0">
                  <c:v>6142.478835153217</c:v>
                </c:pt>
                <c:pt idx="1">
                  <c:v>6142.478835153217</c:v>
                </c:pt>
                <c:pt idx="2">
                  <c:v>6142.478835153217</c:v>
                </c:pt>
                <c:pt idx="3">
                  <c:v>6142.478835153217</c:v>
                </c:pt>
                <c:pt idx="4">
                  <c:v>6142.478835153217</c:v>
                </c:pt>
                <c:pt idx="5">
                  <c:v>6142.478835153217</c:v>
                </c:pt>
                <c:pt idx="6">
                  <c:v>6142.478835153217</c:v>
                </c:pt>
                <c:pt idx="7">
                  <c:v>6142.478835153217</c:v>
                </c:pt>
                <c:pt idx="8">
                  <c:v>0</c:v>
                </c:pt>
              </c:numCache>
            </c:numRef>
          </c:val>
          <c:smooth val="0"/>
          <c:extLst>
            <c:ext xmlns:c16="http://schemas.microsoft.com/office/drawing/2014/chart" uri="{C3380CC4-5D6E-409C-BE32-E72D297353CC}">
              <c16:uniqueId val="{00000000-D37A-4CBF-8DE3-3AED7D5C60D0}"/>
            </c:ext>
          </c:extLst>
        </c:ser>
        <c:ser>
          <c:idx val="1"/>
          <c:order val="1"/>
          <c:tx>
            <c:strRef>
              <c:f>'5. Surplus reduction volume'!$B$37</c:f>
              <c:strCache>
                <c:ptCount val="1"/>
                <c:pt idx="0">
                  <c:v>Constant to 2027</c:v>
                </c:pt>
              </c:strCache>
            </c:strRef>
          </c:tx>
          <c:spPr>
            <a:ln w="28575" cap="rnd">
              <a:solidFill>
                <a:schemeClr val="accent2"/>
              </a:solidFill>
              <a:round/>
            </a:ln>
            <a:effectLst/>
          </c:spPr>
          <c:marker>
            <c:symbol val="none"/>
          </c:marker>
          <c:cat>
            <c:numRef>
              <c:f>'5. Surplus reduction volume'!$D$29:$L$29</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'5. Surplus reduction volume'!$D$38:$L$38</c:f>
              <c:numCache>
                <c:formatCode>_-* #,##0_-;\-* #,##0_-;_-* "-"??_-;_-@_-</c:formatCode>
                <c:ptCount val="9"/>
                <c:pt idx="0">
                  <c:v>9827.9661362451479</c:v>
                </c:pt>
                <c:pt idx="1">
                  <c:v>9827.9661362451479</c:v>
                </c:pt>
                <c:pt idx="2">
                  <c:v>9827.9661362451479</c:v>
                </c:pt>
                <c:pt idx="3">
                  <c:v>9827.9661362451479</c:v>
                </c:pt>
                <c:pt idx="4">
                  <c:v>9827.9661362451479</c:v>
                </c:pt>
                <c:pt idx="5">
                  <c:v>0</c:v>
                </c:pt>
                <c:pt idx="6">
                  <c:v>0</c:v>
                </c:pt>
                <c:pt idx="7">
                  <c:v>0</c:v>
                </c:pt>
                <c:pt idx="8">
                  <c:v>0</c:v>
                </c:pt>
              </c:numCache>
            </c:numRef>
          </c:val>
          <c:smooth val="0"/>
          <c:extLst>
            <c:ext xmlns:c16="http://schemas.microsoft.com/office/drawing/2014/chart" uri="{C3380CC4-5D6E-409C-BE32-E72D297353CC}">
              <c16:uniqueId val="{00000002-D37A-4CBF-8DE3-3AED7D5C60D0}"/>
            </c:ext>
          </c:extLst>
        </c:ser>
        <c:ser>
          <c:idx val="2"/>
          <c:order val="2"/>
          <c:tx>
            <c:strRef>
              <c:f>'5. Surplus reduction volume'!$B$41</c:f>
              <c:strCache>
                <c:ptCount val="1"/>
                <c:pt idx="0">
                  <c:v>Constant proportion of cap</c:v>
                </c:pt>
              </c:strCache>
            </c:strRef>
          </c:tx>
          <c:spPr>
            <a:ln w="28575" cap="rnd">
              <a:solidFill>
                <a:schemeClr val="accent3"/>
              </a:solidFill>
              <a:round/>
            </a:ln>
            <a:effectLst/>
          </c:spPr>
          <c:marker>
            <c:symbol val="none"/>
          </c:marker>
          <c:cat>
            <c:numRef>
              <c:f>'5. Surplus reduction volume'!$D$29:$L$29</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'5. Surplus reduction volume'!$D$43:$L$43</c:f>
              <c:numCache>
                <c:formatCode>_-* #,##0_-;\-* #,##0_-;_-* "-"??_-;_-@_-</c:formatCode>
                <c:ptCount val="9"/>
                <c:pt idx="0">
                  <c:v>8025.760968351784</c:v>
                </c:pt>
                <c:pt idx="1">
                  <c:v>7715.7069095907227</c:v>
                </c:pt>
                <c:pt idx="2">
                  <c:v>7125.4100940036687</c:v>
                </c:pt>
                <c:pt idx="3">
                  <c:v>6498.6466310875094</c:v>
                </c:pt>
                <c:pt idx="4">
                  <c:v>5880.8539633057308</c:v>
                </c:pt>
                <c:pt idx="5">
                  <c:v>5185.1035841248695</c:v>
                </c:pt>
                <c:pt idx="6">
                  <c:v>4665.026839197184</c:v>
                </c:pt>
                <c:pt idx="7">
                  <c:v>4043.3216915642724</c:v>
                </c:pt>
                <c:pt idx="8">
                  <c:v>0</c:v>
                </c:pt>
              </c:numCache>
            </c:numRef>
          </c:val>
          <c:smooth val="0"/>
          <c:extLst>
            <c:ext xmlns:c16="http://schemas.microsoft.com/office/drawing/2014/chart" uri="{C3380CC4-5D6E-409C-BE32-E72D297353CC}">
              <c16:uniqueId val="{00000003-D37A-4CBF-8DE3-3AED7D5C60D0}"/>
            </c:ext>
          </c:extLst>
        </c:ser>
        <c:ser>
          <c:idx val="3"/>
          <c:order val="3"/>
          <c:tx>
            <c:strRef>
              <c:f>'5. Surplus reduction volume'!$B$46</c:f>
              <c:strCache>
                <c:ptCount val="1"/>
                <c:pt idx="0">
                  <c:v>Straight-line trajectory</c:v>
                </c:pt>
              </c:strCache>
            </c:strRef>
          </c:tx>
          <c:spPr>
            <a:ln w="28575" cap="rnd">
              <a:solidFill>
                <a:schemeClr val="accent4"/>
              </a:solidFill>
              <a:round/>
            </a:ln>
            <a:effectLst/>
          </c:spPr>
          <c:marker>
            <c:symbol val="none"/>
          </c:marker>
          <c:cat>
            <c:numRef>
              <c:f>'5. Surplus reduction volume'!$D$29:$L$29</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'5. Surplus reduction volume'!$D$48:$L$48</c:f>
              <c:numCache>
                <c:formatCode>_-* #,##0_-;\-* #,##0_-;_-* "-"??_-;_-@_-</c:formatCode>
                <c:ptCount val="9"/>
                <c:pt idx="0">
                  <c:v>10919.962373605718</c:v>
                </c:pt>
                <c:pt idx="1">
                  <c:v>9554.9670769050026</c:v>
                </c:pt>
                <c:pt idx="2">
                  <c:v>8189.9717802042878</c:v>
                </c:pt>
                <c:pt idx="3">
                  <c:v>6824.9764835035721</c:v>
                </c:pt>
                <c:pt idx="4">
                  <c:v>5459.9811868028573</c:v>
                </c:pt>
                <c:pt idx="5">
                  <c:v>4094.9858901021425</c:v>
                </c:pt>
                <c:pt idx="6">
                  <c:v>2729.9905934014278</c:v>
                </c:pt>
                <c:pt idx="7">
                  <c:v>1364.9952967007127</c:v>
                </c:pt>
                <c:pt idx="8">
                  <c:v>0</c:v>
                </c:pt>
              </c:numCache>
            </c:numRef>
          </c:val>
          <c:smooth val="0"/>
          <c:extLst>
            <c:ext xmlns:c16="http://schemas.microsoft.com/office/drawing/2014/chart" uri="{C3380CC4-5D6E-409C-BE32-E72D297353CC}">
              <c16:uniqueId val="{00000004-D37A-4CBF-8DE3-3AED7D5C60D0}"/>
            </c:ext>
          </c:extLst>
        </c:ser>
        <c:dLbls>
          <c:showLegendKey val="0"/>
          <c:showVal val="0"/>
          <c:showCatName val="0"/>
          <c:showSerName val="0"/>
          <c:showPercent val="0"/>
          <c:showBubbleSize val="0"/>
        </c:dLbls>
        <c:smooth val="0"/>
        <c:axId val="1005543520"/>
        <c:axId val="1005531872"/>
      </c:lineChart>
      <c:catAx>
        <c:axId val="1005543520"/>
        <c:scaling>
          <c:orientation val="minMax"/>
        </c:scaling>
        <c:delete val="0"/>
        <c:axPos val="b"/>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05531872"/>
        <c:crosses val="autoZero"/>
        <c:auto val="1"/>
        <c:lblAlgn val="ctr"/>
        <c:lblOffset val="100"/>
        <c:noMultiLvlLbl val="0"/>
      </c:catAx>
      <c:valAx>
        <c:axId val="1005531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05543520"/>
        <c:crosses val="autoZero"/>
        <c:crossBetween val="between"/>
        <c:dispUnits>
          <c:builtInUnit val="thousands"/>
          <c:dispUnitsLbl>
            <c:layout>
              <c:manualLayout>
                <c:xMode val="edge"/>
                <c:yMode val="edge"/>
                <c:x val="2.7777777777777776E-2"/>
                <c:y val="0.30092592592592593"/>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NZUs (millions)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047092592592606"/>
          <c:y val="0.11854346405228761"/>
          <c:w val="0.18286240740740742"/>
          <c:h val="0.7380107843137254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67021514262423"/>
          <c:y val="5.8287604475419905E-2"/>
          <c:w val="0.75882569622526053"/>
          <c:h val="0.65939677962028354"/>
        </c:manualLayout>
      </c:layout>
      <c:barChart>
        <c:barDir val="bar"/>
        <c:grouping val="stacked"/>
        <c:varyColors val="0"/>
        <c:ser>
          <c:idx val="1"/>
          <c:order val="0"/>
          <c:tx>
            <c:strRef>
              <c:f>'Hedging profile'!$C$37</c:f>
              <c:strCache>
                <c:ptCount val="1"/>
                <c:pt idx="0">
                  <c:v>Stationary energy &amp; IPPU</c:v>
                </c:pt>
              </c:strCache>
            </c:strRef>
          </c:tx>
          <c:spPr>
            <a:solidFill>
              <a:schemeClr val="tx2"/>
            </a:solidFill>
            <a:ln>
              <a:noFill/>
            </a:ln>
            <a:effectLst/>
          </c:spPr>
          <c:invertIfNegative val="0"/>
          <c:cat>
            <c:strRef>
              <c:f>('Hedging profile'!$B$46,'Hedging profile'!$B$41,'Hedging profile'!$B$36)</c:f>
              <c:strCache>
                <c:ptCount val="3"/>
                <c:pt idx="0">
                  <c:v>Small hedge volume</c:v>
                </c:pt>
                <c:pt idx="1">
                  <c:v>Core scenario</c:v>
                </c:pt>
                <c:pt idx="2">
                  <c:v>Large hedge volume</c:v>
                </c:pt>
              </c:strCache>
            </c:strRef>
          </c:cat>
          <c:val>
            <c:numRef>
              <c:f>('Hedging profile'!$I$47,'Hedging profile'!$I$42,'Hedging profile'!$I$37)</c:f>
              <c:numCache>
                <c:formatCode>_-* #,##0_-;\-* #,##0_-;_-* "-"??_-;_-@_-</c:formatCode>
                <c:ptCount val="3"/>
                <c:pt idx="0">
                  <c:v>14864.026805295631</c:v>
                </c:pt>
                <c:pt idx="1">
                  <c:v>19281.167002551785</c:v>
                </c:pt>
                <c:pt idx="2">
                  <c:v>23567.649406606375</c:v>
                </c:pt>
              </c:numCache>
            </c:numRef>
          </c:val>
          <c:extLst>
            <c:ext xmlns:c16="http://schemas.microsoft.com/office/drawing/2014/chart" uri="{C3380CC4-5D6E-409C-BE32-E72D297353CC}">
              <c16:uniqueId val="{00000000-84CF-4974-ABEE-6F662165331C}"/>
            </c:ext>
          </c:extLst>
        </c:ser>
        <c:ser>
          <c:idx val="0"/>
          <c:order val="1"/>
          <c:tx>
            <c:strRef>
              <c:f>'Hedging profile'!$C$36</c:f>
              <c:strCache>
                <c:ptCount val="1"/>
                <c:pt idx="0">
                  <c:v>Liquid fossil fuels</c:v>
                </c:pt>
              </c:strCache>
            </c:strRef>
          </c:tx>
          <c:spPr>
            <a:solidFill>
              <a:schemeClr val="accent1"/>
            </a:solidFill>
            <a:ln>
              <a:noFill/>
            </a:ln>
            <a:effectLst/>
          </c:spPr>
          <c:invertIfNegative val="0"/>
          <c:cat>
            <c:strRef>
              <c:f>('Hedging profile'!$B$46,'Hedging profile'!$B$41,'Hedging profile'!$B$36)</c:f>
              <c:strCache>
                <c:ptCount val="3"/>
                <c:pt idx="0">
                  <c:v>Small hedge volume</c:v>
                </c:pt>
                <c:pt idx="1">
                  <c:v>Core scenario</c:v>
                </c:pt>
                <c:pt idx="2">
                  <c:v>Large hedge volume</c:v>
                </c:pt>
              </c:strCache>
            </c:strRef>
          </c:cat>
          <c:val>
            <c:numRef>
              <c:f>('Hedging profile'!$I$46,'Hedging profile'!$I$41,'Hedging profile'!$I$36)</c:f>
              <c:numCache>
                <c:formatCode>_-* #,##0_-;\-* #,##0_-;_-* "-"??_-;_-@_-</c:formatCode>
                <c:ptCount val="3"/>
                <c:pt idx="0">
                  <c:v>4913.1637583441579</c:v>
                </c:pt>
                <c:pt idx="1">
                  <c:v>9826.3275166883159</c:v>
                </c:pt>
                <c:pt idx="2">
                  <c:v>14739.491275032473</c:v>
                </c:pt>
              </c:numCache>
            </c:numRef>
          </c:val>
          <c:extLst>
            <c:ext xmlns:c16="http://schemas.microsoft.com/office/drawing/2014/chart" uri="{C3380CC4-5D6E-409C-BE32-E72D297353CC}">
              <c16:uniqueId val="{00000001-84CF-4974-ABEE-6F662165331C}"/>
            </c:ext>
          </c:extLst>
        </c:ser>
        <c:ser>
          <c:idx val="2"/>
          <c:order val="2"/>
          <c:tx>
            <c:strRef>
              <c:f>'Hedging profile'!$C$38</c:f>
              <c:strCache>
                <c:ptCount val="1"/>
                <c:pt idx="0">
                  <c:v>Waste</c:v>
                </c:pt>
              </c:strCache>
            </c:strRef>
          </c:tx>
          <c:spPr>
            <a:solidFill>
              <a:schemeClr val="accent6"/>
            </a:solidFill>
            <a:ln>
              <a:noFill/>
            </a:ln>
            <a:effectLst/>
          </c:spPr>
          <c:invertIfNegative val="0"/>
          <c:cat>
            <c:strRef>
              <c:f>('Hedging profile'!$B$46,'Hedging profile'!$B$41,'Hedging profile'!$B$36)</c:f>
              <c:strCache>
                <c:ptCount val="3"/>
                <c:pt idx="0">
                  <c:v>Small hedge volume</c:v>
                </c:pt>
                <c:pt idx="1">
                  <c:v>Core scenario</c:v>
                </c:pt>
                <c:pt idx="2">
                  <c:v>Large hedge volume</c:v>
                </c:pt>
              </c:strCache>
            </c:strRef>
          </c:cat>
          <c:val>
            <c:numRef>
              <c:f>('Hedging profile'!$I$48,'Hedging profile'!$I$43,'Hedging profile'!$I$38)</c:f>
              <c:numCache>
                <c:formatCode>_-* #,##0_-;\-* #,##0_-;_-* "-"??_-;_-@_-</c:formatCode>
                <c:ptCount val="3"/>
                <c:pt idx="0">
                  <c:v>1115.874382499414</c:v>
                </c:pt>
                <c:pt idx="1">
                  <c:v>1115.874382499414</c:v>
                </c:pt>
                <c:pt idx="2">
                  <c:v>1115.874382499414</c:v>
                </c:pt>
              </c:numCache>
            </c:numRef>
          </c:val>
          <c:extLst>
            <c:ext xmlns:c16="http://schemas.microsoft.com/office/drawing/2014/chart" uri="{C3380CC4-5D6E-409C-BE32-E72D297353CC}">
              <c16:uniqueId val="{00000002-84CF-4974-ABEE-6F662165331C}"/>
            </c:ext>
          </c:extLst>
        </c:ser>
        <c:dLbls>
          <c:showLegendKey val="0"/>
          <c:showVal val="0"/>
          <c:showCatName val="0"/>
          <c:showSerName val="0"/>
          <c:showPercent val="0"/>
          <c:showBubbleSize val="0"/>
        </c:dLbls>
        <c:gapWidth val="80"/>
        <c:overlap val="100"/>
        <c:axId val="2074716607"/>
        <c:axId val="2074719519"/>
      </c:barChart>
      <c:catAx>
        <c:axId val="2074716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74719519"/>
        <c:crosses val="autoZero"/>
        <c:auto val="1"/>
        <c:lblAlgn val="ctr"/>
        <c:lblOffset val="100"/>
        <c:noMultiLvlLbl val="0"/>
      </c:catAx>
      <c:valAx>
        <c:axId val="2074719519"/>
        <c:scaling>
          <c:orientation val="minMax"/>
          <c:max val="40000"/>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NZUs (millions)</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solidFill>
              <a:schemeClr val="tx1">
                <a:lumMod val="15000"/>
                <a:lumOff val="85000"/>
              </a:schemeClr>
            </a:solidFill>
            <a:prstDash val="soli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74716607"/>
        <c:crosses val="autoZero"/>
        <c:crossBetween val="between"/>
        <c:majorUnit val="5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2884327050375"/>
          <c:y val="4.731703494238311E-2"/>
          <c:w val="0.69806344158295008"/>
          <c:h val="0.79808814453692611"/>
        </c:manualLayout>
      </c:layout>
      <c:lineChart>
        <c:grouping val="standard"/>
        <c:varyColors val="0"/>
        <c:ser>
          <c:idx val="0"/>
          <c:order val="0"/>
          <c:tx>
            <c:strRef>
              <c:f>'P90 trends'!$C$4</c:f>
              <c:strCache>
                <c:ptCount val="1"/>
                <c:pt idx="0">
                  <c:v>Historic sales</c:v>
                </c:pt>
              </c:strCache>
            </c:strRef>
          </c:tx>
          <c:spPr>
            <a:ln w="28575" cap="rnd">
              <a:solidFill>
                <a:schemeClr val="tx2"/>
              </a:solidFill>
              <a:round/>
            </a:ln>
            <a:effectLst/>
          </c:spPr>
          <c:marker>
            <c:symbol val="none"/>
          </c:marker>
          <c:cat>
            <c:numRef>
              <c:f>'P90 trends'!$B$5:$B$60</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trends'!$C$5:$C$61</c:f>
              <c:numCache>
                <c:formatCode>_-* #,##0_-;\-* #,##0_-;_-* "-"??_-;_-@_-</c:formatCode>
                <c:ptCount val="57"/>
                <c:pt idx="0">
                  <c:v>32645150</c:v>
                </c:pt>
                <c:pt idx="1">
                  <c:v>31515323</c:v>
                </c:pt>
                <c:pt idx="2">
                  <c:v>30514525</c:v>
                </c:pt>
                <c:pt idx="3">
                  <c:v>29580875</c:v>
                </c:pt>
                <c:pt idx="4">
                  <c:v>28416358</c:v>
                </c:pt>
                <c:pt idx="5">
                  <c:v>25560414</c:v>
                </c:pt>
                <c:pt idx="6">
                  <c:v>24632772</c:v>
                </c:pt>
                <c:pt idx="7">
                  <c:v>23905961</c:v>
                </c:pt>
                <c:pt idx="8">
                  <c:v>22437390</c:v>
                </c:pt>
                <c:pt idx="9">
                  <c:v>21087375</c:v>
                </c:pt>
                <c:pt idx="10">
                  <c:v>19876495</c:v>
                </c:pt>
                <c:pt idx="11">
                  <c:v>20058937</c:v>
                </c:pt>
                <c:pt idx="12">
                  <c:v>19049208</c:v>
                </c:pt>
                <c:pt idx="13">
                  <c:v>17091309</c:v>
                </c:pt>
                <c:pt idx="14">
                  <c:v>16861643</c:v>
                </c:pt>
                <c:pt idx="15">
                  <c:v>16528337</c:v>
                </c:pt>
                <c:pt idx="16">
                  <c:v>16396219</c:v>
                </c:pt>
                <c:pt idx="17">
                  <c:v>16806373</c:v>
                </c:pt>
                <c:pt idx="18">
                  <c:v>16821126</c:v>
                </c:pt>
                <c:pt idx="19">
                  <c:v>16669233</c:v>
                </c:pt>
                <c:pt idx="20">
                  <c:v>16397405</c:v>
                </c:pt>
                <c:pt idx="21">
                  <c:v>16162192</c:v>
                </c:pt>
              </c:numCache>
            </c:numRef>
          </c:val>
          <c:smooth val="0"/>
          <c:extLst>
            <c:ext xmlns:c16="http://schemas.microsoft.com/office/drawing/2014/chart" uri="{C3380CC4-5D6E-409C-BE32-E72D297353CC}">
              <c16:uniqueId val="{00000000-C7AF-4BD1-A693-5A791DA29CAC}"/>
            </c:ext>
          </c:extLst>
        </c:ser>
        <c:ser>
          <c:idx val="2"/>
          <c:order val="1"/>
          <c:tx>
            <c:strRef>
              <c:f>'P90 trends'!$G$4</c:f>
              <c:strCache>
                <c:ptCount val="1"/>
                <c:pt idx="0">
                  <c:v>Slow sales path</c:v>
                </c:pt>
              </c:strCache>
            </c:strRef>
          </c:tx>
          <c:spPr>
            <a:ln w="25400" cap="rnd">
              <a:solidFill>
                <a:schemeClr val="accent5"/>
              </a:solidFill>
              <a:prstDash val="sysDash"/>
              <a:round/>
            </a:ln>
            <a:effectLst/>
          </c:spPr>
          <c:marker>
            <c:symbol val="none"/>
          </c:marker>
          <c:dPt>
            <c:idx val="21"/>
            <c:marker>
              <c:symbol val="diamond"/>
              <c:size val="9"/>
              <c:spPr>
                <a:solidFill>
                  <a:schemeClr val="accent1"/>
                </a:solidFill>
                <a:ln w="9525">
                  <a:noFill/>
                </a:ln>
                <a:effectLst/>
              </c:spPr>
            </c:marker>
            <c:bubble3D val="0"/>
            <c:extLst>
              <c:ext xmlns:c16="http://schemas.microsoft.com/office/drawing/2014/chart" uri="{C3380CC4-5D6E-409C-BE32-E72D297353CC}">
                <c16:uniqueId val="{00000004-4C5C-4690-8B49-D606A97355AF}"/>
              </c:ext>
            </c:extLst>
          </c:dPt>
          <c:dPt>
            <c:idx val="44"/>
            <c:marker>
              <c:symbol val="none"/>
            </c:marker>
            <c:bubble3D val="0"/>
            <c:extLst>
              <c:ext xmlns:c16="http://schemas.microsoft.com/office/drawing/2014/chart" uri="{C3380CC4-5D6E-409C-BE32-E72D297353CC}">
                <c16:uniqueId val="{00000005-4C5C-4690-8B49-D606A97355AF}"/>
              </c:ext>
            </c:extLst>
          </c:dPt>
          <c:cat>
            <c:numRef>
              <c:f>'P90 trends'!$B$5:$B$60</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trends'!$G$5:$G$60</c:f>
              <c:numCache>
                <c:formatCode>General</c:formatCode>
                <c:ptCount val="56"/>
                <c:pt idx="21" formatCode="_-* #,##0_-;\-* #,##0_-;_-* &quot;-&quot;??_-;_-@_-">
                  <c:v>16162192</c:v>
                </c:pt>
                <c:pt idx="22" formatCode="_-* #,##0_-;\-* #,##0_-;_-* &quot;-&quot;??_-;_-@_-">
                  <c:v>16286480.27300407</c:v>
                </c:pt>
                <c:pt idx="23" formatCode="_-* #,##0_-;\-* #,##0_-;_-* &quot;-&quot;??_-;_-@_-">
                  <c:v>16214011.18964415</c:v>
                </c:pt>
                <c:pt idx="24" formatCode="_-* #,##0_-;\-* #,##0_-;_-* &quot;-&quot;??_-;_-@_-">
                  <c:v>16143117.52113989</c:v>
                </c:pt>
                <c:pt idx="25" formatCode="_-* #,##0_-;\-* #,##0_-;_-* &quot;-&quot;??_-;_-@_-">
                  <c:v>16071436.1452078</c:v>
                </c:pt>
                <c:pt idx="26" formatCode="_-* #,##0_-;\-* #,##0_-;_-* &quot;-&quot;??_-;_-@_-">
                  <c:v>15998967.06184788</c:v>
                </c:pt>
                <c:pt idx="27" formatCode="_-* #,##0_-;\-* #,##0_-;_-* &quot;-&quot;??_-;_-@_-">
                  <c:v>15926497.978487968</c:v>
                </c:pt>
                <c:pt idx="28" formatCode="_-* #,##0_-;\-* #,##0_-;_-* &quot;-&quot;??_-;_-@_-">
                  <c:v>15854816.602555878</c:v>
                </c:pt>
                <c:pt idx="29" formatCode="_-* #,##0_-;\-* #,##0_-;_-* &quot;-&quot;??_-;_-@_-">
                  <c:v>15783135.226623788</c:v>
                </c:pt>
                <c:pt idx="30" formatCode="_-* #,##0_-;\-* #,##0_-;_-* &quot;-&quot;??_-;_-@_-">
                  <c:v>15710666.143263869</c:v>
                </c:pt>
                <c:pt idx="31" formatCode="_-* #,##0_-;\-* #,##0_-;_-* &quot;-&quot;??_-;_-@_-">
                  <c:v>15638197.059903957</c:v>
                </c:pt>
                <c:pt idx="32" formatCode="_-* #,##0_-;\-* #,##0_-;_-* &quot;-&quot;??_-;_-@_-">
                  <c:v>15567303.391399689</c:v>
                </c:pt>
                <c:pt idx="33" formatCode="_-* #,##0_-;\-* #,##0_-;_-* &quot;-&quot;??_-;_-@_-">
                  <c:v>15495622.015467599</c:v>
                </c:pt>
                <c:pt idx="34" formatCode="_-* #,##0_-;\-* #,##0_-;_-* &quot;-&quot;??_-;_-@_-">
                  <c:v>15423152.932107687</c:v>
                </c:pt>
                <c:pt idx="35" formatCode="_-* #,##0_-;\-* #,##0_-;_-* &quot;-&quot;??_-;_-@_-">
                  <c:v>15350683.848747768</c:v>
                </c:pt>
                <c:pt idx="36" formatCode="_-* #,##0_-;\-* #,##0_-;_-* &quot;-&quot;??_-;_-@_-">
                  <c:v>15279790.180243507</c:v>
                </c:pt>
                <c:pt idx="37" formatCode="_-* #,##0_-;\-* #,##0_-;_-* &quot;-&quot;??_-;_-@_-">
                  <c:v>15208108.804311417</c:v>
                </c:pt>
                <c:pt idx="38" formatCode="_-* #,##0_-;\-* #,##0_-;_-* &quot;-&quot;??_-;_-@_-">
                  <c:v>15135639.720951498</c:v>
                </c:pt>
                <c:pt idx="39" formatCode="_-* #,##0_-;\-* #,##0_-;_-* &quot;-&quot;??_-;_-@_-">
                  <c:v>15063170.637591586</c:v>
                </c:pt>
                <c:pt idx="40" formatCode="_-* #,##0_-;\-* #,##0_-;_-* &quot;-&quot;??_-;_-@_-">
                  <c:v>14992276.969087318</c:v>
                </c:pt>
                <c:pt idx="41" formatCode="_-* #,##0_-;\-* #,##0_-;_-* &quot;-&quot;??_-;_-@_-">
                  <c:v>14920595.593155228</c:v>
                </c:pt>
                <c:pt idx="42" formatCode="_-* #,##0_-;\-* #,##0_-;_-* &quot;-&quot;??_-;_-@_-">
                  <c:v>14848126.509795316</c:v>
                </c:pt>
                <c:pt idx="43" formatCode="_-* #,##0_-;\-* #,##0_-;_-* &quot;-&quot;??_-;_-@_-">
                  <c:v>14775657.426435396</c:v>
                </c:pt>
                <c:pt idx="44" formatCode="_-* #,##0_-;\-* #,##0_-;_-* &quot;-&quot;??_-;_-@_-">
                  <c:v>14703976.050503306</c:v>
                </c:pt>
                <c:pt idx="45" formatCode="_-* #,##0_-;\-* #,##0_-;_-* &quot;-&quot;??_-;_-@_-">
                  <c:v>14632294.674571216</c:v>
                </c:pt>
                <c:pt idx="46" formatCode="_-* #,##0_-;\-* #,##0_-;_-* &quot;-&quot;??_-;_-@_-">
                  <c:v>14559825.591211304</c:v>
                </c:pt>
                <c:pt idx="47" formatCode="_-* #,##0_-;\-* #,##0_-;_-* &quot;-&quot;??_-;_-@_-">
                  <c:v>14487356.507851385</c:v>
                </c:pt>
                <c:pt idx="48" formatCode="_-* #,##0_-;\-* #,##0_-;_-* &quot;-&quot;??_-;_-@_-">
                  <c:v>14416462.839347124</c:v>
                </c:pt>
                <c:pt idx="49" formatCode="_-* #,##0_-;\-* #,##0_-;_-* &quot;-&quot;??_-;_-@_-">
                  <c:v>14344781.463415034</c:v>
                </c:pt>
                <c:pt idx="50" formatCode="_-* #,##0_-;\-* #,##0_-;_-* &quot;-&quot;??_-;_-@_-">
                  <c:v>14272312.380055115</c:v>
                </c:pt>
                <c:pt idx="51" formatCode="_-* #,##0_-;\-* #,##0_-;_-* &quot;-&quot;??_-;_-@_-">
                  <c:v>14199843.296695203</c:v>
                </c:pt>
                <c:pt idx="52" formatCode="_-* #,##0_-;\-* #,##0_-;_-* &quot;-&quot;??_-;_-@_-">
                  <c:v>14128949.628190935</c:v>
                </c:pt>
                <c:pt idx="53" formatCode="_-* #,##0_-;\-* #,##0_-;_-* &quot;-&quot;??_-;_-@_-">
                  <c:v>14057268.252258845</c:v>
                </c:pt>
                <c:pt idx="54" formatCode="_-* #,##0_-;\-* #,##0_-;_-* &quot;-&quot;??_-;_-@_-">
                  <c:v>13984799.168898933</c:v>
                </c:pt>
                <c:pt idx="55" formatCode="_-* #,##0_-;\-* #,##0_-;_-* &quot;-&quot;??_-;_-@_-">
                  <c:v>13912330.085539013</c:v>
                </c:pt>
              </c:numCache>
            </c:numRef>
          </c:val>
          <c:smooth val="0"/>
          <c:extLst>
            <c:ext xmlns:c16="http://schemas.microsoft.com/office/drawing/2014/chart" uri="{C3380CC4-5D6E-409C-BE32-E72D297353CC}">
              <c16:uniqueId val="{00000002-C7AF-4BD1-A693-5A791DA29CAC}"/>
            </c:ext>
          </c:extLst>
        </c:ser>
        <c:ser>
          <c:idx val="1"/>
          <c:order val="2"/>
          <c:tx>
            <c:strRef>
              <c:f>'P90 trends'!$D$4</c:f>
              <c:strCache>
                <c:ptCount val="1"/>
                <c:pt idx="0">
                  <c:v>Fast sales path</c:v>
                </c:pt>
              </c:strCache>
            </c:strRef>
          </c:tx>
          <c:spPr>
            <a:ln w="25400" cap="rnd">
              <a:solidFill>
                <a:schemeClr val="accent4"/>
              </a:solidFill>
              <a:prstDash val="sysDash"/>
              <a:round/>
            </a:ln>
            <a:effectLst/>
          </c:spPr>
          <c:marker>
            <c:symbol val="none"/>
          </c:marker>
          <c:dPt>
            <c:idx val="44"/>
            <c:marker>
              <c:symbol val="none"/>
            </c:marker>
            <c:bubble3D val="0"/>
            <c:extLst>
              <c:ext xmlns:c16="http://schemas.microsoft.com/office/drawing/2014/chart" uri="{C3380CC4-5D6E-409C-BE32-E72D297353CC}">
                <c16:uniqueId val="{00000006-4C5C-4690-8B49-D606A97355AF}"/>
              </c:ext>
            </c:extLst>
          </c:dPt>
          <c:cat>
            <c:numRef>
              <c:f>'P90 trends'!$B$5:$B$60</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trends'!$D$5:$D$60</c:f>
              <c:numCache>
                <c:formatCode>General</c:formatCode>
                <c:ptCount val="56"/>
                <c:pt idx="21" formatCode="_-* #,##0_-;\-* #,##0_-;_-* &quot;-&quot;??_-;_-@_-">
                  <c:v>16162192</c:v>
                </c:pt>
                <c:pt idx="22" formatCode="_-* #,##0_-;\-* #,##0_-;_-* &quot;-&quot;??_-;_-@_-">
                  <c:v>15834795.73177667</c:v>
                </c:pt>
                <c:pt idx="23" formatCode="_-* #,##0_-;\-* #,##0_-;_-* &quot;-&quot;??_-;_-@_-">
                  <c:v>15644691.164100349</c:v>
                </c:pt>
                <c:pt idx="24" formatCode="_-* #,##0_-;\-* #,##0_-;_-* &quot;-&quot;??_-;_-@_-">
                  <c:v>15458719.304416984</c:v>
                </c:pt>
                <c:pt idx="25" formatCode="_-* #,##0_-;\-* #,##0_-;_-* &quot;-&quot;??_-;_-@_-">
                  <c:v>15270681.090737134</c:v>
                </c:pt>
                <c:pt idx="26" formatCode="_-* #,##0_-;\-* #,##0_-;_-* &quot;-&quot;??_-;_-@_-">
                  <c:v>15080576.523060799</c:v>
                </c:pt>
                <c:pt idx="27" formatCode="_-* #,##0_-;\-* #,##0_-;_-* &quot;-&quot;??_-;_-@_-">
                  <c:v>14890471.955384478</c:v>
                </c:pt>
                <c:pt idx="28" formatCode="_-* #,##0_-;\-* #,##0_-;_-* &quot;-&quot;??_-;_-@_-">
                  <c:v>14702433.741704628</c:v>
                </c:pt>
                <c:pt idx="29" formatCode="_-* #,##0_-;\-* #,##0_-;_-* &quot;-&quot;??_-;_-@_-">
                  <c:v>14514395.528024778</c:v>
                </c:pt>
                <c:pt idx="30" formatCode="_-* #,##0_-;\-* #,##0_-;_-* &quot;-&quot;??_-;_-@_-">
                  <c:v>14324290.960348442</c:v>
                </c:pt>
                <c:pt idx="31" formatCode="_-* #,##0_-;\-* #,##0_-;_-* &quot;-&quot;??_-;_-@_-">
                  <c:v>14134186.392672122</c:v>
                </c:pt>
                <c:pt idx="32" formatCode="_-* #,##0_-;\-* #,##0_-;_-* &quot;-&quot;??_-;_-@_-">
                  <c:v>13948214.532988757</c:v>
                </c:pt>
                <c:pt idx="33" formatCode="_-* #,##0_-;\-* #,##0_-;_-* &quot;-&quot;??_-;_-@_-">
                  <c:v>13760176.319308907</c:v>
                </c:pt>
                <c:pt idx="34" formatCode="_-* #,##0_-;\-* #,##0_-;_-* &quot;-&quot;??_-;_-@_-">
                  <c:v>13570071.751632571</c:v>
                </c:pt>
                <c:pt idx="35" formatCode="_-* #,##0_-;\-* #,##0_-;_-* &quot;-&quot;??_-;_-@_-">
                  <c:v>13379967.183956251</c:v>
                </c:pt>
                <c:pt idx="36" formatCode="_-* #,##0_-;\-* #,##0_-;_-* &quot;-&quot;??_-;_-@_-">
                  <c:v>13193995.324272886</c:v>
                </c:pt>
                <c:pt idx="37" formatCode="_-* #,##0_-;\-* #,##0_-;_-* &quot;-&quot;??_-;_-@_-">
                  <c:v>13005957.110593036</c:v>
                </c:pt>
                <c:pt idx="38" formatCode="_-* #,##0_-;\-* #,##0_-;_-* &quot;-&quot;??_-;_-@_-">
                  <c:v>12815852.5429167</c:v>
                </c:pt>
                <c:pt idx="39" formatCode="_-* #,##0_-;\-* #,##0_-;_-* &quot;-&quot;??_-;_-@_-">
                  <c:v>12625747.97524038</c:v>
                </c:pt>
                <c:pt idx="40" formatCode="_-* #,##0_-;\-* #,##0_-;_-* &quot;-&quot;??_-;_-@_-">
                  <c:v>12439776.115557015</c:v>
                </c:pt>
                <c:pt idx="41" formatCode="_-* #,##0_-;\-* #,##0_-;_-* &quot;-&quot;??_-;_-@_-">
                  <c:v>12251737.901877165</c:v>
                </c:pt>
                <c:pt idx="42" formatCode="_-* #,##0_-;\-* #,##0_-;_-* &quot;-&quot;??_-;_-@_-">
                  <c:v>12061633.334200829</c:v>
                </c:pt>
                <c:pt idx="43" formatCode="_-* #,##0_-;\-* #,##0_-;_-* &quot;-&quot;??_-;_-@_-">
                  <c:v>11871528.766524509</c:v>
                </c:pt>
                <c:pt idx="44" formatCode="_-* #,##0_-;\-* #,##0_-;_-* &quot;-&quot;??_-;_-@_-">
                  <c:v>11683490.552844658</c:v>
                </c:pt>
                <c:pt idx="45" formatCode="_-* #,##0_-;\-* #,##0_-;_-* &quot;-&quot;??_-;_-@_-">
                  <c:v>11495452.339164808</c:v>
                </c:pt>
                <c:pt idx="46" formatCode="_-* #,##0_-;\-* #,##0_-;_-* &quot;-&quot;??_-;_-@_-">
                  <c:v>11305347.771488473</c:v>
                </c:pt>
                <c:pt idx="47" formatCode="_-* #,##0_-;\-* #,##0_-;_-* &quot;-&quot;??_-;_-@_-">
                  <c:v>11115243.203812152</c:v>
                </c:pt>
                <c:pt idx="48" formatCode="_-* #,##0_-;\-* #,##0_-;_-* &quot;-&quot;??_-;_-@_-">
                  <c:v>10929271.344128788</c:v>
                </c:pt>
                <c:pt idx="49" formatCode="_-* #,##0_-;\-* #,##0_-;_-* &quot;-&quot;??_-;_-@_-">
                  <c:v>10741233.130448937</c:v>
                </c:pt>
                <c:pt idx="50" formatCode="_-* #,##0_-;\-* #,##0_-;_-* &quot;-&quot;??_-;_-@_-">
                  <c:v>10551128.562772602</c:v>
                </c:pt>
                <c:pt idx="51" formatCode="_-* #,##0_-;\-* #,##0_-;_-* &quot;-&quot;??_-;_-@_-">
                  <c:v>10361023.995096281</c:v>
                </c:pt>
                <c:pt idx="52" formatCode="_-* #,##0_-;\-* #,##0_-;_-* &quot;-&quot;??_-;_-@_-">
                  <c:v>10175052.135412902</c:v>
                </c:pt>
                <c:pt idx="53" formatCode="_-* #,##0_-;\-* #,##0_-;_-* &quot;-&quot;??_-;_-@_-">
                  <c:v>9987013.9217330664</c:v>
                </c:pt>
                <c:pt idx="54" formatCode="_-* #,##0_-;\-* #,##0_-;_-* &quot;-&quot;??_-;_-@_-">
                  <c:v>9796909.3540567309</c:v>
                </c:pt>
                <c:pt idx="55" formatCode="_-* #,##0_-;\-* #,##0_-;_-* &quot;-&quot;??_-;_-@_-">
                  <c:v>9606804.7863803953</c:v>
                </c:pt>
              </c:numCache>
            </c:numRef>
          </c:val>
          <c:smooth val="0"/>
          <c:extLst>
            <c:ext xmlns:c16="http://schemas.microsoft.com/office/drawing/2014/chart" uri="{C3380CC4-5D6E-409C-BE32-E72D297353CC}">
              <c16:uniqueId val="{00000001-C7AF-4BD1-A693-5A791DA29CAC}"/>
            </c:ext>
          </c:extLst>
        </c:ser>
        <c:dLbls>
          <c:showLegendKey val="0"/>
          <c:showVal val="0"/>
          <c:showCatName val="0"/>
          <c:showSerName val="0"/>
          <c:showPercent val="0"/>
          <c:showBubbleSize val="0"/>
        </c:dLbls>
        <c:smooth val="0"/>
        <c:axId val="1873232927"/>
        <c:axId val="1873239999"/>
      </c:lineChart>
      <c:dateAx>
        <c:axId val="1873232927"/>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73239999"/>
        <c:crosses val="autoZero"/>
        <c:auto val="1"/>
        <c:lblOffset val="100"/>
        <c:baseTimeUnit val="months"/>
        <c:majorUnit val="12"/>
        <c:majorTimeUnit val="months"/>
      </c:dateAx>
      <c:valAx>
        <c:axId val="1873239999"/>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73232927"/>
        <c:crosses val="autoZero"/>
        <c:crossBetween val="between"/>
        <c:dispUnits>
          <c:builtInUnit val="millions"/>
          <c:dispUnitsLbl>
            <c:layout>
              <c:manualLayout>
                <c:xMode val="edge"/>
                <c:yMode val="edge"/>
                <c:x val="1.0310113279472073E-2"/>
                <c:y val="0.27241768898960644"/>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p90 NZUs (millions)</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461128208600752"/>
          <c:y val="0.23858421470251134"/>
          <c:w val="0.19294560869392921"/>
          <c:h val="0.4647735324754201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tx2"/>
              </a:solidFill>
              <a:round/>
            </a:ln>
            <a:effectLst/>
          </c:spPr>
          <c:marker>
            <c:symbol val="none"/>
          </c:marker>
          <c:cat>
            <c:numRef>
              <c:f>'P90 trends'!$B$5:$B$26</c:f>
              <c:numCache>
                <c:formatCode>m/d/yyyy</c:formatCode>
                <c:ptCount val="22"/>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numCache>
            </c:numRef>
          </c:cat>
          <c:val>
            <c:numRef>
              <c:f>'P90 trends'!$C$5:$C$26</c:f>
              <c:numCache>
                <c:formatCode>_-* #,##0_-;\-* #,##0_-;_-* "-"??_-;_-@_-</c:formatCode>
                <c:ptCount val="22"/>
                <c:pt idx="0">
                  <c:v>32645150</c:v>
                </c:pt>
                <c:pt idx="1">
                  <c:v>31515323</c:v>
                </c:pt>
                <c:pt idx="2">
                  <c:v>30514525</c:v>
                </c:pt>
                <c:pt idx="3">
                  <c:v>29580875</c:v>
                </c:pt>
                <c:pt idx="4">
                  <c:v>28416358</c:v>
                </c:pt>
                <c:pt idx="5">
                  <c:v>25560414</c:v>
                </c:pt>
                <c:pt idx="6">
                  <c:v>24632772</c:v>
                </c:pt>
                <c:pt idx="7">
                  <c:v>23905961</c:v>
                </c:pt>
                <c:pt idx="8">
                  <c:v>22437390</c:v>
                </c:pt>
                <c:pt idx="9">
                  <c:v>21087375</c:v>
                </c:pt>
                <c:pt idx="10">
                  <c:v>19876495</c:v>
                </c:pt>
                <c:pt idx="11">
                  <c:v>20058937</c:v>
                </c:pt>
                <c:pt idx="12">
                  <c:v>19049208</c:v>
                </c:pt>
                <c:pt idx="13">
                  <c:v>17091309</c:v>
                </c:pt>
                <c:pt idx="14">
                  <c:v>16861643</c:v>
                </c:pt>
                <c:pt idx="15">
                  <c:v>16528337</c:v>
                </c:pt>
                <c:pt idx="16">
                  <c:v>16396219</c:v>
                </c:pt>
                <c:pt idx="17">
                  <c:v>16806373</c:v>
                </c:pt>
                <c:pt idx="18">
                  <c:v>16821126</c:v>
                </c:pt>
                <c:pt idx="19">
                  <c:v>16669233</c:v>
                </c:pt>
                <c:pt idx="20">
                  <c:v>16397405</c:v>
                </c:pt>
                <c:pt idx="21">
                  <c:v>16162192</c:v>
                </c:pt>
              </c:numCache>
            </c:numRef>
          </c:val>
          <c:smooth val="0"/>
          <c:extLst>
            <c:ext xmlns:c16="http://schemas.microsoft.com/office/drawing/2014/chart" uri="{C3380CC4-5D6E-409C-BE32-E72D297353CC}">
              <c16:uniqueId val="{00000000-F1D7-46FF-B12F-36D57859ADDE}"/>
            </c:ext>
          </c:extLst>
        </c:ser>
        <c:ser>
          <c:idx val="1"/>
          <c:order val="1"/>
          <c:tx>
            <c:strRef>
              <c:f>'P90 trends'!$D$4</c:f>
              <c:strCache>
                <c:ptCount val="1"/>
                <c:pt idx="0">
                  <c:v>Fast sales path</c:v>
                </c:pt>
              </c:strCache>
            </c:strRef>
          </c:tx>
          <c:spPr>
            <a:ln w="28575" cap="rnd">
              <a:solidFill>
                <a:schemeClr val="accent2"/>
              </a:solidFill>
              <a:round/>
            </a:ln>
            <a:effectLst/>
          </c:spPr>
          <c:marker>
            <c:symbol val="none"/>
          </c:marker>
          <c:cat>
            <c:numRef>
              <c:f>'P90 trends'!$B$5:$B$26</c:f>
              <c:numCache>
                <c:formatCode>m/d/yyyy</c:formatCode>
                <c:ptCount val="22"/>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numCache>
            </c:numRef>
          </c:cat>
          <c:val>
            <c:numRef>
              <c:f>'P90 trends'!$D$5:$D$61</c:f>
              <c:numCache>
                <c:formatCode>General</c:formatCode>
                <c:ptCount val="57"/>
                <c:pt idx="21" formatCode="_-* #,##0_-;\-* #,##0_-;_-* &quot;-&quot;??_-;_-@_-">
                  <c:v>16162192</c:v>
                </c:pt>
                <c:pt idx="22" formatCode="_-* #,##0_-;\-* #,##0_-;_-* &quot;-&quot;??_-;_-@_-">
                  <c:v>15834795.73177667</c:v>
                </c:pt>
                <c:pt idx="23" formatCode="_-* #,##0_-;\-* #,##0_-;_-* &quot;-&quot;??_-;_-@_-">
                  <c:v>15644691.164100349</c:v>
                </c:pt>
                <c:pt idx="24" formatCode="_-* #,##0_-;\-* #,##0_-;_-* &quot;-&quot;??_-;_-@_-">
                  <c:v>15458719.304416984</c:v>
                </c:pt>
                <c:pt idx="25" formatCode="_-* #,##0_-;\-* #,##0_-;_-* &quot;-&quot;??_-;_-@_-">
                  <c:v>15270681.090737134</c:v>
                </c:pt>
                <c:pt idx="26" formatCode="_-* #,##0_-;\-* #,##0_-;_-* &quot;-&quot;??_-;_-@_-">
                  <c:v>15080576.523060799</c:v>
                </c:pt>
                <c:pt idx="27" formatCode="_-* #,##0_-;\-* #,##0_-;_-* &quot;-&quot;??_-;_-@_-">
                  <c:v>14890471.955384478</c:v>
                </c:pt>
                <c:pt idx="28" formatCode="_-* #,##0_-;\-* #,##0_-;_-* &quot;-&quot;??_-;_-@_-">
                  <c:v>14702433.741704628</c:v>
                </c:pt>
                <c:pt idx="29" formatCode="_-* #,##0_-;\-* #,##0_-;_-* &quot;-&quot;??_-;_-@_-">
                  <c:v>14514395.528024778</c:v>
                </c:pt>
                <c:pt idx="30" formatCode="_-* #,##0_-;\-* #,##0_-;_-* &quot;-&quot;??_-;_-@_-">
                  <c:v>14324290.960348442</c:v>
                </c:pt>
                <c:pt idx="31" formatCode="_-* #,##0_-;\-* #,##0_-;_-* &quot;-&quot;??_-;_-@_-">
                  <c:v>14134186.392672122</c:v>
                </c:pt>
                <c:pt idx="32" formatCode="_-* #,##0_-;\-* #,##0_-;_-* &quot;-&quot;??_-;_-@_-">
                  <c:v>13948214.532988757</c:v>
                </c:pt>
                <c:pt idx="33" formatCode="_-* #,##0_-;\-* #,##0_-;_-* &quot;-&quot;??_-;_-@_-">
                  <c:v>13760176.319308907</c:v>
                </c:pt>
                <c:pt idx="34" formatCode="_-* #,##0_-;\-* #,##0_-;_-* &quot;-&quot;??_-;_-@_-">
                  <c:v>13570071.751632571</c:v>
                </c:pt>
                <c:pt idx="35" formatCode="_-* #,##0_-;\-* #,##0_-;_-* &quot;-&quot;??_-;_-@_-">
                  <c:v>13379967.183956251</c:v>
                </c:pt>
                <c:pt idx="36" formatCode="_-* #,##0_-;\-* #,##0_-;_-* &quot;-&quot;??_-;_-@_-">
                  <c:v>13193995.324272886</c:v>
                </c:pt>
                <c:pt idx="37" formatCode="_-* #,##0_-;\-* #,##0_-;_-* &quot;-&quot;??_-;_-@_-">
                  <c:v>13005957.110593036</c:v>
                </c:pt>
                <c:pt idx="38" formatCode="_-* #,##0_-;\-* #,##0_-;_-* &quot;-&quot;??_-;_-@_-">
                  <c:v>12815852.5429167</c:v>
                </c:pt>
                <c:pt idx="39" formatCode="_-* #,##0_-;\-* #,##0_-;_-* &quot;-&quot;??_-;_-@_-">
                  <c:v>12625747.97524038</c:v>
                </c:pt>
                <c:pt idx="40" formatCode="_-* #,##0_-;\-* #,##0_-;_-* &quot;-&quot;??_-;_-@_-">
                  <c:v>12439776.115557015</c:v>
                </c:pt>
                <c:pt idx="41" formatCode="_-* #,##0_-;\-* #,##0_-;_-* &quot;-&quot;??_-;_-@_-">
                  <c:v>12251737.901877165</c:v>
                </c:pt>
                <c:pt idx="42" formatCode="_-* #,##0_-;\-* #,##0_-;_-* &quot;-&quot;??_-;_-@_-">
                  <c:v>12061633.334200829</c:v>
                </c:pt>
                <c:pt idx="43" formatCode="_-* #,##0_-;\-* #,##0_-;_-* &quot;-&quot;??_-;_-@_-">
                  <c:v>11871528.766524509</c:v>
                </c:pt>
                <c:pt idx="44" formatCode="_-* #,##0_-;\-* #,##0_-;_-* &quot;-&quot;??_-;_-@_-">
                  <c:v>11683490.552844658</c:v>
                </c:pt>
                <c:pt idx="45" formatCode="_-* #,##0_-;\-* #,##0_-;_-* &quot;-&quot;??_-;_-@_-">
                  <c:v>11495452.339164808</c:v>
                </c:pt>
                <c:pt idx="46" formatCode="_-* #,##0_-;\-* #,##0_-;_-* &quot;-&quot;??_-;_-@_-">
                  <c:v>11305347.771488473</c:v>
                </c:pt>
                <c:pt idx="47" formatCode="_-* #,##0_-;\-* #,##0_-;_-* &quot;-&quot;??_-;_-@_-">
                  <c:v>11115243.203812152</c:v>
                </c:pt>
                <c:pt idx="48" formatCode="_-* #,##0_-;\-* #,##0_-;_-* &quot;-&quot;??_-;_-@_-">
                  <c:v>10929271.344128788</c:v>
                </c:pt>
                <c:pt idx="49" formatCode="_-* #,##0_-;\-* #,##0_-;_-* &quot;-&quot;??_-;_-@_-">
                  <c:v>10741233.130448937</c:v>
                </c:pt>
                <c:pt idx="50" formatCode="_-* #,##0_-;\-* #,##0_-;_-* &quot;-&quot;??_-;_-@_-">
                  <c:v>10551128.562772602</c:v>
                </c:pt>
                <c:pt idx="51" formatCode="_-* #,##0_-;\-* #,##0_-;_-* &quot;-&quot;??_-;_-@_-">
                  <c:v>10361023.995096281</c:v>
                </c:pt>
                <c:pt idx="52" formatCode="_-* #,##0_-;\-* #,##0_-;_-* &quot;-&quot;??_-;_-@_-">
                  <c:v>10175052.135412902</c:v>
                </c:pt>
                <c:pt idx="53" formatCode="_-* #,##0_-;\-* #,##0_-;_-* &quot;-&quot;??_-;_-@_-">
                  <c:v>9987013.9217330664</c:v>
                </c:pt>
                <c:pt idx="54" formatCode="_-* #,##0_-;\-* #,##0_-;_-* &quot;-&quot;??_-;_-@_-">
                  <c:v>9796909.3540567309</c:v>
                </c:pt>
                <c:pt idx="55" formatCode="_-* #,##0_-;\-* #,##0_-;_-* &quot;-&quot;??_-;_-@_-">
                  <c:v>9606804.7863803953</c:v>
                </c:pt>
                <c:pt idx="56" formatCode="_-* #,##0_-;\-* #,##0_-;_-* &quot;-&quot;??_-;_-@_-">
                  <c:v>9420832.9266970307</c:v>
                </c:pt>
              </c:numCache>
            </c:numRef>
          </c:val>
          <c:smooth val="0"/>
          <c:extLst>
            <c:ext xmlns:c16="http://schemas.microsoft.com/office/drawing/2014/chart" uri="{C3380CC4-5D6E-409C-BE32-E72D297353CC}">
              <c16:uniqueId val="{00000001-F1D7-46FF-B12F-36D57859ADDE}"/>
            </c:ext>
          </c:extLst>
        </c:ser>
        <c:ser>
          <c:idx val="2"/>
          <c:order val="2"/>
          <c:tx>
            <c:strRef>
              <c:f>'P90 trends'!$G$4</c:f>
              <c:strCache>
                <c:ptCount val="1"/>
                <c:pt idx="0">
                  <c:v>Slow sales path</c:v>
                </c:pt>
              </c:strCache>
            </c:strRef>
          </c:tx>
          <c:spPr>
            <a:ln w="28575" cap="rnd">
              <a:solidFill>
                <a:schemeClr val="accent3"/>
              </a:solidFill>
              <a:round/>
            </a:ln>
            <a:effectLst/>
          </c:spPr>
          <c:marker>
            <c:symbol val="none"/>
          </c:marker>
          <c:cat>
            <c:numRef>
              <c:f>'P90 trends'!$B$5:$B$26</c:f>
              <c:numCache>
                <c:formatCode>m/d/yyyy</c:formatCode>
                <c:ptCount val="22"/>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44713</c:v>
                </c:pt>
              </c:numCache>
            </c:numRef>
          </c:cat>
          <c:val>
            <c:numRef>
              <c:f>'P90 trends'!$G$5:$G$61</c:f>
              <c:numCache>
                <c:formatCode>General</c:formatCode>
                <c:ptCount val="57"/>
                <c:pt idx="21" formatCode="_-* #,##0_-;\-* #,##0_-;_-* &quot;-&quot;??_-;_-@_-">
                  <c:v>16162192</c:v>
                </c:pt>
                <c:pt idx="22" formatCode="_-* #,##0_-;\-* #,##0_-;_-* &quot;-&quot;??_-;_-@_-">
                  <c:v>16286480.27300407</c:v>
                </c:pt>
                <c:pt idx="23" formatCode="_-* #,##0_-;\-* #,##0_-;_-* &quot;-&quot;??_-;_-@_-">
                  <c:v>16214011.18964415</c:v>
                </c:pt>
                <c:pt idx="24" formatCode="_-* #,##0_-;\-* #,##0_-;_-* &quot;-&quot;??_-;_-@_-">
                  <c:v>16143117.52113989</c:v>
                </c:pt>
                <c:pt idx="25" formatCode="_-* #,##0_-;\-* #,##0_-;_-* &quot;-&quot;??_-;_-@_-">
                  <c:v>16071436.1452078</c:v>
                </c:pt>
                <c:pt idx="26" formatCode="_-* #,##0_-;\-* #,##0_-;_-* &quot;-&quot;??_-;_-@_-">
                  <c:v>15998967.06184788</c:v>
                </c:pt>
                <c:pt idx="27" formatCode="_-* #,##0_-;\-* #,##0_-;_-* &quot;-&quot;??_-;_-@_-">
                  <c:v>15926497.978487968</c:v>
                </c:pt>
                <c:pt idx="28" formatCode="_-* #,##0_-;\-* #,##0_-;_-* &quot;-&quot;??_-;_-@_-">
                  <c:v>15854816.602555878</c:v>
                </c:pt>
                <c:pt idx="29" formatCode="_-* #,##0_-;\-* #,##0_-;_-* &quot;-&quot;??_-;_-@_-">
                  <c:v>15783135.226623788</c:v>
                </c:pt>
                <c:pt idx="30" formatCode="_-* #,##0_-;\-* #,##0_-;_-* &quot;-&quot;??_-;_-@_-">
                  <c:v>15710666.143263869</c:v>
                </c:pt>
                <c:pt idx="31" formatCode="_-* #,##0_-;\-* #,##0_-;_-* &quot;-&quot;??_-;_-@_-">
                  <c:v>15638197.059903957</c:v>
                </c:pt>
                <c:pt idx="32" formatCode="_-* #,##0_-;\-* #,##0_-;_-* &quot;-&quot;??_-;_-@_-">
                  <c:v>15567303.391399689</c:v>
                </c:pt>
                <c:pt idx="33" formatCode="_-* #,##0_-;\-* #,##0_-;_-* &quot;-&quot;??_-;_-@_-">
                  <c:v>15495622.015467599</c:v>
                </c:pt>
                <c:pt idx="34" formatCode="_-* #,##0_-;\-* #,##0_-;_-* &quot;-&quot;??_-;_-@_-">
                  <c:v>15423152.932107687</c:v>
                </c:pt>
                <c:pt idx="35" formatCode="_-* #,##0_-;\-* #,##0_-;_-* &quot;-&quot;??_-;_-@_-">
                  <c:v>15350683.848747768</c:v>
                </c:pt>
                <c:pt idx="36" formatCode="_-* #,##0_-;\-* #,##0_-;_-* &quot;-&quot;??_-;_-@_-">
                  <c:v>15279790.180243507</c:v>
                </c:pt>
                <c:pt idx="37" formatCode="_-* #,##0_-;\-* #,##0_-;_-* &quot;-&quot;??_-;_-@_-">
                  <c:v>15208108.804311417</c:v>
                </c:pt>
                <c:pt idx="38" formatCode="_-* #,##0_-;\-* #,##0_-;_-* &quot;-&quot;??_-;_-@_-">
                  <c:v>15135639.720951498</c:v>
                </c:pt>
                <c:pt idx="39" formatCode="_-* #,##0_-;\-* #,##0_-;_-* &quot;-&quot;??_-;_-@_-">
                  <c:v>15063170.637591586</c:v>
                </c:pt>
                <c:pt idx="40" formatCode="_-* #,##0_-;\-* #,##0_-;_-* &quot;-&quot;??_-;_-@_-">
                  <c:v>14992276.969087318</c:v>
                </c:pt>
                <c:pt idx="41" formatCode="_-* #,##0_-;\-* #,##0_-;_-* &quot;-&quot;??_-;_-@_-">
                  <c:v>14920595.593155228</c:v>
                </c:pt>
                <c:pt idx="42" formatCode="_-* #,##0_-;\-* #,##0_-;_-* &quot;-&quot;??_-;_-@_-">
                  <c:v>14848126.509795316</c:v>
                </c:pt>
                <c:pt idx="43" formatCode="_-* #,##0_-;\-* #,##0_-;_-* &quot;-&quot;??_-;_-@_-">
                  <c:v>14775657.426435396</c:v>
                </c:pt>
                <c:pt idx="44" formatCode="_-* #,##0_-;\-* #,##0_-;_-* &quot;-&quot;??_-;_-@_-">
                  <c:v>14703976.050503306</c:v>
                </c:pt>
                <c:pt idx="45" formatCode="_-* #,##0_-;\-* #,##0_-;_-* &quot;-&quot;??_-;_-@_-">
                  <c:v>14632294.674571216</c:v>
                </c:pt>
                <c:pt idx="46" formatCode="_-* #,##0_-;\-* #,##0_-;_-* &quot;-&quot;??_-;_-@_-">
                  <c:v>14559825.591211304</c:v>
                </c:pt>
                <c:pt idx="47" formatCode="_-* #,##0_-;\-* #,##0_-;_-* &quot;-&quot;??_-;_-@_-">
                  <c:v>14487356.507851385</c:v>
                </c:pt>
                <c:pt idx="48" formatCode="_-* #,##0_-;\-* #,##0_-;_-* &quot;-&quot;??_-;_-@_-">
                  <c:v>14416462.839347124</c:v>
                </c:pt>
                <c:pt idx="49" formatCode="_-* #,##0_-;\-* #,##0_-;_-* &quot;-&quot;??_-;_-@_-">
                  <c:v>14344781.463415034</c:v>
                </c:pt>
                <c:pt idx="50" formatCode="_-* #,##0_-;\-* #,##0_-;_-* &quot;-&quot;??_-;_-@_-">
                  <c:v>14272312.380055115</c:v>
                </c:pt>
                <c:pt idx="51" formatCode="_-* #,##0_-;\-* #,##0_-;_-* &quot;-&quot;??_-;_-@_-">
                  <c:v>14199843.296695203</c:v>
                </c:pt>
                <c:pt idx="52" formatCode="_-* #,##0_-;\-* #,##0_-;_-* &quot;-&quot;??_-;_-@_-">
                  <c:v>14128949.628190935</c:v>
                </c:pt>
                <c:pt idx="53" formatCode="_-* #,##0_-;\-* #,##0_-;_-* &quot;-&quot;??_-;_-@_-">
                  <c:v>14057268.252258845</c:v>
                </c:pt>
                <c:pt idx="54" formatCode="_-* #,##0_-;\-* #,##0_-;_-* &quot;-&quot;??_-;_-@_-">
                  <c:v>13984799.168898933</c:v>
                </c:pt>
                <c:pt idx="55" formatCode="_-* #,##0_-;\-* #,##0_-;_-* &quot;-&quot;??_-;_-@_-">
                  <c:v>13912330.085539013</c:v>
                </c:pt>
                <c:pt idx="56" formatCode="_-* #,##0_-;\-* #,##0_-;_-* &quot;-&quot;??_-;_-@_-">
                  <c:v>13841436.417034753</c:v>
                </c:pt>
              </c:numCache>
            </c:numRef>
          </c:val>
          <c:smooth val="0"/>
          <c:extLst>
            <c:ext xmlns:c16="http://schemas.microsoft.com/office/drawing/2014/chart" uri="{C3380CC4-5D6E-409C-BE32-E72D297353CC}">
              <c16:uniqueId val="{00000002-F1D7-46FF-B12F-36D57859ADDE}"/>
            </c:ext>
          </c:extLst>
        </c:ser>
        <c:dLbls>
          <c:showLegendKey val="0"/>
          <c:showVal val="0"/>
          <c:showCatName val="0"/>
          <c:showSerName val="0"/>
          <c:showPercent val="0"/>
          <c:showBubbleSize val="0"/>
        </c:dLbls>
        <c:smooth val="0"/>
        <c:axId val="1873232927"/>
        <c:axId val="1873239999"/>
      </c:lineChart>
      <c:dateAx>
        <c:axId val="1873232927"/>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73239999"/>
        <c:crosses val="autoZero"/>
        <c:auto val="1"/>
        <c:lblOffset val="100"/>
        <c:baseTimeUnit val="months"/>
        <c:majorUnit val="6"/>
        <c:majorTimeUnit val="months"/>
      </c:dateAx>
      <c:valAx>
        <c:axId val="1873239999"/>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_-* #,##0_-;\-* #,##0_-;_-* &quot;-&quot;??_-;_-@_-" sourceLinked="1"/>
        <c:majorTickMark val="none"/>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73232927"/>
        <c:crosses val="autoZero"/>
        <c:crossBetween val="between"/>
        <c:dispUnits>
          <c:builtInUnit val="millions"/>
          <c:dispUnitsLbl>
            <c:layout>
              <c:manualLayout>
                <c:xMode val="edge"/>
                <c:yMode val="edge"/>
                <c:x val="2.9906542056074768E-2"/>
                <c:y val="0.29099307159353349"/>
              </c:manualLayout>
            </c:layout>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P90 NZUs (m)</a:t>
                  </a:r>
                </a:p>
              </c:rich>
            </c:tx>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4938515978898"/>
          <c:y val="4.8747244664060996E-2"/>
          <c:w val="0.638725350830746"/>
          <c:h val="0.84844806150318075"/>
        </c:manualLayout>
      </c:layout>
      <c:barChart>
        <c:barDir val="col"/>
        <c:grouping val="stacked"/>
        <c:varyColors val="0"/>
        <c:ser>
          <c:idx val="2"/>
          <c:order val="1"/>
          <c:tx>
            <c:v>Step 3: Technical adjustments</c:v>
          </c:tx>
          <c:spPr>
            <a:solidFill>
              <a:schemeClr val="accent4"/>
            </a:solidFill>
            <a:ln>
              <a:noFill/>
            </a:ln>
            <a:effectLst/>
          </c:spPr>
          <c:invertIfNegative val="0"/>
          <c:cat>
            <c:numLit>
              <c:formatCode>General</c:formatCode>
              <c:ptCount val="5"/>
              <c:pt idx="0">
                <c:v>2023</c:v>
              </c:pt>
              <c:pt idx="1">
                <c:v>2024</c:v>
              </c:pt>
              <c:pt idx="2">
                <c:v>2025</c:v>
              </c:pt>
              <c:pt idx="3">
                <c:v>2026</c:v>
              </c:pt>
              <c:pt idx="4">
                <c:v>2027</c:v>
              </c:pt>
            </c:numLit>
          </c:cat>
          <c:val>
            <c:numRef>
              <c:f>'7. Auction volume'!$C$10:$G$10</c:f>
              <c:numCache>
                <c:formatCode>_-* #,##0_-;\-* #,##0_-;_-* "-"??_-;_-@_-</c:formatCode>
                <c:ptCount val="5"/>
                <c:pt idx="0">
                  <c:v>1569.0712018796003</c:v>
                </c:pt>
                <c:pt idx="1">
                  <c:v>1447.5289570040159</c:v>
                </c:pt>
                <c:pt idx="2">
                  <c:v>1339.3906067614523</c:v>
                </c:pt>
                <c:pt idx="3">
                  <c:v>1322.7029580940389</c:v>
                </c:pt>
                <c:pt idx="4">
                  <c:v>1298.4933405965164</c:v>
                </c:pt>
              </c:numCache>
            </c:numRef>
          </c:val>
          <c:extLst>
            <c:ext xmlns:c16="http://schemas.microsoft.com/office/drawing/2014/chart" uri="{C3380CC4-5D6E-409C-BE32-E72D297353CC}">
              <c16:uniqueId val="{00000000-F691-4801-A16A-72AB5AAD4322}"/>
            </c:ext>
          </c:extLst>
        </c:ser>
        <c:ser>
          <c:idx val="3"/>
          <c:order val="2"/>
          <c:tx>
            <c:v>Step 4: Free allocation</c:v>
          </c:tx>
          <c:spPr>
            <a:solidFill>
              <a:schemeClr val="accent3"/>
            </a:solidFill>
            <a:ln>
              <a:noFill/>
            </a:ln>
            <a:effectLst/>
          </c:spPr>
          <c:invertIfNegative val="0"/>
          <c:cat>
            <c:numLit>
              <c:formatCode>General</c:formatCode>
              <c:ptCount val="5"/>
              <c:pt idx="0">
                <c:v>2023</c:v>
              </c:pt>
              <c:pt idx="1">
                <c:v>2024</c:v>
              </c:pt>
              <c:pt idx="2">
                <c:v>2025</c:v>
              </c:pt>
              <c:pt idx="3">
                <c:v>2026</c:v>
              </c:pt>
              <c:pt idx="4">
                <c:v>2027</c:v>
              </c:pt>
            </c:numLit>
          </c:cat>
          <c:val>
            <c:numRef>
              <c:f>'7. Auction volume'!$C$12:$G$12</c:f>
              <c:numCache>
                <c:formatCode>_-* #,##0_-;\-* #,##0_-;_-* "-"??_-;_-@_-</c:formatCode>
                <c:ptCount val="5"/>
                <c:pt idx="0">
                  <c:v>6412.0339626666673</c:v>
                </c:pt>
                <c:pt idx="1">
                  <c:v>6324.5294102222215</c:v>
                </c:pt>
                <c:pt idx="2">
                  <c:v>6259.1504577777787</c:v>
                </c:pt>
                <c:pt idx="3">
                  <c:v>6172.0410053333335</c:v>
                </c:pt>
                <c:pt idx="4">
                  <c:v>6106.2669528888873</c:v>
                </c:pt>
              </c:numCache>
            </c:numRef>
          </c:val>
          <c:extLst>
            <c:ext xmlns:c16="http://schemas.microsoft.com/office/drawing/2014/chart" uri="{C3380CC4-5D6E-409C-BE32-E72D297353CC}">
              <c16:uniqueId val="{00000001-F691-4801-A16A-72AB5AAD4322}"/>
            </c:ext>
          </c:extLst>
        </c:ser>
        <c:ser>
          <c:idx val="4"/>
          <c:order val="3"/>
          <c:tx>
            <c:v>Step 5: Surplus reduction</c:v>
          </c:tx>
          <c:spPr>
            <a:solidFill>
              <a:schemeClr val="accent6"/>
            </a:solidFill>
            <a:ln>
              <a:noFill/>
            </a:ln>
            <a:effectLst/>
          </c:spPr>
          <c:invertIfNegative val="0"/>
          <c:cat>
            <c:numLit>
              <c:formatCode>General</c:formatCode>
              <c:ptCount val="5"/>
              <c:pt idx="0">
                <c:v>2023</c:v>
              </c:pt>
              <c:pt idx="1">
                <c:v>2024</c:v>
              </c:pt>
              <c:pt idx="2">
                <c:v>2025</c:v>
              </c:pt>
              <c:pt idx="3">
                <c:v>2026</c:v>
              </c:pt>
              <c:pt idx="4">
                <c:v>2027</c:v>
              </c:pt>
            </c:numLit>
          </c:cat>
          <c:val>
            <c:numRef>
              <c:f>'7. Auction volume'!$C$14:$G$14</c:f>
              <c:numCache>
                <c:formatCode>_-* #,##0_-;\-* #,##0_-;_-* "-"??_-;_-@_-</c:formatCode>
                <c:ptCount val="5"/>
                <c:pt idx="0">
                  <c:v>8025.760968351784</c:v>
                </c:pt>
                <c:pt idx="1">
                  <c:v>7715.7069095907227</c:v>
                </c:pt>
                <c:pt idx="2">
                  <c:v>7125.4100940036687</c:v>
                </c:pt>
                <c:pt idx="3">
                  <c:v>6498.6466310875094</c:v>
                </c:pt>
                <c:pt idx="4">
                  <c:v>5880.8539633057308</c:v>
                </c:pt>
              </c:numCache>
            </c:numRef>
          </c:val>
          <c:extLst>
            <c:ext xmlns:c16="http://schemas.microsoft.com/office/drawing/2014/chart" uri="{C3380CC4-5D6E-409C-BE32-E72D297353CC}">
              <c16:uniqueId val="{00000002-F691-4801-A16A-72AB5AAD4322}"/>
            </c:ext>
          </c:extLst>
        </c:ser>
        <c:ser>
          <c:idx val="1"/>
          <c:order val="4"/>
          <c:tx>
            <c:v>Step 7: NZU auction volumes</c:v>
          </c:tx>
          <c:spPr>
            <a:solidFill>
              <a:schemeClr val="accent1"/>
            </a:solidFill>
            <a:ln>
              <a:noFill/>
            </a:ln>
            <a:effectLst/>
          </c:spPr>
          <c:invertIfNegative val="0"/>
          <c:val>
            <c:numRef>
              <c:f>'7. Auction volume'!$C$18:$G$18</c:f>
              <c:numCache>
                <c:formatCode>_-* #,##0_-;\-* #,##0_-;_-* "-"??_-;_-@_-</c:formatCode>
                <c:ptCount val="5"/>
                <c:pt idx="0">
                  <c:v>16318.761039197037</c:v>
                </c:pt>
                <c:pt idx="1">
                  <c:v>15589.04674289224</c:v>
                </c:pt>
                <c:pt idx="2">
                  <c:v>13975.302539059834</c:v>
                </c:pt>
                <c:pt idx="3">
                  <c:v>12181.426840007885</c:v>
                </c:pt>
                <c:pt idx="4">
                  <c:v>10400.89888769382</c:v>
                </c:pt>
              </c:numCache>
            </c:numRef>
          </c:val>
          <c:extLst>
            <c:ext xmlns:c16="http://schemas.microsoft.com/office/drawing/2014/chart" uri="{C3380CC4-5D6E-409C-BE32-E72D297353CC}">
              <c16:uniqueId val="{00000003-F691-4801-A16A-72AB5AAD4322}"/>
            </c:ext>
          </c:extLst>
        </c:ser>
        <c:dLbls>
          <c:showLegendKey val="0"/>
          <c:showVal val="0"/>
          <c:showCatName val="0"/>
          <c:showSerName val="0"/>
          <c:showPercent val="0"/>
          <c:showBubbleSize val="0"/>
        </c:dLbls>
        <c:gapWidth val="75"/>
        <c:overlap val="100"/>
        <c:axId val="523934367"/>
        <c:axId val="523955583"/>
      </c:barChart>
      <c:lineChart>
        <c:grouping val="standard"/>
        <c:varyColors val="0"/>
        <c:ser>
          <c:idx val="0"/>
          <c:order val="0"/>
          <c:tx>
            <c:v>Step 2: NZ ETS cap</c:v>
          </c:tx>
          <c:spPr>
            <a:ln w="28575" cap="rnd">
              <a:solidFill>
                <a:schemeClr val="tx1"/>
              </a:solidFill>
              <a:prstDash val="dash"/>
              <a:round/>
            </a:ln>
            <a:effectLst/>
          </c:spPr>
          <c:marker>
            <c:symbol val="none"/>
          </c:marker>
          <c:cat>
            <c:numLit>
              <c:formatCode>General</c:formatCode>
              <c:ptCount val="5"/>
              <c:pt idx="0">
                <c:v>2023</c:v>
              </c:pt>
              <c:pt idx="1">
                <c:v>2024</c:v>
              </c:pt>
              <c:pt idx="2">
                <c:v>2025</c:v>
              </c:pt>
              <c:pt idx="3">
                <c:v>2026</c:v>
              </c:pt>
              <c:pt idx="4">
                <c:v>2027</c:v>
              </c:pt>
            </c:numLit>
          </c:cat>
          <c:val>
            <c:numRef>
              <c:f>'7. Auction volume'!$C$8:$G$8</c:f>
              <c:numCache>
                <c:formatCode>_-* #,##0_-;\-* #,##0_-;_-* "-"??_-;_-@_-</c:formatCode>
                <c:ptCount val="5"/>
                <c:pt idx="0">
                  <c:v>32325.62717209509</c:v>
                </c:pt>
                <c:pt idx="1">
                  <c:v>31076.812019709199</c:v>
                </c:pt>
                <c:pt idx="2">
                  <c:v>28699.253697602733</c:v>
                </c:pt>
                <c:pt idx="3">
                  <c:v>26174.817434522767</c:v>
                </c:pt>
                <c:pt idx="4">
                  <c:v>23686.513144484954</c:v>
                </c:pt>
              </c:numCache>
            </c:numRef>
          </c:val>
          <c:smooth val="0"/>
          <c:extLst>
            <c:ext xmlns:c16="http://schemas.microsoft.com/office/drawing/2014/chart" uri="{C3380CC4-5D6E-409C-BE32-E72D297353CC}">
              <c16:uniqueId val="{00000004-F691-4801-A16A-72AB5AAD4322}"/>
            </c:ext>
          </c:extLst>
        </c:ser>
        <c:dLbls>
          <c:showLegendKey val="0"/>
          <c:showVal val="0"/>
          <c:showCatName val="0"/>
          <c:showSerName val="0"/>
          <c:showPercent val="0"/>
          <c:showBubbleSize val="0"/>
        </c:dLbls>
        <c:marker val="1"/>
        <c:smooth val="0"/>
        <c:axId val="523934367"/>
        <c:axId val="523955583"/>
      </c:lineChart>
      <c:catAx>
        <c:axId val="52393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3955583"/>
        <c:crosses val="autoZero"/>
        <c:auto val="1"/>
        <c:lblAlgn val="ctr"/>
        <c:lblOffset val="100"/>
        <c:noMultiLvlLbl val="0"/>
      </c:catAx>
      <c:valAx>
        <c:axId val="523955583"/>
        <c:scaling>
          <c:orientation val="minMax"/>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NZUs (million)</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3934367"/>
        <c:crosses val="autoZero"/>
        <c:crossBetween val="between"/>
        <c:dispUnits>
          <c:builtInUnit val="thousands"/>
        </c:dispUnits>
      </c:valAx>
      <c:spPr>
        <a:noFill/>
        <a:ln>
          <a:noFill/>
        </a:ln>
        <a:effectLst/>
      </c:spPr>
    </c:plotArea>
    <c:legend>
      <c:legendPos val="r"/>
      <c:layout>
        <c:manualLayout>
          <c:xMode val="edge"/>
          <c:yMode val="edge"/>
          <c:x val="0.75860334463737322"/>
          <c:y val="0.19255719950045413"/>
          <c:w val="0.24139665536262686"/>
          <c:h val="0.6087892294062082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'Sensitivity analysis'!$C$94</c:f>
              <c:strCache>
                <c:ptCount val="1"/>
                <c:pt idx="0">
                  <c:v>Outside NZ ETS demonstration path (recommended)</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'Sensitivity analysis'!$D$1:$K$1</c15:sqref>
                  </c15:fullRef>
                </c:ext>
              </c:extLst>
              <c:f>'Sensitivity analysis'!$D$1:$H$1</c:f>
              <c:numCache>
                <c:formatCode>General</c:formatCode>
                <c:ptCount val="5"/>
                <c:pt idx="0">
                  <c:v>2023</c:v>
                </c:pt>
                <c:pt idx="1">
                  <c:v>2024</c:v>
                </c:pt>
                <c:pt idx="2">
                  <c:v>2025</c:v>
                </c:pt>
                <c:pt idx="3">
                  <c:v>2026</c:v>
                </c:pt>
                <c:pt idx="4">
                  <c:v>2027</c:v>
                </c:pt>
              </c:numCache>
            </c:numRef>
          </c:cat>
          <c:val>
            <c:numRef>
              <c:extLst>
                <c:ext xmlns:c15="http://schemas.microsoft.com/office/drawing/2012/chart" uri="{02D57815-91ED-43cb-92C2-25804820EDAC}">
                  <c15:fullRef>
                    <c15:sqref>'Sensitivity analysis'!$D$94:$K$94</c15:sqref>
                  </c15:fullRef>
                </c:ext>
              </c:extLst>
              <c:f>'Sensitivity analysis'!$D$94:$H$94</c:f>
              <c:numCache>
                <c:formatCode>_-* #,##0_-;\-* #,##0_-;_-* "-"??_-;_-@_-</c:formatCode>
                <c:ptCount val="5"/>
                <c:pt idx="0">
                  <c:v>16318.761039197037</c:v>
                </c:pt>
                <c:pt idx="1">
                  <c:v>15589.04674289224</c:v>
                </c:pt>
                <c:pt idx="2">
                  <c:v>13975.302539059834</c:v>
                </c:pt>
                <c:pt idx="3">
                  <c:v>12181.426840007885</c:v>
                </c:pt>
                <c:pt idx="4">
                  <c:v>10400.89888769382</c:v>
                </c:pt>
              </c:numCache>
            </c:numRef>
          </c:val>
          <c:smooth val="0"/>
          <c:extLst>
            <c:ext xmlns:c16="http://schemas.microsoft.com/office/drawing/2014/chart" uri="{C3380CC4-5D6E-409C-BE32-E72D297353CC}">
              <c16:uniqueId val="{00000000-8CD7-471C-86D0-3E8F497E248D}"/>
            </c:ext>
          </c:extLst>
        </c:ser>
        <c:ser>
          <c:idx val="1"/>
          <c:order val="1"/>
          <c:tx>
            <c:strRef>
              <c:f>'Sensitivity analysis'!$C$95</c:f>
              <c:strCache>
                <c:ptCount val="1"/>
                <c:pt idx="0">
                  <c:v>Outside NZ ETS CPR</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'Sensitivity analysis'!$D$1:$K$1</c15:sqref>
                  </c15:fullRef>
                </c:ext>
              </c:extLst>
              <c:f>'Sensitivity analysis'!$D$1:$H$1</c:f>
              <c:numCache>
                <c:formatCode>General</c:formatCode>
                <c:ptCount val="5"/>
                <c:pt idx="0">
                  <c:v>2023</c:v>
                </c:pt>
                <c:pt idx="1">
                  <c:v>2024</c:v>
                </c:pt>
                <c:pt idx="2">
                  <c:v>2025</c:v>
                </c:pt>
                <c:pt idx="3">
                  <c:v>2026</c:v>
                </c:pt>
                <c:pt idx="4">
                  <c:v>2027</c:v>
                </c:pt>
              </c:numCache>
            </c:numRef>
          </c:cat>
          <c:val>
            <c:numRef>
              <c:extLst>
                <c:ext xmlns:c15="http://schemas.microsoft.com/office/drawing/2012/chart" uri="{02D57815-91ED-43cb-92C2-25804820EDAC}">
                  <c15:fullRef>
                    <c15:sqref>'Sensitivity analysis'!$D$95:$K$95</c15:sqref>
                  </c15:fullRef>
                </c:ext>
              </c:extLst>
              <c:f>'Sensitivity analysis'!$D$95:$H$95</c:f>
              <c:numCache>
                <c:formatCode>_-* #,##0_-;\-* #,##0_-;_-* "-"??_-;_-@_-</c:formatCode>
                <c:ptCount val="5"/>
                <c:pt idx="0">
                  <c:v>15615.937142788476</c:v>
                </c:pt>
                <c:pt idx="1">
                  <c:v>14661.395447979781</c:v>
                </c:pt>
                <c:pt idx="2">
                  <c:v>12813.63242674373</c:v>
                </c:pt>
                <c:pt idx="3">
                  <c:v>10069.635827857963</c:v>
                </c:pt>
                <c:pt idx="4">
                  <c:v>7938.3665512968828</c:v>
                </c:pt>
              </c:numCache>
            </c:numRef>
          </c:val>
          <c:smooth val="0"/>
          <c:extLst>
            <c:ext xmlns:c16="http://schemas.microsoft.com/office/drawing/2014/chart" uri="{C3380CC4-5D6E-409C-BE32-E72D297353CC}">
              <c16:uniqueId val="{00000001-8CD7-471C-86D0-3E8F497E248D}"/>
            </c:ext>
          </c:extLst>
        </c:ser>
        <c:dLbls>
          <c:showLegendKey val="0"/>
          <c:showVal val="0"/>
          <c:showCatName val="0"/>
          <c:showSerName val="0"/>
          <c:showPercent val="0"/>
          <c:showBubbleSize val="0"/>
        </c:dLbls>
        <c:smooth val="0"/>
        <c:axId val="741426335"/>
        <c:axId val="741426751"/>
      </c:lineChart>
      <c:catAx>
        <c:axId val="74142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426751"/>
        <c:crosses val="autoZero"/>
        <c:auto val="1"/>
        <c:lblAlgn val="ctr"/>
        <c:lblOffset val="100"/>
        <c:noMultiLvlLbl val="0"/>
      </c:catAx>
      <c:valAx>
        <c:axId val="7414267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426335"/>
        <c:crosses val="autoZero"/>
        <c:crossBetween val="between"/>
        <c:dispUnits>
          <c:builtInUnit val="thousands"/>
          <c:dispUnitsLbl>
            <c:layout>
              <c:manualLayout>
                <c:xMode val="edge"/>
                <c:yMode val="edge"/>
                <c:x val="2.3910414842505626E-2"/>
                <c:y val="0.35763759122732158"/>
              </c:manualLayout>
            </c:layout>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NZUs (m)</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'Sensitivity analysis'!$C$97</c:f>
              <c:strCache>
                <c:ptCount val="1"/>
                <c:pt idx="0">
                  <c:v>Low</c:v>
                </c:pt>
              </c:strCache>
            </c:strRef>
          </c:tx>
          <c:spPr>
            <a:noFill/>
            <a:ln>
              <a:noFill/>
            </a:ln>
            <a:effectLst/>
          </c:spPr>
          <c:invertIfNegative val="0"/>
          <c:cat>
            <c:numLit>
              <c:formatCode>General</c:formatCode>
              <c:ptCount val="5"/>
              <c:pt idx="0">
                <c:v>2023</c:v>
              </c:pt>
              <c:pt idx="1">
                <c:v>2024</c:v>
              </c:pt>
              <c:pt idx="2">
                <c:v>2025</c:v>
              </c:pt>
              <c:pt idx="3">
                <c:v>2026</c:v>
              </c:pt>
              <c:pt idx="4">
                <c:v>2027</c:v>
              </c:pt>
            </c:numLit>
          </c:cat>
          <c:val>
            <c:numRef>
              <c:f>'Sensitivity analysis'!$D$97:$H$97</c:f>
              <c:numCache>
                <c:formatCode>_-* #,##0_-;\-* #,##0_-;_-* "-"??_-;_-@_-</c:formatCode>
                <c:ptCount val="5"/>
                <c:pt idx="0">
                  <c:v>13495.15829797311</c:v>
                </c:pt>
                <c:pt idx="1">
                  <c:v>12874.526429328145</c:v>
                </c:pt>
                <c:pt idx="2">
                  <c:v>11468.458944650467</c:v>
                </c:pt>
                <c:pt idx="3">
                  <c:v>9895.0895675495067</c:v>
                </c:pt>
                <c:pt idx="4">
                  <c:v>8331.9118549367504</c:v>
                </c:pt>
              </c:numCache>
              <c:extLst/>
            </c:numRef>
          </c:val>
          <c:extLst>
            <c:ext xmlns:c16="http://schemas.microsoft.com/office/drawing/2014/chart" uri="{C3380CC4-5D6E-409C-BE32-E72D297353CC}">
              <c16:uniqueId val="{00000000-D40F-48C3-B755-3AFE4F04165D}"/>
            </c:ext>
          </c:extLst>
        </c:ser>
        <c:ser>
          <c:idx val="1"/>
          <c:order val="1"/>
          <c:tx>
            <c:strRef>
              <c:f>'Sensitivity analysis'!$C$98</c:f>
              <c:strCache>
                <c:ptCount val="1"/>
                <c:pt idx="0">
                  <c:v>Potential auction range surplus size</c:v>
                </c:pt>
              </c:strCache>
            </c:strRef>
          </c:tx>
          <c:spPr>
            <a:pattFill prst="wdUpDiag">
              <a:fgClr>
                <a:schemeClr val="accent6"/>
              </a:fgClr>
              <a:bgClr>
                <a:schemeClr val="bg1"/>
              </a:bgClr>
            </a:pattFill>
            <a:ln>
              <a:noFill/>
            </a:ln>
            <a:effectLst/>
          </c:spPr>
          <c:invertIfNegative val="0"/>
          <c:cat>
            <c:numLit>
              <c:formatCode>General</c:formatCode>
              <c:ptCount val="5"/>
              <c:pt idx="0">
                <c:v>2023</c:v>
              </c:pt>
              <c:pt idx="1">
                <c:v>2024</c:v>
              </c:pt>
              <c:pt idx="2">
                <c:v>2025</c:v>
              </c:pt>
              <c:pt idx="3">
                <c:v>2026</c:v>
              </c:pt>
              <c:pt idx="4">
                <c:v>2027</c:v>
              </c:pt>
            </c:numLit>
          </c:cat>
          <c:val>
            <c:numRef>
              <c:f>'Sensitivity analysis'!$D$98:$H$98</c:f>
              <c:numCache>
                <c:formatCode>_-* #,##0_-;\-* #,##0_-;_-* "-"??_-;_-@_-</c:formatCode>
                <c:ptCount val="5"/>
                <c:pt idx="0">
                  <c:v>5414.2936302312883</c:v>
                </c:pt>
                <c:pt idx="1">
                  <c:v>5205.1267086151183</c:v>
                </c:pt>
                <c:pt idx="2">
                  <c:v>4806.9039978738128</c:v>
                </c:pt>
                <c:pt idx="3">
                  <c:v>4384.0803630421397</c:v>
                </c:pt>
                <c:pt idx="4">
                  <c:v>3967.308555463449</c:v>
                </c:pt>
              </c:numCache>
              <c:extLst/>
            </c:numRef>
          </c:val>
          <c:extLst>
            <c:ext xmlns:c16="http://schemas.microsoft.com/office/drawing/2014/chart" uri="{C3380CC4-5D6E-409C-BE32-E72D297353CC}">
              <c16:uniqueId val="{00000006-D40F-48C3-B755-3AFE4F04165D}"/>
            </c:ext>
          </c:extLst>
        </c:ser>
        <c:dLbls>
          <c:showLegendKey val="0"/>
          <c:showVal val="0"/>
          <c:showCatName val="0"/>
          <c:showSerName val="0"/>
          <c:showPercent val="0"/>
          <c:showBubbleSize val="0"/>
        </c:dLbls>
        <c:gapWidth val="150"/>
        <c:overlap val="100"/>
        <c:axId val="572950255"/>
        <c:axId val="572957743"/>
      </c:barChart>
      <c:lineChart>
        <c:grouping val="standard"/>
        <c:varyColors val="0"/>
        <c:ser>
          <c:idx val="2"/>
          <c:order val="2"/>
          <c:tx>
            <c:strRef>
              <c:f>'Sensitivity analysis'!$C$99</c:f>
              <c:strCache>
                <c:ptCount val="1"/>
                <c:pt idx="0">
                  <c:v>Recommended auction volume (moderate surplus)</c:v>
                </c:pt>
              </c:strCache>
            </c:strRef>
          </c:tx>
          <c:spPr>
            <a:ln w="28575" cap="rnd">
              <a:solidFill>
                <a:schemeClr val="tx2"/>
              </a:solidFill>
              <a:round/>
            </a:ln>
            <a:effectLst/>
          </c:spPr>
          <c:marker>
            <c:symbol val="none"/>
          </c:marker>
          <c:cat>
            <c:strLit>
              <c:ptCount val="5"/>
              <c:pt idx="0">
                <c:v>2023</c:v>
              </c:pt>
              <c:pt idx="1">
                <c:v>2024</c:v>
              </c:pt>
              <c:pt idx="2">
                <c:v>2025</c:v>
              </c:pt>
              <c:pt idx="3">
                <c:v>2026</c:v>
              </c:pt>
              <c:pt idx="4">
                <c:v>2027</c:v>
              </c:pt>
              <c:extLst>
                <c:ext xmlns:c15="http://schemas.microsoft.com/office/drawing/2012/chart" uri="{02D57815-91ED-43cb-92C2-25804820EDAC}">
                  <c15:autoCat val="1"/>
                </c:ext>
              </c:extLst>
            </c:strLit>
          </c:cat>
          <c:val>
            <c:numRef>
              <c:f>'Sensitivity analysis'!$D$99:$H$99</c:f>
              <c:numCache>
                <c:formatCode>_-* #,##0_-;\-* #,##0_-;_-* "-"??_-;_-@_-</c:formatCode>
                <c:ptCount val="5"/>
                <c:pt idx="0">
                  <c:v>16318.761039197037</c:v>
                </c:pt>
                <c:pt idx="1">
                  <c:v>15589.04674289224</c:v>
                </c:pt>
                <c:pt idx="2">
                  <c:v>13975.302539059834</c:v>
                </c:pt>
                <c:pt idx="3">
                  <c:v>12181.426840007885</c:v>
                </c:pt>
                <c:pt idx="4">
                  <c:v>10400.89888769382</c:v>
                </c:pt>
              </c:numCache>
              <c:extLst/>
            </c:numRef>
          </c:val>
          <c:smooth val="0"/>
          <c:extLst>
            <c:ext xmlns:c16="http://schemas.microsoft.com/office/drawing/2014/chart" uri="{C3380CC4-5D6E-409C-BE32-E72D297353CC}">
              <c16:uniqueId val="{0000000C-D40F-48C3-B755-3AFE4F04165D}"/>
            </c:ext>
          </c:extLst>
        </c:ser>
        <c:dLbls>
          <c:showLegendKey val="0"/>
          <c:showVal val="0"/>
          <c:showCatName val="0"/>
          <c:showSerName val="0"/>
          <c:showPercent val="0"/>
          <c:showBubbleSize val="0"/>
        </c:dLbls>
        <c:marker val="1"/>
        <c:smooth val="0"/>
        <c:axId val="572950255"/>
        <c:axId val="572957743"/>
      </c:lineChart>
      <c:catAx>
        <c:axId val="57295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957743"/>
        <c:crosses val="autoZero"/>
        <c:auto val="1"/>
        <c:lblAlgn val="ctr"/>
        <c:lblOffset val="100"/>
        <c:noMultiLvlLbl val="0"/>
      </c:catAx>
      <c:valAx>
        <c:axId val="572957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a:t>NZUs (m)</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2950255"/>
        <c:crosses val="autoZero"/>
        <c:crossBetween val="between"/>
        <c:dispUnits>
          <c:builtInUnit val="thousands"/>
        </c:dispUnits>
      </c:valAx>
      <c:spPr>
        <a:noFill/>
        <a:ln>
          <a:noFill/>
        </a:ln>
        <a:effectLst/>
      </c:spPr>
    </c:plotArea>
    <c:legend>
      <c:legendPos val="b"/>
      <c:legendEntry>
        <c:idx val="1"/>
        <c:delete val="1"/>
      </c:legendEntry>
      <c:layout>
        <c:manualLayout>
          <c:xMode val="edge"/>
          <c:yMode val="edge"/>
          <c:x val="0.17050665624483455"/>
          <c:y val="0.83515912539093462"/>
          <c:w val="0.6379729845328781"/>
          <c:h val="0.1418885765328113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868362</xdr:colOff>
      <xdr:row>5</xdr:row>
      <xdr:rowOff>101600</xdr:rowOff>
    </xdr:to>
    <xdr:pic>
      <xdr:nvPicPr>
        <xdr:cNvPr id="2" name="Picture 1">
          <a:extLst>
            <a:ext uri="{FF2B5EF4-FFF2-40B4-BE49-F238E27FC236}">
              <a16:creationId xmlns:a16="http://schemas.microsoft.com/office/drawing/2014/main" id="{037593DF-6615-477B-BEDA-F2FC70B1B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320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245219</xdr:colOff>
      <xdr:row>26</xdr:row>
      <xdr:rowOff>114114</xdr:rowOff>
    </xdr:from>
    <xdr:to>
      <xdr:col>27</xdr:col>
      <xdr:colOff>495369</xdr:colOff>
      <xdr:row>42</xdr:row>
      <xdr:rowOff>130264</xdr:rowOff>
    </xdr:to>
    <xdr:graphicFrame macro="">
      <xdr:nvGraphicFramePr>
        <xdr:cNvPr id="14" name="Chart 13">
          <a:extLst>
            <a:ext uri="{FF2B5EF4-FFF2-40B4-BE49-F238E27FC236}">
              <a16:creationId xmlns:a16="http://schemas.microsoft.com/office/drawing/2014/main" id="{EAB516B0-33AC-4F6B-8592-A9E0206A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0.19236</cdr:x>
      <cdr:y>0.33283</cdr:y>
    </cdr:from>
    <cdr:to>
      <cdr:x>0.69317</cdr:x>
      <cdr:y>0.74711</cdr:y>
    </cdr:to>
    <cdr:grpSp>
      <cdr:nvGrpSpPr>
        <cdr:cNvPr id="4" name="Group 3">
          <a:extLst xmlns:a="http://schemas.openxmlformats.org/drawingml/2006/main">
            <a:ext uri="{FF2B5EF4-FFF2-40B4-BE49-F238E27FC236}">
              <a16:creationId xmlns:a16="http://schemas.microsoft.com/office/drawing/2014/main" id="{AF123CAF-A8D4-4EDB-A1E0-2A2057D22E1C}"/>
            </a:ext>
          </a:extLst>
        </cdr:cNvPr>
        <cdr:cNvGrpSpPr/>
      </cdr:nvGrpSpPr>
      <cdr:grpSpPr>
        <a:xfrm xmlns:a="http://schemas.openxmlformats.org/drawingml/2006/main">
          <a:off x="1037523" y="951908"/>
          <a:ext cx="2701193" cy="1184859"/>
          <a:chOff x="993031" y="1028886"/>
          <a:chExt cx="2585358" cy="1280700"/>
        </a:xfrm>
      </cdr:grpSpPr>
      <cdr:sp macro="" textlink="">
        <cdr:nvSpPr>
          <cdr:cNvPr id="2" name="TextBox 1">
            <a:extLst xmlns:a="http://schemas.openxmlformats.org/drawingml/2006/main">
              <a:ext uri="{FF2B5EF4-FFF2-40B4-BE49-F238E27FC236}">
                <a16:creationId xmlns:a16="http://schemas.microsoft.com/office/drawing/2014/main" id="{1B7518DA-39EF-44F4-B313-567F020CE49F}"/>
              </a:ext>
            </a:extLst>
          </cdr:cNvPr>
          <cdr:cNvSpPr txBox="1"/>
        </cdr:nvSpPr>
        <cdr:spPr>
          <a:xfrm xmlns:a="http://schemas.openxmlformats.org/drawingml/2006/main">
            <a:off x="1591746" y="1028886"/>
            <a:ext cx="1945821" cy="51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1100" b="1"/>
              <a:t>Emissions budget allocated to NZ ETS (142 Mt CO</a:t>
            </a:r>
            <a:r>
              <a:rPr lang="en-NZ" sz="1100" b="1" baseline="-25000"/>
              <a:t>2</a:t>
            </a:r>
            <a:r>
              <a:rPr lang="en-NZ" sz="1100" b="1"/>
              <a:t>-e)</a:t>
            </a:r>
          </a:p>
        </cdr:txBody>
      </cdr:sp>
      <cdr:sp macro="" textlink="">
        <cdr:nvSpPr>
          <cdr:cNvPr id="3" name="TextBox 1">
            <a:extLst xmlns:a="http://schemas.openxmlformats.org/drawingml/2006/main">
              <a:ext uri="{FF2B5EF4-FFF2-40B4-BE49-F238E27FC236}">
                <a16:creationId xmlns:a16="http://schemas.microsoft.com/office/drawing/2014/main" id="{8F2FFE0F-BED0-4796-96F9-6A1E3EDAC7FA}"/>
              </a:ext>
            </a:extLst>
          </cdr:cNvPr>
          <cdr:cNvSpPr txBox="1"/>
        </cdr:nvSpPr>
        <cdr:spPr>
          <a:xfrm xmlns:a="http://schemas.openxmlformats.org/drawingml/2006/main">
            <a:off x="993031" y="1792514"/>
            <a:ext cx="2585358" cy="517072"/>
          </a:xfrm>
          <a:prstGeom xmlns:a="http://schemas.openxmlformats.org/drawingml/2006/main" prst="rect">
            <a:avLst/>
          </a:prstGeom>
          <a:solidFill xmlns:a="http://schemas.openxmlformats.org/drawingml/2006/main">
            <a:schemeClr val="tx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NZ" sz="1100" b="1">
                <a:solidFill>
                  <a:schemeClr val="bg1"/>
                </a:solidFill>
              </a:rPr>
              <a:t>Emissions budget allocated to </a:t>
            </a:r>
          </a:p>
          <a:p xmlns:a="http://schemas.openxmlformats.org/drawingml/2006/main">
            <a:pPr algn="ctr"/>
            <a:r>
              <a:rPr lang="en-NZ" sz="1100" b="1">
                <a:solidFill>
                  <a:schemeClr val="bg1"/>
                </a:solidFill>
              </a:rPr>
              <a:t>non-NZ ETS sectors (204 Mt CO</a:t>
            </a:r>
            <a:r>
              <a:rPr lang="en-NZ" sz="1100" b="1" baseline="-25000">
                <a:solidFill>
                  <a:schemeClr val="bg1"/>
                </a:solidFill>
              </a:rPr>
              <a:t>2</a:t>
            </a:r>
            <a:r>
              <a:rPr lang="en-NZ" sz="1100" b="1">
                <a:solidFill>
                  <a:schemeClr val="bg1"/>
                </a:solidFill>
              </a:rPr>
              <a:t>-e)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556532</xdr:colOff>
      <xdr:row>39</xdr:row>
      <xdr:rowOff>116341</xdr:rowOff>
    </xdr:from>
    <xdr:to>
      <xdr:col>6</xdr:col>
      <xdr:colOff>154447</xdr:colOff>
      <xdr:row>54</xdr:row>
      <xdr:rowOff>138841</xdr:rowOff>
    </xdr:to>
    <xdr:graphicFrame macro="">
      <xdr:nvGraphicFramePr>
        <xdr:cNvPr id="2" name="Chart 1">
          <a:extLst>
            <a:ext uri="{FF2B5EF4-FFF2-40B4-BE49-F238E27FC236}">
              <a16:creationId xmlns:a16="http://schemas.microsoft.com/office/drawing/2014/main" id="{229FAA5D-E9D1-4DF6-B6A7-C5CE48EA33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476250</xdr:colOff>
      <xdr:row>55</xdr:row>
      <xdr:rowOff>176893</xdr:rowOff>
    </xdr:from>
    <xdr:to>
      <xdr:col>6</xdr:col>
      <xdr:colOff>74165</xdr:colOff>
      <xdr:row>71</xdr:row>
      <xdr:rowOff>8893</xdr:rowOff>
    </xdr:to>
    <xdr:graphicFrame macro="">
      <xdr:nvGraphicFramePr>
        <xdr:cNvPr id="3" name="Chart 2">
          <a:extLst>
            <a:ext uri="{FF2B5EF4-FFF2-40B4-BE49-F238E27FC236}">
              <a16:creationId xmlns:a16="http://schemas.microsoft.com/office/drawing/2014/main" id="{95DC87AE-4B70-4390-BFB7-B0790D723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408215</xdr:colOff>
      <xdr:row>38</xdr:row>
      <xdr:rowOff>176893</xdr:rowOff>
    </xdr:from>
    <xdr:to>
      <xdr:col>14</xdr:col>
      <xdr:colOff>264665</xdr:colOff>
      <xdr:row>54</xdr:row>
      <xdr:rowOff>8893</xdr:rowOff>
    </xdr:to>
    <xdr:graphicFrame macro="">
      <xdr:nvGraphicFramePr>
        <xdr:cNvPr id="4" name="Chart 3">
          <a:extLst>
            <a:ext uri="{FF2B5EF4-FFF2-40B4-BE49-F238E27FC236}">
              <a16:creationId xmlns:a16="http://schemas.microsoft.com/office/drawing/2014/main" id="{960D4466-5E52-4895-8D86-0F6FD935B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462642</xdr:colOff>
      <xdr:row>73</xdr:row>
      <xdr:rowOff>136071</xdr:rowOff>
    </xdr:from>
    <xdr:to>
      <xdr:col>14</xdr:col>
      <xdr:colOff>319092</xdr:colOff>
      <xdr:row>88</xdr:row>
      <xdr:rowOff>158571</xdr:rowOff>
    </xdr:to>
    <xdr:graphicFrame macro="">
      <xdr:nvGraphicFramePr>
        <xdr:cNvPr id="5" name="Chart 4">
          <a:extLst>
            <a:ext uri="{FF2B5EF4-FFF2-40B4-BE49-F238E27FC236}">
              <a16:creationId xmlns:a16="http://schemas.microsoft.com/office/drawing/2014/main" id="{10402F3E-BE66-4B3B-9A9F-85FAF8993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435429</xdr:colOff>
      <xdr:row>56</xdr:row>
      <xdr:rowOff>27213</xdr:rowOff>
    </xdr:from>
    <xdr:to>
      <xdr:col>14</xdr:col>
      <xdr:colOff>291879</xdr:colOff>
      <xdr:row>71</xdr:row>
      <xdr:rowOff>49713</xdr:rowOff>
    </xdr:to>
    <xdr:graphicFrame macro="">
      <xdr:nvGraphicFramePr>
        <xdr:cNvPr id="6" name="Chart 5">
          <a:extLst>
            <a:ext uri="{FF2B5EF4-FFF2-40B4-BE49-F238E27FC236}">
              <a16:creationId xmlns:a16="http://schemas.microsoft.com/office/drawing/2014/main" id="{1A8E955D-348B-4846-B972-253B91D42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435428</xdr:colOff>
      <xdr:row>73</xdr:row>
      <xdr:rowOff>95250</xdr:rowOff>
    </xdr:from>
    <xdr:to>
      <xdr:col>6</xdr:col>
      <xdr:colOff>33343</xdr:colOff>
      <xdr:row>88</xdr:row>
      <xdr:rowOff>117750</xdr:rowOff>
    </xdr:to>
    <xdr:graphicFrame macro="">
      <xdr:nvGraphicFramePr>
        <xdr:cNvPr id="7" name="Chart 6">
          <a:extLst>
            <a:ext uri="{FF2B5EF4-FFF2-40B4-BE49-F238E27FC236}">
              <a16:creationId xmlns:a16="http://schemas.microsoft.com/office/drawing/2014/main" id="{3324161D-2CBB-46FD-80AE-775F74028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89</xdr:row>
      <xdr:rowOff>81643</xdr:rowOff>
    </xdr:from>
    <xdr:to>
      <xdr:col>6</xdr:col>
      <xdr:colOff>142201</xdr:colOff>
      <xdr:row>104</xdr:row>
      <xdr:rowOff>104143</xdr:rowOff>
    </xdr:to>
    <xdr:graphicFrame macro="">
      <xdr:nvGraphicFramePr>
        <xdr:cNvPr id="8" name="Chart 7">
          <a:extLst>
            <a:ext uri="{FF2B5EF4-FFF2-40B4-BE49-F238E27FC236}">
              <a16:creationId xmlns:a16="http://schemas.microsoft.com/office/drawing/2014/main" id="{749D5244-8325-47A4-88FC-DCF5E656E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1707695</xdr:colOff>
      <xdr:row>51</xdr:row>
      <xdr:rowOff>16329</xdr:rowOff>
    </xdr:from>
    <xdr:to>
      <xdr:col>6</xdr:col>
      <xdr:colOff>344945</xdr:colOff>
      <xdr:row>67</xdr:row>
      <xdr:rowOff>28329</xdr:rowOff>
    </xdr:to>
    <xdr:graphicFrame macro="">
      <xdr:nvGraphicFramePr>
        <xdr:cNvPr id="2" name="Chart 1">
          <a:extLst>
            <a:ext uri="{FF2B5EF4-FFF2-40B4-BE49-F238E27FC236}">
              <a16:creationId xmlns:a16="http://schemas.microsoft.com/office/drawing/2014/main" id="{AF804305-6B10-435C-ABDD-02591B1CA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1131794</xdr:colOff>
      <xdr:row>51</xdr:row>
      <xdr:rowOff>152028</xdr:rowOff>
    </xdr:from>
    <xdr:to>
      <xdr:col>6</xdr:col>
      <xdr:colOff>166853</xdr:colOff>
      <xdr:row>67</xdr:row>
      <xdr:rowOff>160147</xdr:rowOff>
    </xdr:to>
    <xdr:graphicFrame macro="">
      <xdr:nvGraphicFramePr>
        <xdr:cNvPr id="6" name="Chart 5">
          <a:extLst>
            <a:ext uri="{FF2B5EF4-FFF2-40B4-BE49-F238E27FC236}">
              <a16:creationId xmlns:a16="http://schemas.microsoft.com/office/drawing/2014/main" id="{BB5D2644-0ADC-4941-BE9D-AC1F5DED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494927</xdr:colOff>
      <xdr:row>27</xdr:row>
      <xdr:rowOff>93849</xdr:rowOff>
    </xdr:from>
    <xdr:to>
      <xdr:col>16</xdr:col>
      <xdr:colOff>202339</xdr:colOff>
      <xdr:row>43</xdr:row>
      <xdr:rowOff>108319</xdr:rowOff>
    </xdr:to>
    <xdr:graphicFrame macro="">
      <xdr:nvGraphicFramePr>
        <xdr:cNvPr id="2" name="Chart 1">
          <a:extLst>
            <a:ext uri="{FF2B5EF4-FFF2-40B4-BE49-F238E27FC236}">
              <a16:creationId xmlns:a16="http://schemas.microsoft.com/office/drawing/2014/main" id="{75620746-5F54-44E8-AB38-3544219F1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601940</xdr:colOff>
      <xdr:row>7</xdr:row>
      <xdr:rowOff>104029</xdr:rowOff>
    </xdr:from>
    <xdr:to>
      <xdr:col>16</xdr:col>
      <xdr:colOff>286940</xdr:colOff>
      <xdr:row>22</xdr:row>
      <xdr:rowOff>145304</xdr:rowOff>
    </xdr:to>
    <xdr:graphicFrame macro="">
      <xdr:nvGraphicFramePr>
        <xdr:cNvPr id="3" name="Chart 2">
          <a:extLst>
            <a:ext uri="{FF2B5EF4-FFF2-40B4-BE49-F238E27FC236}">
              <a16:creationId xmlns:a16="http://schemas.microsoft.com/office/drawing/2014/main" id="{2D251B2B-B8D6-46ED-8A0B-7F6E789FF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243461</xdr:colOff>
      <xdr:row>24</xdr:row>
      <xdr:rowOff>116073</xdr:rowOff>
    </xdr:from>
    <xdr:to>
      <xdr:col>5</xdr:col>
      <xdr:colOff>225240</xdr:colOff>
      <xdr:row>40</xdr:row>
      <xdr:rowOff>185093</xdr:rowOff>
    </xdr:to>
    <xdr:graphicFrame macro="">
      <xdr:nvGraphicFramePr>
        <xdr:cNvPr id="8" name="Chart 7">
          <a:extLst>
            <a:ext uri="{FF2B5EF4-FFF2-40B4-BE49-F238E27FC236}">
              <a16:creationId xmlns:a16="http://schemas.microsoft.com/office/drawing/2014/main" id="{2F6A478E-AF7D-4E77-93A3-5A6F71B36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167646</xdr:colOff>
      <xdr:row>102</xdr:row>
      <xdr:rowOff>59578</xdr:rowOff>
    </xdr:from>
    <xdr:to>
      <xdr:col>4</xdr:col>
      <xdr:colOff>512296</xdr:colOff>
      <xdr:row>119</xdr:row>
      <xdr:rowOff>7355</xdr:rowOff>
    </xdr:to>
    <xdr:graphicFrame macro="">
      <xdr:nvGraphicFramePr>
        <xdr:cNvPr id="2" name="Chart 1">
          <a:extLst>
            <a:ext uri="{FF2B5EF4-FFF2-40B4-BE49-F238E27FC236}">
              <a16:creationId xmlns:a16="http://schemas.microsoft.com/office/drawing/2014/main" id="{78455598-C24C-4E12-92C4-CA7693AAF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303475</xdr:colOff>
      <xdr:row>102</xdr:row>
      <xdr:rowOff>85352</xdr:rowOff>
    </xdr:from>
    <xdr:to>
      <xdr:col>11</xdr:col>
      <xdr:colOff>437029</xdr:colOff>
      <xdr:row>119</xdr:row>
      <xdr:rowOff>102337</xdr:rowOff>
    </xdr:to>
    <xdr:graphicFrame macro="">
      <xdr:nvGraphicFramePr>
        <xdr:cNvPr id="8" name="Chart 7">
          <a:extLst>
            <a:ext uri="{FF2B5EF4-FFF2-40B4-BE49-F238E27FC236}">
              <a16:creationId xmlns:a16="http://schemas.microsoft.com/office/drawing/2014/main" id="{7E1723C2-5852-4818-AACE-7DFD2A55D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Young\Downloads\Unit%2520supply%2520settings%20(vers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anciscoHernandez\Downloads\Municipal%20solid%20waste%20model%20for%202021%20inven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review"/>
      <sheetName val="2. Allocate emissions budget"/>
      <sheetName val="3. Technical adjustments"/>
      <sheetName val="4. IA Projections"/>
      <sheetName val="5. Surplus reduction"/>
      <sheetName val="7. Auction volume"/>
      <sheetName val="8. Sensitivity analysis"/>
      <sheetName val="2022 CPR"/>
      <sheetName val="2022 Demo path"/>
      <sheetName val="Supply demand"/>
      <sheetName val="Units held"/>
      <sheetName val="P90 trends"/>
      <sheetName val="P90 trends (2)"/>
      <sheetName val="Linked CCR volumes"/>
      <sheetName val="Auction volume inputs &amp; cals"/>
      <sheetName val="Hedging profile"/>
      <sheetName val="Hedging profile (2)"/>
      <sheetName val="ETS cap sector breakdown"/>
      <sheetName val="Current Policy Reference"/>
      <sheetName val="Demonstration path"/>
      <sheetName val="SGG analysis"/>
      <sheetName val="SGG levy data"/>
      <sheetName val="List option inputs"/>
      <sheetName val="Current regulations"/>
      <sheetName val="AR4 vs AR5"/>
    </sheetNames>
    <sheetDataSet>
      <sheetData sheetId="0"/>
      <sheetData sheetId="1"/>
      <sheetData sheetId="2"/>
      <sheetData sheetId="3"/>
      <sheetData sheetId="4"/>
      <sheetData sheetId="5"/>
      <sheetData sheetId="6"/>
      <sheetData sheetId="7"/>
      <sheetData sheetId="8"/>
      <sheetData sheetId="9"/>
      <sheetData sheetId="10"/>
      <sheetData sheetId="11">
        <row r="58">
          <cell r="G58">
            <v>0.85367233313654989</v>
          </cell>
        </row>
      </sheetData>
      <sheetData sheetId="12">
        <row r="1">
          <cell r="D1" t="str">
            <v>Volume Trend from 2020</v>
          </cell>
        </row>
      </sheetData>
      <sheetData sheetId="13"/>
      <sheetData sheetId="14"/>
      <sheetData sheetId="15"/>
      <sheetData sheetId="16"/>
      <sheetData sheetId="17"/>
      <sheetData sheetId="18"/>
      <sheetData sheetId="19"/>
      <sheetData sheetId="20"/>
      <sheetData sheetId="21"/>
      <sheetData sheetId="22"/>
      <sheetData sheetId="23"/>
      <sheetData sheetId="24">
        <row r="3">
          <cell r="B3">
            <v>25</v>
          </cell>
          <cell r="C3">
            <v>28</v>
          </cell>
        </row>
        <row r="4">
          <cell r="B4">
            <v>298</v>
          </cell>
          <cell r="C4">
            <v>265</v>
          </cell>
        </row>
        <row r="6">
          <cell r="E6">
            <v>0.94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olicy impact analysis"/>
      <sheetName val="Input waste data here"/>
      <sheetName val="List of landfills"/>
      <sheetName val="Composition and DDOC"/>
      <sheetName val="Other parameters"/>
      <sheetName val="Bulk waste decay models 5.A.1"/>
      <sheetName val="MEG"/>
      <sheetName val="All results 5.A.1.a"/>
      <sheetName val="Data for CRF 5.A.1.a"/>
      <sheetName val="Graph for 5.A.1.a"/>
      <sheetName val="more recovery graphs"/>
      <sheetName val="Data for 5.F"/>
      <sheetName val="Other data for NIR"/>
      <sheetName val="AD Table for NIR"/>
      <sheetName val="Recalculations"/>
      <sheetName val="NO LEVY SCENARIO decay model"/>
      <sheetName val="Data for uncategorised 5.A.3"/>
      <sheetName val="Bulk waste decay models 5.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CCC" id="{283CC799-AD3F-40BC-8902-5E08B5C97DB8}" userId="CCC" providerId="None"/>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CC theme">
  <a:themeElements>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dpi="0" rotWithShape="0">
          <a:blip xmlns:r="http://schemas.openxmlformats.org/officeDocument/2006/relationships" r:embed="rId1"/>
          <a:srcRect/>
          <a:stretch>
            <a:fillRect l="-413" t="-1" r="-413" b="-1"/>
          </a:stretch>
        </a:blip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CCC theme" id="{FAAF4E91-EE7F-40C5-9391-D1B130A6B8A0}" vid="{369DA7DE-E5E1-4534-908D-CAAF70E07E61}"/>
    </a:ext>
  </a:extLst>
</a:theme>
</file>

<file path=xl/threadedComments/threadedComment1.xml><?xml version="1.0" encoding="utf-8"?>
<ThreadedComments xmlns="http://schemas.microsoft.com/office/spreadsheetml/2018/threadedcomments" xmlns:x="http://schemas.openxmlformats.org/spreadsheetml/2006/main">
  <threadedComment ref="C16" dT="2022-07-19T01:53:24.91" personId="{283CC799-AD3F-40BC-8902-5E08B5C97DB8}" id="{0EDB6539-4F49-4149-AA8F-4779640FE80F}">
    <text>Assumed percentage of total F-gas emissions covered by SGG levy, based on historical data</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2-07-26T01:17:27.76" personId="{283CC799-AD3F-40BC-8902-5E08B5C97DB8}" id="{8C58AE20-49D3-4AAF-B8F0-B79C27E8A9C3}">
    <text>Owning, purchasing obligation fuel; Combusting used or waste oil used tyres or waste; Using crude oil or other liquid hydrocarbons</text>
  </threadedComment>
  <threadedComment ref="B5" dT="2022-07-26T01:06:35.35" personId="{283CC799-AD3F-40BC-8902-5E08B5C97DB8}" id="{0BC59D4A-3B8E-4075-965B-78328024FF6A}">
    <text>Liquid fuel combustion, excl. petrol refining</text>
  </threadedComment>
  <threadedComment ref="B9" dT="2022-07-26T01:09:15.18" personId="{283CC799-AD3F-40BC-8902-5E08B5C97DB8}" id="{B7AFD4FE-C88B-453D-91E3-B92E6BE36FDF}">
    <text>Importing, mining, purchasing coal; Producing iron or steel</text>
  </threadedComment>
  <threadedComment ref="B10" dT="2022-07-26T01:10:07.37" personId="{283CC799-AD3F-40BC-8902-5E08B5C97DB8}" id="{FE83AD92-EEE7-4254-874B-BB67FDD98E4F}">
    <text>Solid fuels combustion; Fugitive emissions, coal mining &amp; handling; IPPU iron &amp; steel</text>
  </threadedComment>
  <threadedComment ref="B15" dT="2022-07-26T01:04:37.31" personId="{283CC799-AD3F-40BC-8902-5E08B5C97DB8}" id="{B9EE1F92-4977-45B7-8B74-0941AEBF01A9}">
    <text>Mining, importing, purchasing natural gas; Removing emissions for embedded substances</text>
  </threadedComment>
  <threadedComment ref="B16" dT="2022-07-26T01:08:01.38" personId="{283CC799-AD3F-40BC-8902-5E08B5C97DB8}" id="{09277FFA-28D8-4DFC-9EB6-A4C9A845382C}">
    <text>Gasesous fuels combustion, Fugitive emissions, natural gas ventilating &amp; flaring; IPPU chemical industry excl. H2 production</text>
  </threadedComment>
  <threadedComment ref="B20" dT="2022-07-26T01:20:01.10" personId="{283CC799-AD3F-40BC-8902-5E08B5C97DB8}" id="{4DFFF9F4-4F24-45D6-9625-77B164C645F4}">
    <text>Using geothermal fluid</text>
  </threadedComment>
  <threadedComment ref="B21" dT="2022-07-26T01:19:36.61" personId="{283CC799-AD3F-40BC-8902-5E08B5C97DB8}" id="{0D5E8E33-BD1B-4FA5-B7E9-F3D464EBE2A0}">
    <text>Geothermal fugitive emissions</text>
  </threadedComment>
  <threadedComment ref="B25" dT="2022-07-26T01:13:22.43" personId="{283CC799-AD3F-40BC-8902-5E08B5C97DB8}" id="{1A4C554F-D1A3-422E-9891-527405C3EE33}">
    <text>Producing aluminium; Producing clinker or burnt lime; Producing glass using soda ash; Operating electrical switchergear that uses sulphur hexafluoride</text>
  </threadedComment>
  <threadedComment ref="B26" dT="2022-07-26T01:14:31.34" personId="{283CC799-AD3F-40BC-8902-5E08B5C97DB8}" id="{5EF26EF3-CC68-451B-A745-BFB673761746}">
    <text>Cement &amp; lime; Aluminium; Glass &amp; "other uses of soda ash"; Electrical switchgear (SF6)</text>
  </threadedComment>
  <threadedComment ref="B30" dT="2022-07-26T01:53:06.72" personId="{283CC799-AD3F-40BC-8902-5E08B5C97DB8}" id="{93608B83-DFE7-4616-90A3-C30F6FD4EB29}">
    <text>Operating a disposal facility</text>
  </threadedComment>
  <threadedComment ref="B31" dT="2022-07-26T01:53:19.48" personId="{283CC799-AD3F-40BC-8902-5E08B5C97DB8}" id="{5B4FE057-14BA-45A9-B44E-A7429F623C6A}">
    <text>Managed waste disposal sites</text>
  </threadedComment>
  <threadedComment ref="B35" dT="2022-07-26T01:23:28.22" personId="{283CC799-AD3F-40BC-8902-5E08B5C97DB8}" id="{5980F6D5-CEC5-4854-B58E-3167AEB88F2B}">
    <text>Importing HFCs; Exporting HFCs; Levy gases</text>
  </threadedComment>
  <threadedComment ref="B36" dT="2022-07-26T01:24:02.33" personId="{283CC799-AD3F-40BC-8902-5E08B5C97DB8}" id="{A2DB4693-F697-460B-AD79-A2883117AD6B}">
    <text>IPPU HFCs</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2-07-19T01:54:08.59" personId="{283CC799-AD3F-40BC-8902-5E08B5C97DB8}" id="{478A5905-8DDC-4A93-B529-BEAD9CF62B04}">
    <text>Historic data retrieved from EPA and aggregated into categories https://www.epa.govt.nz/industry-areas/emissions-trading-scheme/industrial-allocations/decisions/</text>
  </threadedComment>
  <threadedComment ref="A3" dT="2022-07-19T02:20:22.91" personId="{283CC799-AD3F-40BC-8902-5E08B5C97DB8}" id="{B0E44B16-6FA2-4347-BDBB-E17F1DF7C9E8}">
    <text>Assumed 0% growth for all sectors in line with ENZ scenarios</text>
  </threadedComment>
  <threadedComment ref="B3" dT="2022-07-19T01:54:22.44" personId="{283CC799-AD3F-40BC-8902-5E08B5C97DB8}" id="{1BC3AA81-D374-4B94-802B-2B7C5481FF6B}">
    <text>NZS + Pacific Steel + Fletcher Steel in its different ownership structures over time. Activities: iron and steel from iron sand and carbon steel from cold ferrous feed.</text>
  </threadedComment>
  <threadedComment ref="N4" dT="2022-07-19T01:59:18.25" personId="{283CC799-AD3F-40BC-8902-5E08B5C97DB8}" id="{3A005B47-7D9E-413F-BBBB-4967A6A0F5E9}">
    <text>NZAS EAF 0.0 tCO2e/MWh for 2021 and 2022 in line w Cab docs. Est. annual reduction of 934,400 NZUs. Assumption this extends to 2050. 
Amended allocative baseline for aluminium smelting: 2.120 in 2021, 2.005 in 2022 and 2023.</text>
  </threadedComment>
  <threadedComment ref="P6" dT="2022-07-19T01:55:59.42" personId="{283CC799-AD3F-40BC-8902-5E08B5C97DB8}" id="{0FCECC1D-6472-47D6-9D73-168B35980DF4}">
    <text>Switches to import terminal</text>
  </threadedComment>
  <threadedComment ref="B9" dT="2022-07-19T01:54:51.42" personId="{283CC799-AD3F-40BC-8902-5E08B5C97DB8}" id="{51E9D3AF-3852-4881-B3AE-E30E9EB889B9}">
    <text>Whey powder and lactose</text>
  </threadedComment>
  <threadedComment ref="B10" dT="2022-07-19T01:55:04.79" personId="{283CC799-AD3F-40BC-8902-5E08B5C97DB8}" id="{0075AFEF-2C1F-4778-974D-408D5BE4277E}">
    <text>Protein meal and gelatine</text>
  </threadedComment>
  <threadedComment ref="B12" dT="2022-07-19T01:55:17.60" personId="{283CC799-AD3F-40BC-8902-5E08B5C97DB8}" id="{F7895B49-D35F-472E-9CC6-25558C04DA75}">
    <text>Cartonboard, market pulp, packaging and industrial paper, newsprint</text>
  </threadedComment>
  <threadedComment ref="B13" dT="2022-07-19T01:55:30.88" personId="{283CC799-AD3F-40BC-8902-5E08B5C97DB8}" id="{6C6D1382-96EC-44F5-A10C-3CE5A476533C}">
    <text>Caustic soda, hydrogen peroxide</text>
  </threadedComment>
  <threadedComment ref="B14" dT="2022-07-19T01:55:43.16" personId="{283CC799-AD3F-40BC-8902-5E08B5C97DB8}" id="{7E6F23A8-B3CD-48B0-90C8-25A6D7253980}">
    <text>Ethanol, clay, glass + tissue paper, reconstituted wood panels</text>
  </threadedComment>
  <threadedComment ref="E36" dT="2022-07-19T02:00:20.53" personId="{283CC799-AD3F-40BC-8902-5E08B5C97DB8}" id="{7445E3E8-54B5-42CC-96DD-F00AA2D6EB64}">
    <text>Potline 4 closed April 2012 until Dec 2018. Accounts for 9% of production capacity.</text>
  </threadedComment>
  <threadedComment ref="K36" dT="2022-07-19T02:01:05.08" personId="{283CC799-AD3F-40BC-8902-5E08B5C97DB8}" id="{859EB893-8FE2-4C26-B1BB-F287E33C08B8}">
    <text>Potline 4 restarted in Dec 2018</text>
  </threadedComment>
  <threadedComment ref="M36" dT="2022-07-19T01:56:25.98" personId="{283CC799-AD3F-40BC-8902-5E08B5C97DB8}" id="{14277B76-9EEE-4631-8497-CE7994AA6106}">
    <text>Potline 4 closed in April 2020. NZAS has not indicated that it will reopen the line despite high Al prices.</text>
  </threadedComment>
  <threadedComment ref="R36" dT="2022-07-19T02:01:48.14" personId="{283CC799-AD3F-40BC-8902-5E08B5C97DB8}" id="{1DBDD91C-E3BC-4AA9-9410-7A7475C43C34}">
    <text>NZAS remains open beyond 2024 and potline 4 remains idled</text>
  </threadedComment>
  <threadedComment ref="C37" dT="2022-07-19T02:00:10.98" personId="{283CC799-AD3F-40BC-8902-5E08B5C97DB8}" id="{1C7ACBA4-6C3E-4D19-9C95-AB8A93CC0AE0}">
    <text>Waitara idled since 2008 due to lack of gas. 1 Motunui train operating.</text>
  </threadedComment>
  <threadedComment ref="E37" dT="2022-07-19T02:00:33.40" personId="{283CC799-AD3F-40BC-8902-5E08B5C97DB8}" id="{F70AB065-DAD5-43E3-9C89-C481346F5A30}">
    <text>Second Motunui train restarts in July 2012, adding 650,000t production capacity</text>
  </threadedComment>
  <threadedComment ref="F37" dT="2022-07-19T02:00:43.29" personId="{283CC799-AD3F-40BC-8902-5E08B5C97DB8}" id="{D279A2EE-204E-44EF-903C-EC452367E1E9}">
    <text>Waitara recommissioned Oct 2013. Full production by end of year.</text>
  </threadedComment>
  <threadedComment ref="N37" dT="2022-07-19T01:56:37.51" personId="{283CC799-AD3F-40BC-8902-5E08B5C97DB8}" id="{903FF0D0-8AF9-4E64-B15A-41AE576715FA}">
    <text>Waitara facility accounting for 20% capacity shutting at the end of 2020</text>
  </threadedComment>
  <threadedComment ref="W37" dT="2022-07-19T02:02:00.56" personId="{283CC799-AD3F-40BC-8902-5E08B5C97DB8}" id="{994F1B26-0401-4010-AED9-EB4BE12F4CA6}">
    <text>Motunui facility shutting, accounting for 40% current production</text>
  </threadedComment>
  <threadedComment ref="F44" dT="2022-07-19T02:00:52.14" personId="{283CC799-AD3F-40BC-8902-5E08B5C97DB8}" id="{3F99D14C-FEA8-4F92-AC16-3A39533A82F9}">
    <text>Tasman Mill permanently shuts one of its paper machines. Units allocated to this sector decrease by 11%</text>
  </threadedComment>
  <threadedComment ref="N44" dT="2022-07-19T01:56:47.11" personId="{283CC799-AD3F-40BC-8902-5E08B5C97DB8}" id="{4BEAB7F8-4BD2-4549-BB72-25E67F921CB5}">
    <text>NS closes end of June. Received a five year avg of 16% of this sector's allocation.</text>
  </threadedComment>
  <threadedComment ref="A72" dT="2022-07-19T01:57:03.67" personId="{283CC799-AD3F-40BC-8902-5E08B5C97DB8}" id="{57C6F32C-3400-4B8A-AADF-FEAE190FC036}">
    <text>https://environment.govt.nz/assets/publications/cab-77-setting-an-electricity-allocation-factor-for-the-new-zealand-aluminium-smelters-limited.pdf pg. 4</text>
  </threadedComment>
</ThreadedComments>
</file>

<file path=xl/threadedComments/threadedComment4.xml><?xml version="1.0" encoding="utf-8"?>
<ThreadedComments xmlns="http://schemas.microsoft.com/office/spreadsheetml/2018/threadedcomments" xmlns:x="http://schemas.openxmlformats.org/spreadsheetml/2006/main">
  <threadedComment ref="C18" dT="2022-07-19T01:57:42.67" personId="{283CC799-AD3F-40BC-8902-5E08B5C97DB8}" id="{64DD991E-296D-48A5-AC83-B5A5B2CC8837}">
    <text>This is calculated as the total of ETS energy and IPPU emissions (converted to AR5) minus the liquid fossil fuel emissions above</text>
  </threadedComment>
  <threadedComment ref="C32" dT="2022-07-19T01:57:58.01" personId="{283CC799-AD3F-40BC-8902-5E08B5C97DB8}" id="{FB61527F-5E47-4F0F-9FE8-364EA947994B}">
    <text>Includes calculation based on 2020 data that pulp and paper participants have direct emissions surrender obligations for only 14% of total volume received for industrial free allocation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B21" dT="2022-07-19T01:58:10.66" personId="{283CC799-AD3F-40BC-8902-5E08B5C97DB8}" id="{D664E6AC-A5F3-47F9-8C28-69F92943A07B}">
    <text>Auction volume + total CCR volume</text>
  </threadedComment>
  <threadedComment ref="B23" dT="2022-07-19T01:58:21.57" personId="{283CC799-AD3F-40BC-8902-5E08B5C97DB8}" id="{10A74315-21ED-4DD3-B1C3-A0D710DA4502}">
    <text>Auction volume +free allocation volume projection + overseas unit limit + total CCR volume</text>
  </threadedComment>
</ThreadedComments>
</file>

<file path=xl/threadedComments/threadedComment6.xml><?xml version="1.0" encoding="utf-8"?>
<ThreadedComments xmlns="http://schemas.microsoft.com/office/spreadsheetml/2018/threadedcomments" xmlns:x="http://schemas.openxmlformats.org/spreadsheetml/2006/main">
  <threadedComment ref="B31" dT="2022-07-19T01:58:53.83" personId="{283CC799-AD3F-40BC-8902-5E08B5C97DB8}" id="{C57DE268-7A63-46F5-BF15-BAF744AF8561}">
    <text>Calculated based on registered forest area as at September 2021. Assumes all post-2018 afforestation registers in the NZ ETS.</text>
  </threadedComment>
</ThreadedComments>
</file>

<file path=xl/threadedComments/threadedComment7.xml><?xml version="1.0" encoding="utf-8"?>
<ThreadedComments xmlns="http://schemas.microsoft.com/office/spreadsheetml/2018/threadedcomments" xmlns:x="http://schemas.openxmlformats.org/spreadsheetml/2006/main">
  <threadedComment ref="B31" dT="2022-07-19T01:58:39.86" personId="{283CC799-AD3F-40BC-8902-5E08B5C97DB8}" id="{4E7217F6-928E-40B8-B1AD-19C91ADC402B}">
    <text>Calculated based on registered forest area as at September 2021. Assumes all post-2018 afforestation registers in the NZ ETS.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5D53-1448-4455-ACB6-C0C633072177}">
  <sheetPr>
    <tabColor theme="3"/>
  </sheetPr>
  <dimension ref="A7:C29"/>
  <sheetViews>
    <sheetView tabSelected="1" zoomScaleNormal="100" workbookViewId="0"/>
  </sheetViews>
  <sheetFormatPr defaultRowHeight="14.5" x14ac:dyDescent="0.35"/>
  <cols>
    <col min="1" max="1" width="17.453125" customWidth="1"/>
    <col min="2" max="2" width="31.26953125" bestFit="1" customWidth="1"/>
    <col min="3" max="3" width="83.453125" bestFit="1" customWidth="1"/>
    <col min="4" max="4" width="14.453125" customWidth="1"/>
  </cols>
  <sheetData>
    <row r="7" spans="1:3" ht="18.5" x14ac:dyDescent="0.45">
      <c r="A7" s="102" t="s">
        <v>337</v>
      </c>
    </row>
    <row r="8" spans="1:3" x14ac:dyDescent="0.35">
      <c r="A8" s="2" t="s">
        <v>0</v>
      </c>
    </row>
    <row r="9" spans="1:3" x14ac:dyDescent="0.35">
      <c r="A9" s="2"/>
    </row>
    <row r="10" spans="1:3" x14ac:dyDescent="0.35">
      <c r="A10" s="2" t="s">
        <v>1</v>
      </c>
      <c r="B10" s="2" t="s">
        <v>2</v>
      </c>
      <c r="C10" s="2" t="s">
        <v>3</v>
      </c>
    </row>
    <row r="11" spans="1:3" x14ac:dyDescent="0.35">
      <c r="A11" t="s">
        <v>4</v>
      </c>
      <c r="B11" s="80" t="s">
        <v>5</v>
      </c>
      <c r="C11" t="s">
        <v>6</v>
      </c>
    </row>
    <row r="12" spans="1:3" x14ac:dyDescent="0.35">
      <c r="B12" s="81"/>
    </row>
    <row r="13" spans="1:3" x14ac:dyDescent="0.35">
      <c r="A13" t="s">
        <v>7</v>
      </c>
      <c r="B13" s="80" t="s">
        <v>8</v>
      </c>
      <c r="C13" t="s">
        <v>9</v>
      </c>
    </row>
    <row r="14" spans="1:3" x14ac:dyDescent="0.35">
      <c r="B14" s="80" t="s">
        <v>354</v>
      </c>
      <c r="C14" t="s">
        <v>355</v>
      </c>
    </row>
    <row r="15" spans="1:3" x14ac:dyDescent="0.35">
      <c r="B15" s="81"/>
    </row>
    <row r="16" spans="1:3" x14ac:dyDescent="0.35">
      <c r="A16" t="s">
        <v>10</v>
      </c>
      <c r="B16" s="80" t="s">
        <v>11</v>
      </c>
      <c r="C16" t="s">
        <v>12</v>
      </c>
    </row>
    <row r="17" spans="1:3" x14ac:dyDescent="0.35">
      <c r="B17" s="81"/>
    </row>
    <row r="18" spans="1:3" x14ac:dyDescent="0.35">
      <c r="A18" t="s">
        <v>13</v>
      </c>
      <c r="B18" s="80" t="s">
        <v>14</v>
      </c>
      <c r="C18" t="s">
        <v>15</v>
      </c>
    </row>
    <row r="19" spans="1:3" x14ac:dyDescent="0.35">
      <c r="B19" s="80" t="s">
        <v>16</v>
      </c>
      <c r="C19" t="s">
        <v>17</v>
      </c>
    </row>
    <row r="20" spans="1:3" x14ac:dyDescent="0.35">
      <c r="B20" s="80" t="s">
        <v>18</v>
      </c>
      <c r="C20" t="s">
        <v>19</v>
      </c>
    </row>
    <row r="21" spans="1:3" x14ac:dyDescent="0.35">
      <c r="B21" s="80" t="s">
        <v>20</v>
      </c>
      <c r="C21" t="s">
        <v>21</v>
      </c>
    </row>
    <row r="22" spans="1:3" x14ac:dyDescent="0.35">
      <c r="B22" s="81"/>
    </row>
    <row r="23" spans="1:3" x14ac:dyDescent="0.35">
      <c r="A23" t="s">
        <v>22</v>
      </c>
      <c r="B23" s="80" t="s">
        <v>23</v>
      </c>
      <c r="C23" t="s">
        <v>24</v>
      </c>
    </row>
    <row r="24" spans="1:3" x14ac:dyDescent="0.35">
      <c r="B24" s="80" t="s">
        <v>25</v>
      </c>
      <c r="C24" t="s">
        <v>26</v>
      </c>
    </row>
    <row r="25" spans="1:3" x14ac:dyDescent="0.35">
      <c r="B25" s="81"/>
    </row>
    <row r="26" spans="1:3" x14ac:dyDescent="0.35">
      <c r="A26" t="s">
        <v>27</v>
      </c>
      <c r="B26" s="80" t="s">
        <v>28</v>
      </c>
      <c r="C26" t="s">
        <v>29</v>
      </c>
    </row>
    <row r="27" spans="1:3" x14ac:dyDescent="0.35">
      <c r="C27" s="81"/>
    </row>
    <row r="28" spans="1:3" x14ac:dyDescent="0.35">
      <c r="A28" t="s">
        <v>30</v>
      </c>
      <c r="B28" s="28" t="s">
        <v>31</v>
      </c>
      <c r="C28" t="s">
        <v>32</v>
      </c>
    </row>
    <row r="29" spans="1:3" x14ac:dyDescent="0.35">
      <c r="B29" s="28" t="s">
        <v>33</v>
      </c>
      <c r="C29" t="s">
        <v>34</v>
      </c>
    </row>
  </sheetData>
  <hyperlinks>
    <hyperlink ref="B11" location="'2. Allocate emissions budget'!A1" display="Allocate the emissions budget" xr:uid="{4FD5D108-1D09-429F-BA81-640F650FD8FF}"/>
    <hyperlink ref="B13" location="'3. Technical adjustments'!A1" display="Technical adjustments" xr:uid="{1EF517B5-D0AB-44ED-9CD9-E9695BC6B69B}"/>
    <hyperlink ref="B16" location="'4. Free allocations projections'!A1" display="Industrial free allocation projections" xr:uid="{5E2C5813-CE76-4665-9410-0CC7D814819B}"/>
    <hyperlink ref="B18" location="'5. Surplus reduction volume'!A1" display="Unit surplus reduction volume" xr:uid="{6E1FFE81-E230-49EC-AB5F-CB23433557C0}"/>
    <hyperlink ref="B19" location="'Hedging profile'!A1" display="Hedging profile" xr:uid="{06A0FA64-EF43-44EE-B3D5-93DEE378D05B}"/>
    <hyperlink ref="B20" location="'P90 trends'!A1" display="p90 trends" xr:uid="{15741C76-C3A5-4975-B57E-3AD655AF6C4A}"/>
    <hyperlink ref="B21" location="'Units held'!A1" display="Total units held" xr:uid="{75C94D79-9C99-47AF-9FF9-CBD1F8156B5C}"/>
    <hyperlink ref="B23" location="'7. Auction volume'!A1" display="Calculate auction volumes" xr:uid="{1398DE37-2642-4BE1-B010-3FDF7250EC10}"/>
    <hyperlink ref="B24" location="'Sensitivity analysis'!A1" display="Sensitivity analysis" xr:uid="{DC49BD58-AFE3-4B77-A787-F87DBD34C894}"/>
    <hyperlink ref="B26" location="'CCR volumes'!A1" display="Cost containment reserve volumes" xr:uid="{190694AD-F7A6-47FF-A5E5-B720ACDF6718}"/>
    <hyperlink ref="B28" location="'Demonstration path data'!A1" display="Demonstration path (2022)" xr:uid="{3838A2E6-D929-4961-A2F2-5B85A5281B01}"/>
    <hyperlink ref="B29" location="'Current policy reference data'!A1" display="Current policy reference (2022)" xr:uid="{2F7364F6-66B5-45FC-9C34-85FA2329697E}"/>
    <hyperlink ref="B14" location="'Emissions comparisons'!A1" display="Emissions comparisons" xr:uid="{8BD02B56-71BD-4D3F-B839-EB9C860D6C1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DB45-7653-49C1-ADB8-64A76F2C68C9}">
  <sheetPr>
    <tabColor theme="4"/>
  </sheetPr>
  <dimension ref="A1:AA118"/>
  <sheetViews>
    <sheetView zoomScale="70" zoomScaleNormal="70" workbookViewId="0">
      <pane xSplit="3" ySplit="1" topLeftCell="D2" activePane="bottomRight" state="frozen"/>
      <selection pane="topRight"/>
      <selection pane="bottomLeft"/>
      <selection pane="bottomRight"/>
    </sheetView>
  </sheetViews>
  <sheetFormatPr defaultColWidth="8.7265625" defaultRowHeight="14.5" x14ac:dyDescent="0.35"/>
  <cols>
    <col min="1" max="1" width="19.1796875" customWidth="1"/>
    <col min="2" max="2" width="37.7265625" customWidth="1"/>
    <col min="3" max="3" width="7.1796875" customWidth="1"/>
    <col min="4" max="4" width="13.26953125" customWidth="1"/>
    <col min="5" max="17" width="11.81640625" customWidth="1"/>
    <col min="18" max="18" width="11.1796875" customWidth="1"/>
    <col min="19" max="19" width="16.453125" customWidth="1"/>
    <col min="21" max="21" width="11.453125" bestFit="1" customWidth="1"/>
    <col min="23" max="23" width="11.1796875" customWidth="1"/>
    <col min="24" max="24" width="11.453125" bestFit="1" customWidth="1"/>
    <col min="26" max="26" width="13.26953125" bestFit="1" customWidth="1"/>
  </cols>
  <sheetData>
    <row r="1" spans="1:27" x14ac:dyDescent="0.35">
      <c r="D1">
        <v>2022</v>
      </c>
      <c r="E1">
        <v>2023</v>
      </c>
      <c r="F1">
        <v>2024</v>
      </c>
      <c r="G1">
        <v>2025</v>
      </c>
      <c r="H1">
        <v>2026</v>
      </c>
      <c r="I1">
        <v>2027</v>
      </c>
      <c r="J1">
        <v>2028</v>
      </c>
      <c r="K1">
        <v>2029</v>
      </c>
      <c r="L1">
        <v>2030</v>
      </c>
      <c r="M1">
        <v>2031</v>
      </c>
      <c r="N1">
        <v>2032</v>
      </c>
      <c r="O1">
        <v>2033</v>
      </c>
      <c r="P1">
        <v>2034</v>
      </c>
      <c r="Q1">
        <v>2035</v>
      </c>
      <c r="S1" s="2" t="s">
        <v>35</v>
      </c>
    </row>
    <row r="2" spans="1:27" s="59" customFormat="1" x14ac:dyDescent="0.35">
      <c r="A2" s="58" t="s">
        <v>36</v>
      </c>
      <c r="B2" s="58"/>
      <c r="D2" s="58"/>
      <c r="E2" s="58"/>
      <c r="F2" s="58"/>
      <c r="G2" s="58"/>
      <c r="H2" s="58"/>
      <c r="I2" s="58"/>
      <c r="S2" s="58"/>
    </row>
    <row r="3" spans="1:27" x14ac:dyDescent="0.35">
      <c r="A3" s="2"/>
      <c r="B3" s="2"/>
      <c r="D3" s="2"/>
      <c r="E3" s="2"/>
      <c r="F3" s="2"/>
      <c r="G3" s="2"/>
      <c r="H3" s="2"/>
      <c r="I3" s="2"/>
      <c r="S3" s="2"/>
    </row>
    <row r="4" spans="1:27" x14ac:dyDescent="0.35">
      <c r="A4" s="2" t="s">
        <v>37</v>
      </c>
      <c r="D4" s="2"/>
      <c r="E4" s="2"/>
      <c r="F4" s="2"/>
      <c r="G4" s="2"/>
      <c r="H4" s="2"/>
      <c r="I4" s="2"/>
      <c r="S4" s="2"/>
    </row>
    <row r="5" spans="1:27" s="6" customFormat="1" x14ac:dyDescent="0.35">
      <c r="B5" s="83" t="s">
        <v>38</v>
      </c>
      <c r="D5" s="6">
        <f>'Current policy reference data'!AJ13</f>
        <v>82001.722672802556</v>
      </c>
      <c r="E5" s="6">
        <f>'Current policy reference data'!AK13</f>
        <v>81319.861324096026</v>
      </c>
      <c r="F5" s="6">
        <f>'Current policy reference data'!AL13</f>
        <v>80533.989646387228</v>
      </c>
      <c r="G5" s="6">
        <f>'Current policy reference data'!AM13</f>
        <v>79867.959842884899</v>
      </c>
      <c r="H5" s="6">
        <f>'Current policy reference data'!AN13</f>
        <v>79553.396146937084</v>
      </c>
      <c r="I5" s="6">
        <f>'Current policy reference data'!AO13</f>
        <v>79248.095563331954</v>
      </c>
      <c r="J5" s="6">
        <f>'Current policy reference data'!AP13</f>
        <v>78927.453454264774</v>
      </c>
      <c r="K5" s="6">
        <f>'Current policy reference data'!AQ13</f>
        <v>78842.775159947181</v>
      </c>
      <c r="L5" s="6">
        <f>'Current policy reference data'!AR13</f>
        <v>77910.459075782856</v>
      </c>
      <c r="M5" s="6">
        <f>'Current policy reference data'!AS13</f>
        <v>77766.820300126739</v>
      </c>
      <c r="N5" s="6">
        <f>'Current policy reference data'!AT13</f>
        <v>76934.098187030206</v>
      </c>
      <c r="O5" s="6">
        <f>'Current policy reference data'!AU13</f>
        <v>76490.312864317457</v>
      </c>
      <c r="P5" s="6">
        <f>'Current policy reference data'!AV13</f>
        <v>75989.469639910167</v>
      </c>
      <c r="Q5" s="6">
        <f>'Current policy reference data'!AW13</f>
        <v>75492.258605495503</v>
      </c>
      <c r="S5" s="6">
        <f>SUM(E5:I5)</f>
        <v>400523.30252363725</v>
      </c>
    </row>
    <row r="6" spans="1:27" s="6" customFormat="1" x14ac:dyDescent="0.35">
      <c r="B6" s="83" t="s">
        <v>39</v>
      </c>
      <c r="D6" s="6">
        <f>'Current policy reference data'!AJ12</f>
        <v>75843.45992837919</v>
      </c>
      <c r="E6" s="6">
        <f>'Current policy reference data'!AK12</f>
        <v>75374.605748689573</v>
      </c>
      <c r="F6" s="6">
        <f>'Current policy reference data'!AL12</f>
        <v>74705.917754635782</v>
      </c>
      <c r="G6" s="6">
        <f>'Current policy reference data'!AM12</f>
        <v>73366.240498030136</v>
      </c>
      <c r="H6" s="6">
        <f>'Current policy reference data'!AN12</f>
        <v>71781.249503104613</v>
      </c>
      <c r="I6" s="6">
        <f>'Current policy reference data'!AO12</f>
        <v>70000.450438674743</v>
      </c>
      <c r="J6" s="6">
        <f>'Current policy reference data'!AP12</f>
        <v>67822.363408454563</v>
      </c>
      <c r="K6" s="6">
        <f>'Current policy reference data'!AQ12</f>
        <v>66702.90226406476</v>
      </c>
      <c r="L6" s="6">
        <f>'Current policy reference data'!AR12</f>
        <v>65346.038345573048</v>
      </c>
      <c r="M6" s="6">
        <f>'Current policy reference data'!AS12</f>
        <v>64370.275196348091</v>
      </c>
      <c r="N6" s="6">
        <f>'Current policy reference data'!AT12</f>
        <v>62874.674350810339</v>
      </c>
      <c r="O6" s="6">
        <f>'Current policy reference data'!AU12</f>
        <v>61703.339388185501</v>
      </c>
      <c r="P6" s="6">
        <f>'Current policy reference data'!AV12</f>
        <v>60558.297301932791</v>
      </c>
      <c r="Q6" s="6">
        <f>'Current policy reference data'!AW12</f>
        <v>59356.191455910892</v>
      </c>
      <c r="S6" s="6">
        <f>SUM(E6:I6)</f>
        <v>365228.46394313488</v>
      </c>
    </row>
    <row r="7" spans="1:27" s="6" customFormat="1" x14ac:dyDescent="0.35">
      <c r="A7" s="2" t="s">
        <v>40</v>
      </c>
      <c r="B7" s="83"/>
    </row>
    <row r="8" spans="1:27" s="6" customFormat="1" x14ac:dyDescent="0.35">
      <c r="B8" s="83" t="s">
        <v>38</v>
      </c>
      <c r="D8" s="6">
        <f>'Demonstration path data'!AJ13</f>
        <v>81240.767489933598</v>
      </c>
      <c r="E8" s="6">
        <f>'Demonstration path data'!AK13</f>
        <v>79780.553460662064</v>
      </c>
      <c r="F8" s="6">
        <f>'Demonstration path data'!AL13</f>
        <v>78173.188839064853</v>
      </c>
      <c r="G8" s="6">
        <f>'Demonstration path data'!AM13</f>
        <v>76473.496294303375</v>
      </c>
      <c r="H8" s="6">
        <f>'Demonstration path data'!AN13</f>
        <v>75463.9588344105</v>
      </c>
      <c r="I8" s="6">
        <f>'Demonstration path data'!AO13</f>
        <v>74345.448262647857</v>
      </c>
      <c r="J8" s="6">
        <f>'Demonstration path data'!AP13</f>
        <v>73138.527289639416</v>
      </c>
      <c r="K8" s="6">
        <f>'Demonstration path data'!AQ13</f>
        <v>71871.973500270091</v>
      </c>
      <c r="L8" s="6">
        <f>'Demonstration path data'!AR13</f>
        <v>69500.845487337428</v>
      </c>
      <c r="M8" s="6">
        <f>'Demonstration path data'!AS13</f>
        <v>67956.423787695021</v>
      </c>
      <c r="N8" s="6">
        <f>'Demonstration path data'!AT13</f>
        <v>66363.673920670393</v>
      </c>
      <c r="O8" s="6">
        <f>'Demonstration path data'!AU13</f>
        <v>64867.468758357631</v>
      </c>
      <c r="P8" s="6">
        <f>'Demonstration path data'!AV13</f>
        <v>63371.974696644887</v>
      </c>
      <c r="Q8" s="6">
        <f>'Demonstration path data'!AW13</f>
        <v>61784.515920141952</v>
      </c>
      <c r="S8" s="6">
        <f>SUM(E8:I8)</f>
        <v>384236.64569108863</v>
      </c>
    </row>
    <row r="9" spans="1:27" s="7" customFormat="1" x14ac:dyDescent="0.35">
      <c r="B9" s="84" t="s">
        <v>303</v>
      </c>
      <c r="D9" s="7">
        <f>'Demonstration path data'!AJ12</f>
        <v>74925.865306479027</v>
      </c>
      <c r="E9" s="7">
        <f>'Demonstration path data'!AK12</f>
        <v>73649.020622385171</v>
      </c>
      <c r="F9" s="7">
        <f>'Demonstration path data'!AL12</f>
        <v>72122.053884700057</v>
      </c>
      <c r="G9" s="7">
        <f>'Demonstration path data'!AM12</f>
        <v>69700.308569491928</v>
      </c>
      <c r="H9" s="7">
        <f>'Demonstration path data'!AN12</f>
        <v>66526.613497394224</v>
      </c>
      <c r="I9" s="7">
        <f>'Demonstration path data'!AO12</f>
        <v>63857.721327852705</v>
      </c>
      <c r="J9" s="7">
        <f>'Demonstration path data'!AP12</f>
        <v>60703.389645464289</v>
      </c>
      <c r="K9" s="7">
        <f>'Demonstration path data'!AQ12</f>
        <v>58295.868785954684</v>
      </c>
      <c r="L9" s="7">
        <f>'Demonstration path data'!AR12</f>
        <v>55377.138276367004</v>
      </c>
      <c r="M9" s="7">
        <f>'Demonstration path data'!AS12</f>
        <v>52848.969092993066</v>
      </c>
      <c r="N9" s="7">
        <f>'Demonstration path data'!AT12</f>
        <v>50431.497938212779</v>
      </c>
      <c r="O9" s="7">
        <f>'Demonstration path data'!AU12</f>
        <v>48032.97224724172</v>
      </c>
      <c r="P9" s="7">
        <f>'Demonstration path data'!AV12</f>
        <v>45710.434732651433</v>
      </c>
      <c r="Q9" s="7">
        <f>'Demonstration path data'!AW12</f>
        <v>43236.865732369064</v>
      </c>
      <c r="S9" s="7">
        <f>SUM(E9:I9)</f>
        <v>345855.71790182404</v>
      </c>
    </row>
    <row r="10" spans="1:27" s="7" customFormat="1" x14ac:dyDescent="0.35">
      <c r="B10" s="84"/>
    </row>
    <row r="11" spans="1:27" s="59" customFormat="1" x14ac:dyDescent="0.35">
      <c r="A11" s="58" t="s">
        <v>41</v>
      </c>
      <c r="B11" s="58"/>
      <c r="D11" s="86"/>
      <c r="E11" s="86"/>
      <c r="F11" s="86"/>
      <c r="G11" s="86"/>
      <c r="H11" s="86"/>
      <c r="I11" s="86"/>
      <c r="S11" s="87"/>
    </row>
    <row r="12" spans="1:27" x14ac:dyDescent="0.35">
      <c r="A12" s="2"/>
      <c r="B12" s="2"/>
      <c r="D12" s="82"/>
      <c r="E12" s="82"/>
      <c r="F12" s="82"/>
      <c r="G12" s="82"/>
      <c r="H12" s="82"/>
      <c r="I12" s="82"/>
      <c r="S12" s="17"/>
    </row>
    <row r="13" spans="1:27" x14ac:dyDescent="0.35">
      <c r="A13" s="2" t="s">
        <v>42</v>
      </c>
      <c r="D13" s="19"/>
      <c r="E13" s="19"/>
      <c r="F13" s="65"/>
      <c r="G13" s="65"/>
      <c r="H13" s="65"/>
      <c r="I13" s="65"/>
      <c r="J13" s="12"/>
      <c r="S13" s="6"/>
      <c r="X13" s="5"/>
      <c r="AA13" s="3"/>
    </row>
    <row r="14" spans="1:27" s="6" customFormat="1" x14ac:dyDescent="0.35">
      <c r="B14" t="s">
        <v>43</v>
      </c>
      <c r="D14" s="6">
        <f>'Current policy reference data'!AJ9</f>
        <v>41016.659333916927</v>
      </c>
      <c r="E14" s="6">
        <f>'Current policy reference data'!AK9</f>
        <v>40722.240152774648</v>
      </c>
      <c r="F14" s="6">
        <f>'Current policy reference data'!AL9</f>
        <v>40430.083051772308</v>
      </c>
      <c r="G14" s="6">
        <f>'Current policy reference data'!AM9</f>
        <v>40152.514409759344</v>
      </c>
      <c r="H14" s="6">
        <f>'Current policy reference data'!AN9</f>
        <v>39973.640407629078</v>
      </c>
      <c r="I14" s="6">
        <f>'Current policy reference data'!AO9</f>
        <v>39821.359384887648</v>
      </c>
      <c r="J14" s="6">
        <f>'Current policy reference data'!AP9</f>
        <v>39662.386093551919</v>
      </c>
      <c r="K14" s="6">
        <f>'Current policy reference data'!AQ9</f>
        <v>39518.005615673348</v>
      </c>
      <c r="L14" s="6">
        <f>'Current policy reference data'!AR9</f>
        <v>39375.860901335145</v>
      </c>
      <c r="M14" s="6">
        <f>'Current policy reference data'!AS9</f>
        <v>39238.847378401049</v>
      </c>
      <c r="N14" s="6">
        <f>'Current policy reference data'!AT9</f>
        <v>39079.94962695201</v>
      </c>
      <c r="O14" s="6">
        <f>'Current policy reference data'!AU9</f>
        <v>38932.095200487893</v>
      </c>
      <c r="P14" s="6">
        <f>'Current policy reference data'!AV9</f>
        <v>38776.492183785493</v>
      </c>
      <c r="Q14" s="6">
        <f>'Current policy reference data'!AW9</f>
        <v>38641.797965086429</v>
      </c>
      <c r="S14" s="6">
        <f t="shared" ref="S14:S18" si="0">SUM(E14:I14)</f>
        <v>201099.83740682303</v>
      </c>
    </row>
    <row r="15" spans="1:27" s="6" customFormat="1" x14ac:dyDescent="0.35">
      <c r="B15" t="s">
        <v>44</v>
      </c>
      <c r="D15" s="6">
        <f>'Current policy reference data'!AJ10-'Current policy reference data'!AJ21</f>
        <v>2409.8964242857728</v>
      </c>
      <c r="E15" s="6">
        <f>'Current policy reference data'!AK10-'Current policy reference data'!AK21</f>
        <v>2403.7872785091959</v>
      </c>
      <c r="F15" s="6">
        <f>'Current policy reference data'!AL10-'Current policy reference data'!AL21</f>
        <v>2397.9938129689381</v>
      </c>
      <c r="G15" s="6">
        <f>'Current policy reference data'!AM10-'Current policy reference data'!AM21</f>
        <v>2393.3672276437665</v>
      </c>
      <c r="H15" s="6">
        <f>'Current policy reference data'!AN10-'Current policy reference data'!AN21</f>
        <v>2388.8119100514514</v>
      </c>
      <c r="I15" s="6">
        <f>'Current policy reference data'!AO10-'Current policy reference data'!AO21</f>
        <v>2384.5710478570591</v>
      </c>
      <c r="J15" s="6">
        <f>'Current policy reference data'!AP10-'Current policy reference data'!AP21</f>
        <v>2380.5624467933412</v>
      </c>
      <c r="K15" s="6">
        <f>'Current policy reference data'!AQ10-'Current policy reference data'!AQ21</f>
        <v>2376.8243668646692</v>
      </c>
      <c r="L15" s="6">
        <f>'Current policy reference data'!AR10-'Current policy reference data'!AR21</f>
        <v>2373.2761261411661</v>
      </c>
      <c r="M15" s="6">
        <f>'Current policy reference data'!AS10-'Current policy reference data'!AS21</f>
        <v>2369.6220873830143</v>
      </c>
      <c r="N15" s="6">
        <f>'Current policy reference data'!AT10-'Current policy reference data'!AT21</f>
        <v>2366.1199058039851</v>
      </c>
      <c r="O15" s="6">
        <f>'Current policy reference data'!AU10-'Current policy reference data'!AU21</f>
        <v>2362.7743739613675</v>
      </c>
      <c r="P15" s="6">
        <f>'Current policy reference data'!AV10-'Current policy reference data'!AV21</f>
        <v>2359.5066363489386</v>
      </c>
      <c r="Q15" s="6">
        <f>'Current policy reference data'!AW10-'Current policy reference data'!AW21</f>
        <v>2356.3113791926057</v>
      </c>
      <c r="S15" s="6">
        <f t="shared" si="0"/>
        <v>11968.531277030412</v>
      </c>
    </row>
    <row r="16" spans="1:27" x14ac:dyDescent="0.35">
      <c r="B16" t="s">
        <v>300</v>
      </c>
      <c r="C16" s="30">
        <v>0.38</v>
      </c>
      <c r="D16" s="6">
        <f>$C$16*'Current policy reference data'!AJ23</f>
        <v>582.44080387655811</v>
      </c>
      <c r="E16" s="6">
        <f>$C$16*'Current policy reference data'!AK23</f>
        <v>597.0546142106906</v>
      </c>
      <c r="F16" s="6">
        <f>$C$16*'Current policy reference data'!AL23</f>
        <v>609.7274070285041</v>
      </c>
      <c r="G16" s="6">
        <f>$C$16*'Current policy reference data'!AM23</f>
        <v>598.45309245720375</v>
      </c>
      <c r="H16" s="6">
        <f>$C$16*'Current policy reference data'!AN23</f>
        <v>594.38781857185211</v>
      </c>
      <c r="I16" s="6">
        <f>$C$16*'Current policy reference data'!AO23</f>
        <v>578.23809955173579</v>
      </c>
      <c r="J16" s="6">
        <f>$C$16*'Current policy reference data'!AP23</f>
        <v>564.05745807219887</v>
      </c>
      <c r="K16" s="6">
        <f>$C$16*'Current policy reference data'!AQ23</f>
        <v>557.05764809903042</v>
      </c>
      <c r="L16" s="6">
        <f>$C$16*'Current policy reference data'!AR23</f>
        <v>546.61278262241819</v>
      </c>
      <c r="M16" s="6">
        <f>$C$16*'Current policy reference data'!AS23</f>
        <v>532.1626830547691</v>
      </c>
      <c r="N16" s="6">
        <f>$C$16*'Current policy reference data'!AT23</f>
        <v>518.38888478579008</v>
      </c>
      <c r="O16" s="6">
        <f>$C$16*'Current policy reference data'!AU23</f>
        <v>500.70054554257467</v>
      </c>
      <c r="P16" s="6">
        <f>$C$16*'Current policy reference data'!AV23</f>
        <v>485.85302665444243</v>
      </c>
      <c r="Q16" s="6">
        <f>$C$16*'Current policy reference data'!AW23</f>
        <v>476.64283098540932</v>
      </c>
      <c r="R16" s="62"/>
      <c r="S16" s="6">
        <f>SUM(E16:I16)</f>
        <v>2977.8610318199862</v>
      </c>
    </row>
    <row r="17" spans="1:27" s="6" customFormat="1" x14ac:dyDescent="0.35">
      <c r="B17" t="s">
        <v>335</v>
      </c>
      <c r="D17" s="6">
        <f>'Current policy reference data'!AJ29</f>
        <v>230.7912012229863</v>
      </c>
      <c r="E17" s="6">
        <f>'Current policy reference data'!AK29</f>
        <v>234.54361925936306</v>
      </c>
      <c r="F17" s="6">
        <f>'Current policy reference data'!AL29</f>
        <v>236.93173160768461</v>
      </c>
      <c r="G17" s="6">
        <f>'Current policy reference data'!AM29</f>
        <v>239.652711465576</v>
      </c>
      <c r="H17" s="6">
        <f>'Current policy reference data'!AN29</f>
        <v>242.39264001998779</v>
      </c>
      <c r="I17" s="6">
        <f>'Current policy reference data'!AO29</f>
        <v>245.06235580497241</v>
      </c>
      <c r="J17" s="6">
        <f>'Current policy reference data'!AP29</f>
        <v>247.64218204036609</v>
      </c>
      <c r="K17" s="6">
        <f>'Current policy reference data'!AQ29</f>
        <v>250.00883736241119</v>
      </c>
      <c r="L17" s="6">
        <f>'Current policy reference data'!AR29</f>
        <v>252.18728832902565</v>
      </c>
      <c r="M17" s="6">
        <f>'Current policy reference data'!AS29</f>
        <v>254.29602332857206</v>
      </c>
      <c r="N17" s="6">
        <f>'Current policy reference data'!AT29</f>
        <v>256.34440580371319</v>
      </c>
      <c r="O17" s="6">
        <f>'Current policy reference data'!AU29</f>
        <v>258.3364170615265</v>
      </c>
      <c r="P17" s="6">
        <f>'Current policy reference data'!AV29</f>
        <v>260.28728633968012</v>
      </c>
      <c r="Q17" s="6">
        <f>'Current policy reference data'!AW29</f>
        <v>262.20961404882837</v>
      </c>
      <c r="S17" s="6">
        <f>SUM(E17:I17)</f>
        <v>1198.5830581575838</v>
      </c>
    </row>
    <row r="18" spans="1:27" s="6" customFormat="1" x14ac:dyDescent="0.35">
      <c r="B18" t="s">
        <v>45</v>
      </c>
      <c r="D18" s="6">
        <f>'Current policy reference data'!AJ19</f>
        <v>118.96259807191089</v>
      </c>
      <c r="E18" s="6">
        <f>'Current policy reference data'!AK19</f>
        <v>119.1936523354848</v>
      </c>
      <c r="F18" s="6">
        <f>'Current policy reference data'!AL19</f>
        <v>119.67666575848375</v>
      </c>
      <c r="G18" s="6">
        <f>'Current policy reference data'!AM19</f>
        <v>120.18987601464052</v>
      </c>
      <c r="H18" s="6">
        <f>'Current policy reference data'!AN19</f>
        <v>120.67211637945564</v>
      </c>
      <c r="I18" s="6">
        <f>'Current policy reference data'!AO19</f>
        <v>121.12977181664805</v>
      </c>
      <c r="J18" s="6">
        <f>'Current policy reference data'!AP19</f>
        <v>121.55735738720179</v>
      </c>
      <c r="K18" s="6">
        <f>'Current policy reference data'!AQ19</f>
        <v>121.97471697118148</v>
      </c>
      <c r="L18" s="6">
        <f>'Current policy reference data'!AR19</f>
        <v>122.33277427795721</v>
      </c>
      <c r="M18" s="6">
        <f>'Current policy reference data'!AS19</f>
        <v>122.65912962367568</v>
      </c>
      <c r="N18" s="6">
        <f>'Current policy reference data'!AT19</f>
        <v>122.98972981726227</v>
      </c>
      <c r="O18" s="6">
        <f>'Current policy reference data'!AU19</f>
        <v>123.27505065429928</v>
      </c>
      <c r="P18" s="6">
        <f>'Current policy reference data'!AV19</f>
        <v>123.51241254614196</v>
      </c>
      <c r="Q18" s="6">
        <f>'Current policy reference data'!AW19</f>
        <v>123.72422173752589</v>
      </c>
      <c r="S18" s="6">
        <f t="shared" si="0"/>
        <v>600.86208230471277</v>
      </c>
    </row>
    <row r="19" spans="1:27" x14ac:dyDescent="0.35">
      <c r="B19" t="s">
        <v>334</v>
      </c>
      <c r="D19" s="6">
        <f>'Current policy reference data'!AJ33</f>
        <v>-2173.0897334414153</v>
      </c>
      <c r="E19" s="6">
        <f>'Current policy reference data'!AK33</f>
        <v>-2050.6019703907405</v>
      </c>
      <c r="F19" s="6">
        <f>'Current policy reference data'!AL33</f>
        <v>-1821.5195092326003</v>
      </c>
      <c r="G19" s="6">
        <f>'Current policy reference data'!AM33</f>
        <v>-1341.452333135232</v>
      </c>
      <c r="H19" s="6">
        <f>'Current policy reference data'!AN33</f>
        <v>-856.31781763044</v>
      </c>
      <c r="I19" s="6">
        <f>'Current policy reference data'!AO33</f>
        <v>-516.62014015337445</v>
      </c>
      <c r="J19" s="6">
        <f>'Current policy reference data'!AP33</f>
        <v>-425.6420758207114</v>
      </c>
      <c r="K19" s="6">
        <f>'Current policy reference data'!AQ33</f>
        <v>-309.12622204602667</v>
      </c>
      <c r="L19" s="6">
        <f>'Current policy reference data'!AR33</f>
        <v>-242.80055688681205</v>
      </c>
      <c r="M19" s="6">
        <f>'Current policy reference data'!AS33</f>
        <v>-157.08602297784819</v>
      </c>
      <c r="N19" s="6">
        <f>'Current policy reference data'!AT33</f>
        <v>38.329083286735113</v>
      </c>
      <c r="O19" s="6">
        <f>'Current policy reference data'!AU33</f>
        <v>241.92346843237465</v>
      </c>
      <c r="P19" s="6">
        <f>'Current policy reference data'!AV33</f>
        <v>382.79467302635021</v>
      </c>
      <c r="Q19" s="6">
        <f>'Current policy reference data'!AW33</f>
        <v>391.56733443062694</v>
      </c>
      <c r="R19" s="60"/>
      <c r="S19" s="60">
        <f>SUM(E19:I19)</f>
        <v>-6586.5117705423872</v>
      </c>
    </row>
    <row r="20" spans="1:27" x14ac:dyDescent="0.35">
      <c r="D20" s="6"/>
      <c r="E20" s="6"/>
      <c r="F20" s="6"/>
      <c r="G20" s="6"/>
      <c r="H20" s="6"/>
      <c r="I20" s="6"/>
      <c r="J20" s="6"/>
      <c r="K20" s="6"/>
      <c r="L20" s="6"/>
      <c r="M20" s="6"/>
      <c r="N20" s="6"/>
      <c r="O20" s="6"/>
      <c r="P20" s="6"/>
      <c r="Q20" s="6"/>
      <c r="R20" s="5"/>
      <c r="S20" s="60"/>
    </row>
    <row r="21" spans="1:27" x14ac:dyDescent="0.35">
      <c r="B21" t="s">
        <v>46</v>
      </c>
      <c r="D21" s="6">
        <f>SUM(D14:D18)</f>
        <v>44358.750361374157</v>
      </c>
      <c r="E21" s="6">
        <f>SUM(E14:E18)</f>
        <v>44076.819317089379</v>
      </c>
      <c r="F21" s="6">
        <f t="shared" ref="F21:Q21" si="1">F14+F15+F16+F18+F17</f>
        <v>43794.41266913592</v>
      </c>
      <c r="G21" s="6">
        <f t="shared" si="1"/>
        <v>43504.177317340531</v>
      </c>
      <c r="H21" s="6">
        <f t="shared" si="1"/>
        <v>43319.904892651823</v>
      </c>
      <c r="I21" s="6">
        <f t="shared" si="1"/>
        <v>43150.360659918064</v>
      </c>
      <c r="J21" s="6">
        <f t="shared" si="1"/>
        <v>42976.205537845024</v>
      </c>
      <c r="K21" s="6">
        <f t="shared" si="1"/>
        <v>42823.871184970638</v>
      </c>
      <c r="L21" s="6">
        <f t="shared" si="1"/>
        <v>42670.269872705714</v>
      </c>
      <c r="M21" s="6">
        <f t="shared" si="1"/>
        <v>42517.587301791078</v>
      </c>
      <c r="N21" s="6">
        <f t="shared" si="1"/>
        <v>42343.792553162762</v>
      </c>
      <c r="O21" s="6">
        <f t="shared" si="1"/>
        <v>42177.181587707659</v>
      </c>
      <c r="P21" s="6">
        <f t="shared" si="1"/>
        <v>42005.651545674693</v>
      </c>
      <c r="Q21" s="6">
        <f t="shared" si="1"/>
        <v>41860.686011050799</v>
      </c>
      <c r="R21" s="60"/>
      <c r="S21" s="60">
        <f>SUM(E21:I21)</f>
        <v>217845.67485613574</v>
      </c>
      <c r="U21" s="6"/>
    </row>
    <row r="22" spans="1:27" x14ac:dyDescent="0.35">
      <c r="B22" t="s">
        <v>47</v>
      </c>
      <c r="D22" s="6">
        <f>D19+D21</f>
        <v>42185.660627932739</v>
      </c>
      <c r="E22" s="6">
        <f>E19+E21</f>
        <v>42026.217346698642</v>
      </c>
      <c r="F22" s="6">
        <f t="shared" ref="F22:Q22" si="2">F19+F21</f>
        <v>41972.893159903317</v>
      </c>
      <c r="G22" s="6">
        <f t="shared" si="2"/>
        <v>42162.724984205299</v>
      </c>
      <c r="H22" s="6">
        <f t="shared" si="2"/>
        <v>42463.58707502138</v>
      </c>
      <c r="I22" s="6">
        <f t="shared" si="2"/>
        <v>42633.740519764688</v>
      </c>
      <c r="J22" s="6">
        <f t="shared" si="2"/>
        <v>42550.563462024315</v>
      </c>
      <c r="K22" s="6">
        <f t="shared" si="2"/>
        <v>42514.744962924611</v>
      </c>
      <c r="L22" s="6">
        <f t="shared" si="2"/>
        <v>42427.469315818904</v>
      </c>
      <c r="M22" s="6">
        <f t="shared" si="2"/>
        <v>42360.50127881323</v>
      </c>
      <c r="N22" s="6">
        <f t="shared" si="2"/>
        <v>42382.121636449498</v>
      </c>
      <c r="O22" s="6">
        <f t="shared" si="2"/>
        <v>42419.105056140033</v>
      </c>
      <c r="P22" s="6">
        <f t="shared" si="2"/>
        <v>42388.446218701043</v>
      </c>
      <c r="Q22" s="6">
        <f t="shared" si="2"/>
        <v>42252.253345481426</v>
      </c>
      <c r="R22" s="60"/>
      <c r="S22" s="60">
        <f>SUM(E22:I22)</f>
        <v>211259.16308559332</v>
      </c>
    </row>
    <row r="23" spans="1:27" x14ac:dyDescent="0.35">
      <c r="D23" s="6"/>
      <c r="E23" s="6"/>
      <c r="F23" s="6"/>
      <c r="G23" s="6"/>
      <c r="H23" s="6"/>
      <c r="I23" s="6"/>
      <c r="J23" s="6"/>
      <c r="K23" s="6"/>
      <c r="L23" s="6"/>
      <c r="M23" s="6"/>
      <c r="N23" s="6"/>
      <c r="O23" s="6"/>
      <c r="P23" s="6"/>
      <c r="Q23" s="6"/>
      <c r="R23" s="60"/>
      <c r="S23" s="60"/>
      <c r="X23" s="6"/>
    </row>
    <row r="24" spans="1:27" x14ac:dyDescent="0.35">
      <c r="A24" s="2" t="s">
        <v>48</v>
      </c>
      <c r="D24" s="61"/>
      <c r="E24" s="61"/>
      <c r="F24" s="61"/>
      <c r="G24" s="61"/>
      <c r="H24" s="61"/>
      <c r="I24" s="61"/>
      <c r="J24" s="60"/>
      <c r="K24" s="60"/>
      <c r="L24" s="60"/>
      <c r="M24" s="60"/>
      <c r="N24" s="60"/>
      <c r="O24" s="60"/>
      <c r="P24" s="60"/>
      <c r="Q24" s="60"/>
      <c r="R24" s="60"/>
      <c r="S24" s="60"/>
    </row>
    <row r="25" spans="1:27" s="132" customFormat="1" x14ac:dyDescent="0.35">
      <c r="B25" s="133" t="s">
        <v>49</v>
      </c>
      <c r="D25" s="134">
        <f t="shared" ref="D25:Q25" si="3">D$9-D22</f>
        <v>32740.204678546288</v>
      </c>
      <c r="E25" s="134">
        <f t="shared" si="3"/>
        <v>31622.803275686529</v>
      </c>
      <c r="F25" s="134">
        <f t="shared" si="3"/>
        <v>30149.16072479674</v>
      </c>
      <c r="G25" s="134">
        <f t="shared" si="3"/>
        <v>27537.583585286629</v>
      </c>
      <c r="H25" s="134">
        <f t="shared" si="3"/>
        <v>24063.026422372845</v>
      </c>
      <c r="I25" s="134">
        <f t="shared" si="3"/>
        <v>21223.980808088018</v>
      </c>
      <c r="J25" s="134">
        <f t="shared" si="3"/>
        <v>18152.826183439975</v>
      </c>
      <c r="K25" s="134">
        <f t="shared" si="3"/>
        <v>15781.123823030073</v>
      </c>
      <c r="L25" s="134">
        <f t="shared" si="3"/>
        <v>12949.668960548101</v>
      </c>
      <c r="M25" s="134">
        <f t="shared" si="3"/>
        <v>10488.467814179836</v>
      </c>
      <c r="N25" s="134">
        <f t="shared" si="3"/>
        <v>8049.3763017632809</v>
      </c>
      <c r="O25" s="134">
        <f t="shared" si="3"/>
        <v>5613.8671911016863</v>
      </c>
      <c r="P25" s="134">
        <f t="shared" si="3"/>
        <v>3321.9885139503895</v>
      </c>
      <c r="Q25" s="134">
        <f t="shared" si="3"/>
        <v>984.61238688763842</v>
      </c>
      <c r="R25" s="135"/>
      <c r="S25" s="134">
        <f>SUM(E25:I25)</f>
        <v>134596.55481623078</v>
      </c>
    </row>
    <row r="26" spans="1:27" s="112" customFormat="1" ht="15" thickBot="1" x14ac:dyDescent="0.4">
      <c r="B26" s="129" t="s">
        <v>336</v>
      </c>
      <c r="D26" s="130">
        <f>D25/1000</f>
        <v>32.740204678546291</v>
      </c>
      <c r="E26" s="130">
        <f t="shared" ref="E26:S26" si="4">E25/1000</f>
        <v>31.622803275686529</v>
      </c>
      <c r="F26" s="130">
        <f t="shared" si="4"/>
        <v>30.14916072479674</v>
      </c>
      <c r="G26" s="130">
        <f t="shared" si="4"/>
        <v>27.53758358528663</v>
      </c>
      <c r="H26" s="130">
        <f t="shared" si="4"/>
        <v>24.063026422372843</v>
      </c>
      <c r="I26" s="130">
        <f t="shared" si="4"/>
        <v>21.223980808088019</v>
      </c>
      <c r="J26" s="130">
        <f t="shared" si="4"/>
        <v>18.152826183439974</v>
      </c>
      <c r="K26" s="130">
        <f t="shared" si="4"/>
        <v>15.781123823030073</v>
      </c>
      <c r="L26" s="130">
        <f t="shared" si="4"/>
        <v>12.949668960548101</v>
      </c>
      <c r="M26" s="130">
        <f t="shared" si="4"/>
        <v>10.488467814179836</v>
      </c>
      <c r="N26" s="130">
        <f t="shared" si="4"/>
        <v>8.0493763017632816</v>
      </c>
      <c r="O26" s="130">
        <f t="shared" si="4"/>
        <v>5.6138671911016864</v>
      </c>
      <c r="P26" s="130">
        <f t="shared" si="4"/>
        <v>3.3219885139503895</v>
      </c>
      <c r="Q26" s="130">
        <f t="shared" si="4"/>
        <v>0.98461238688763841</v>
      </c>
      <c r="R26" s="131"/>
      <c r="S26" s="130">
        <f t="shared" si="4"/>
        <v>134.59655481623079</v>
      </c>
    </row>
    <row r="27" spans="1:27" ht="15" thickTop="1" x14ac:dyDescent="0.35">
      <c r="B27" s="2"/>
      <c r="D27" s="66"/>
      <c r="E27" s="66"/>
      <c r="F27" s="66"/>
      <c r="G27" s="66"/>
      <c r="H27" s="66"/>
      <c r="I27" s="66"/>
      <c r="J27" s="12"/>
      <c r="K27" s="12"/>
      <c r="L27" s="12"/>
      <c r="M27" s="12"/>
      <c r="N27" s="12"/>
      <c r="O27" s="12"/>
      <c r="P27" s="12"/>
      <c r="Q27" s="12"/>
      <c r="R27" s="12"/>
      <c r="S27" s="12"/>
    </row>
    <row r="28" spans="1:27" s="59" customFormat="1" x14ac:dyDescent="0.35">
      <c r="A28" s="58" t="s">
        <v>302</v>
      </c>
      <c r="B28" s="58"/>
      <c r="D28" s="86"/>
      <c r="E28" s="86"/>
      <c r="F28" s="86"/>
      <c r="G28" s="86"/>
      <c r="H28" s="86"/>
      <c r="I28" s="86"/>
      <c r="S28" s="87"/>
    </row>
    <row r="29" spans="1:27" x14ac:dyDescent="0.35">
      <c r="A29" s="2"/>
      <c r="B29" s="2"/>
      <c r="D29" s="82"/>
      <c r="E29" s="82"/>
      <c r="F29" s="82"/>
      <c r="G29" s="82"/>
      <c r="H29" s="82"/>
      <c r="I29" s="82"/>
      <c r="S29" s="17"/>
    </row>
    <row r="30" spans="1:27" x14ac:dyDescent="0.35">
      <c r="A30" s="2" t="s">
        <v>42</v>
      </c>
      <c r="D30" s="19"/>
      <c r="E30" s="19"/>
      <c r="F30" s="65"/>
      <c r="G30" s="65"/>
      <c r="H30" s="65"/>
      <c r="I30" s="65"/>
      <c r="J30" s="12"/>
      <c r="S30" s="6"/>
      <c r="X30" s="5"/>
      <c r="AA30" s="3"/>
    </row>
    <row r="31" spans="1:27" x14ac:dyDescent="0.35">
      <c r="B31" t="s">
        <v>43</v>
      </c>
      <c r="D31" s="67">
        <f>'Demonstration path data'!AJ9</f>
        <v>40731.04605066021</v>
      </c>
      <c r="E31" s="67">
        <f>'Demonstration path data'!AK9</f>
        <v>40230.832560766859</v>
      </c>
      <c r="F31" s="67">
        <f>'Demonstration path data'!AL9</f>
        <v>39764.957224016951</v>
      </c>
      <c r="G31" s="67">
        <f>'Demonstration path data'!AM9</f>
        <v>39305.255430351666</v>
      </c>
      <c r="H31" s="67">
        <f>'Demonstration path data'!AN9</f>
        <v>38946.182000135603</v>
      </c>
      <c r="I31" s="67">
        <f>'Demonstration path data'!AO9</f>
        <v>38611.716142501347</v>
      </c>
      <c r="J31" s="67">
        <f>'Demonstration path data'!AP9</f>
        <v>38236.927856504379</v>
      </c>
      <c r="K31" s="67">
        <f>'Demonstration path data'!AQ9</f>
        <v>37868.956785624025</v>
      </c>
      <c r="L31" s="67">
        <f>'Demonstration path data'!AR9</f>
        <v>37508.915932481541</v>
      </c>
      <c r="M31" s="67">
        <f>'Demonstration path data'!AS9</f>
        <v>37227.232644336218</v>
      </c>
      <c r="N31" s="67">
        <f>'Demonstration path data'!AT9</f>
        <v>36930.449057861675</v>
      </c>
      <c r="O31" s="67">
        <f>'Demonstration path data'!AU9</f>
        <v>36657.265503719165</v>
      </c>
      <c r="P31" s="67">
        <f>'Demonstration path data'!AV9</f>
        <v>36375.348152836334</v>
      </c>
      <c r="Q31" s="67">
        <f>'Demonstration path data'!AW9</f>
        <v>36099.714489053484</v>
      </c>
      <c r="R31" s="60"/>
      <c r="S31" s="60">
        <f t="shared" ref="S31:S35" si="5">SUM(E31:I31)</f>
        <v>196858.94335777243</v>
      </c>
      <c r="X31" s="5"/>
      <c r="AA31" s="3"/>
    </row>
    <row r="32" spans="1:27" x14ac:dyDescent="0.35">
      <c r="B32" t="s">
        <v>44</v>
      </c>
      <c r="D32" s="67">
        <f>'Demonstration path data'!AJ10-'Demonstration path data'!AJ21</f>
        <v>2409.9202625945004</v>
      </c>
      <c r="E32" s="67">
        <f>'Demonstration path data'!AK10-'Demonstration path data'!AK21</f>
        <v>2354.1457586086199</v>
      </c>
      <c r="F32" s="67">
        <f>'Demonstration path data'!AL10-'Demonstration path data'!AL21</f>
        <v>2296.4355546371535</v>
      </c>
      <c r="G32" s="67">
        <f>'Demonstration path data'!AM10-'Demonstration path data'!AM21</f>
        <v>2238.0846460725734</v>
      </c>
      <c r="H32" s="67">
        <f>'Demonstration path data'!AN10-'Demonstration path data'!AN21</f>
        <v>2178.4652387847218</v>
      </c>
      <c r="I32" s="67">
        <f>'Demonstration path data'!AO10-'Demonstration path data'!AO21</f>
        <v>2118.2016676872381</v>
      </c>
      <c r="J32" s="67">
        <f>'Demonstration path data'!AP10-'Demonstration path data'!AP21</f>
        <v>2057.5519988128895</v>
      </c>
      <c r="K32" s="67">
        <f>'Demonstration path data'!AQ10-'Demonstration path data'!AQ21</f>
        <v>1996.8315137527143</v>
      </c>
      <c r="L32" s="67">
        <f>'Demonstration path data'!AR10-'Demonstration path data'!AR21</f>
        <v>1936.2302715894532</v>
      </c>
      <c r="M32" s="67">
        <f>'Demonstration path data'!AS10-'Demonstration path data'!AS21</f>
        <v>1893.7665841162325</v>
      </c>
      <c r="N32" s="67">
        <f>'Demonstration path data'!AT10-'Demonstration path data'!AT21</f>
        <v>1851.6230489447298</v>
      </c>
      <c r="O32" s="67">
        <f>'Demonstration path data'!AU10-'Demonstration path data'!AU21</f>
        <v>1809.8073294927019</v>
      </c>
      <c r="P32" s="67">
        <f>'Demonstration path data'!AV10-'Demonstration path data'!AV21</f>
        <v>1768.2461466375221</v>
      </c>
      <c r="Q32" s="67">
        <f>'Demonstration path data'!AW10-'Demonstration path data'!AW21</f>
        <v>1726.9422874240479</v>
      </c>
      <c r="R32" s="60"/>
      <c r="S32" s="60">
        <f t="shared" si="5"/>
        <v>11185.332865790308</v>
      </c>
    </row>
    <row r="33" spans="1:19" x14ac:dyDescent="0.35">
      <c r="B33" t="s">
        <v>300</v>
      </c>
      <c r="C33" s="30">
        <v>0.38</v>
      </c>
      <c r="D33" s="18">
        <f>$C$33*'Demonstration path data'!AJ23</f>
        <v>582.4749857944397</v>
      </c>
      <c r="E33" s="18">
        <f>$C$33*'Demonstration path data'!AK23</f>
        <v>561.29291327195824</v>
      </c>
      <c r="F33" s="18">
        <f>$C$33*'Demonstration path data'!AL23</f>
        <v>573.69617964551185</v>
      </c>
      <c r="G33" s="18">
        <f>$C$33*'Demonstration path data'!AM23</f>
        <v>563.17331613992053</v>
      </c>
      <c r="H33" s="18">
        <f>$C$33*'Demonstration path data'!AN23</f>
        <v>559.26513189600178</v>
      </c>
      <c r="I33" s="18">
        <f>$C$33*'Demonstration path data'!AO23</f>
        <v>543.58528348006587</v>
      </c>
      <c r="J33" s="18">
        <f>$C$33*'Demonstration path data'!AP23</f>
        <v>529.95114379767426</v>
      </c>
      <c r="K33" s="18">
        <f>$C$33*'Demonstration path data'!AQ23</f>
        <v>523.35648450057636</v>
      </c>
      <c r="L33" s="18">
        <f>$C$33*'Demonstration path data'!AR23</f>
        <v>457.23458382861855</v>
      </c>
      <c r="M33" s="18">
        <f>$C$33*'Demonstration path data'!AS23</f>
        <v>444.18998834667724</v>
      </c>
      <c r="N33" s="18">
        <f>$C$33*'Demonstration path data'!AT23</f>
        <v>431.9915439382566</v>
      </c>
      <c r="O33" s="18">
        <f>$C$33*'Demonstration path data'!AU23</f>
        <v>416.44236473710527</v>
      </c>
      <c r="P33" s="18">
        <f>$C$33*'Demonstration path data'!AV23</f>
        <v>403.3064950340023</v>
      </c>
      <c r="Q33" s="18">
        <f>$C$33*'Demonstration path data'!AW23</f>
        <v>401.72769791708964</v>
      </c>
      <c r="R33" s="62"/>
      <c r="S33" s="60">
        <f t="shared" si="5"/>
        <v>2801.0128244334578</v>
      </c>
    </row>
    <row r="34" spans="1:19" x14ac:dyDescent="0.35">
      <c r="B34" t="s">
        <v>335</v>
      </c>
      <c r="D34" s="18">
        <f>'Demonstration path data'!AJ29</f>
        <v>231.63399238479201</v>
      </c>
      <c r="E34" s="18">
        <f>'Demonstration path data'!AK29</f>
        <v>235.88031205724425</v>
      </c>
      <c r="F34" s="18">
        <f>'Demonstration path data'!AL29</f>
        <v>239.01888006207875</v>
      </c>
      <c r="G34" s="18">
        <f>'Demonstration path data'!AM29</f>
        <v>242.56287144721853</v>
      </c>
      <c r="H34" s="18">
        <f>'Demonstration path data'!AN29</f>
        <v>246.07429142787544</v>
      </c>
      <c r="I34" s="18">
        <f>'Demonstration path data'!AO29</f>
        <v>249.8031487049364</v>
      </c>
      <c r="J34" s="18">
        <f>'Demonstration path data'!AP29</f>
        <v>253.41290945652128</v>
      </c>
      <c r="K34" s="18">
        <f>'Demonstration path data'!AQ29</f>
        <v>257.02647561344668</v>
      </c>
      <c r="L34" s="18">
        <f>'Demonstration path data'!AR29</f>
        <v>260.49667811194422</v>
      </c>
      <c r="M34" s="18">
        <f>'Demonstration path data'!AS29</f>
        <v>263.98362964767881</v>
      </c>
      <c r="N34" s="18">
        <f>'Demonstration path data'!AT29</f>
        <v>267.40562463279423</v>
      </c>
      <c r="O34" s="18">
        <f>'Demonstration path data'!AU29</f>
        <v>270.89091248154307</v>
      </c>
      <c r="P34" s="18">
        <f>'Demonstration path data'!AV29</f>
        <v>274.44895234232786</v>
      </c>
      <c r="Q34" s="18">
        <f>'Demonstration path data'!AW29</f>
        <v>278.31652548667637</v>
      </c>
      <c r="R34" s="5"/>
      <c r="S34" s="60">
        <f>SUM(E34:I34)</f>
        <v>1213.3395036993534</v>
      </c>
    </row>
    <row r="35" spans="1:19" x14ac:dyDescent="0.35">
      <c r="B35" t="s">
        <v>45</v>
      </c>
      <c r="D35" s="18">
        <f>'Demonstration path data'!AJ19</f>
        <v>119.70741140819536</v>
      </c>
      <c r="E35" s="18">
        <f>'Demonstration path data'!AK19</f>
        <v>120.47023708725533</v>
      </c>
      <c r="F35" s="18">
        <f>'Demonstration path data'!AL19</f>
        <v>121.27989697286772</v>
      </c>
      <c r="G35" s="18">
        <f>'Demonstration path data'!AM19</f>
        <v>122.05730212416833</v>
      </c>
      <c r="H35" s="18">
        <f>'Demonstration path data'!AN19</f>
        <v>122.72836678149071</v>
      </c>
      <c r="I35" s="18">
        <f>'Demonstration path data'!AO19</f>
        <v>123.29096732886505</v>
      </c>
      <c r="J35" s="18">
        <f>'Demonstration path data'!AP19</f>
        <v>123.75498004588582</v>
      </c>
      <c r="K35" s="18">
        <f>'Demonstration path data'!AQ19</f>
        <v>124.13574097417836</v>
      </c>
      <c r="L35" s="18">
        <f>'Demonstration path data'!AR19</f>
        <v>124.45031781607575</v>
      </c>
      <c r="M35" s="18">
        <f>'Demonstration path data'!AS19</f>
        <v>124.81577890055688</v>
      </c>
      <c r="N35" s="18">
        <f>'Demonstration path data'!AT19</f>
        <v>125.14148828536639</v>
      </c>
      <c r="O35" s="18">
        <f>'Demonstration path data'!AU19</f>
        <v>125.43073459718977</v>
      </c>
      <c r="P35" s="18">
        <f>'Demonstration path data'!AV19</f>
        <v>125.68474452373451</v>
      </c>
      <c r="Q35" s="18">
        <f>'Demonstration path data'!AW19</f>
        <v>125.9097720672725</v>
      </c>
      <c r="R35" s="5"/>
      <c r="S35" s="60">
        <f t="shared" si="5"/>
        <v>609.82677029464719</v>
      </c>
    </row>
    <row r="36" spans="1:19" x14ac:dyDescent="0.35">
      <c r="B36" t="s">
        <v>334</v>
      </c>
      <c r="D36" s="18">
        <f>'Demonstration path data'!AJ33</f>
        <v>-2301.7160945525266</v>
      </c>
      <c r="E36" s="18">
        <f>'Demonstration path data'!AK33</f>
        <v>-2179.2283315018508</v>
      </c>
      <c r="F36" s="18">
        <f>'Demonstration path data'!AL33</f>
        <v>-1950.1458703437111</v>
      </c>
      <c r="G36" s="18">
        <f>'Demonstration path data'!AM33</f>
        <v>-1470.0786942463437</v>
      </c>
      <c r="H36" s="18">
        <f>'Demonstration path data'!AN33</f>
        <v>-1700.9189661542396</v>
      </c>
      <c r="I36" s="18">
        <f>'Demonstration path data'!AO33</f>
        <v>-1475.3890263347057</v>
      </c>
      <c r="J36" s="18">
        <f>'Demonstration path data'!AP33</f>
        <v>-1382.4252034916153</v>
      </c>
      <c r="K36" s="18">
        <f>'Demonstration path data'!AQ33</f>
        <v>-1263.9235912065033</v>
      </c>
      <c r="L36" s="18">
        <f>'Demonstration path data'!AR33</f>
        <v>-1195.6121675368613</v>
      </c>
      <c r="M36" s="18">
        <f>'Demonstration path data'!AS33</f>
        <v>-1107.9118751174701</v>
      </c>
      <c r="N36" s="18">
        <f>'Demonstration path data'!AT33</f>
        <v>-910.51101034245585</v>
      </c>
      <c r="O36" s="18">
        <f>'Demonstration path data'!AU33</f>
        <v>-704.93086668638898</v>
      </c>
      <c r="P36" s="18">
        <f>'Demonstration path data'!AV33</f>
        <v>-562.07390358198609</v>
      </c>
      <c r="Q36" s="18">
        <f>'Demonstration path data'!AW33</f>
        <v>-551.3154836672802</v>
      </c>
      <c r="R36" s="60"/>
      <c r="S36" s="60">
        <f>SUM(E36:I36)</f>
        <v>-8775.7608885808513</v>
      </c>
    </row>
    <row r="37" spans="1:19" x14ac:dyDescent="0.35">
      <c r="F37" s="15"/>
      <c r="G37" s="15"/>
      <c r="H37" s="15"/>
      <c r="I37" s="15"/>
      <c r="J37" s="12"/>
      <c r="K37" s="15"/>
      <c r="L37" s="15"/>
      <c r="M37" s="15"/>
      <c r="N37" s="15"/>
      <c r="O37" s="15"/>
      <c r="P37" s="12"/>
      <c r="Q37" s="15"/>
      <c r="R37" s="15"/>
      <c r="S37" s="60"/>
    </row>
    <row r="38" spans="1:19" x14ac:dyDescent="0.35">
      <c r="B38" t="s">
        <v>46</v>
      </c>
      <c r="D38" s="6">
        <f t="shared" ref="D38:Q38" si="6">SUM(D31:D35)</f>
        <v>44074.782702842145</v>
      </c>
      <c r="E38" s="6">
        <f t="shared" si="6"/>
        <v>43502.621781791931</v>
      </c>
      <c r="F38" s="6">
        <f t="shared" si="6"/>
        <v>42995.387735334567</v>
      </c>
      <c r="G38" s="6">
        <f t="shared" si="6"/>
        <v>42471.133566135541</v>
      </c>
      <c r="H38" s="6">
        <f t="shared" si="6"/>
        <v>42052.715029025698</v>
      </c>
      <c r="I38" s="6">
        <f t="shared" si="6"/>
        <v>41646.597209702457</v>
      </c>
      <c r="J38" s="6">
        <f t="shared" si="6"/>
        <v>41201.598888617351</v>
      </c>
      <c r="K38" s="6">
        <f t="shared" si="6"/>
        <v>40770.307000464942</v>
      </c>
      <c r="L38" s="6">
        <f t="shared" si="6"/>
        <v>40287.327783827634</v>
      </c>
      <c r="M38" s="6">
        <f t="shared" si="6"/>
        <v>39953.98862534736</v>
      </c>
      <c r="N38" s="6">
        <f t="shared" si="6"/>
        <v>39606.610763662815</v>
      </c>
      <c r="O38" s="6">
        <f t="shared" si="6"/>
        <v>39279.836845027705</v>
      </c>
      <c r="P38" s="6">
        <f t="shared" si="6"/>
        <v>38947.034491373925</v>
      </c>
      <c r="Q38" s="6">
        <f t="shared" si="6"/>
        <v>38632.610771948574</v>
      </c>
      <c r="R38" s="60"/>
      <c r="S38" s="60">
        <f>SUM(E38:I38)</f>
        <v>212668.45532199019</v>
      </c>
    </row>
    <row r="39" spans="1:19" x14ac:dyDescent="0.35">
      <c r="B39" t="s">
        <v>47</v>
      </c>
      <c r="D39" s="6">
        <f>D36+D38</f>
        <v>41773.06660828962</v>
      </c>
      <c r="E39" s="6">
        <f>E36+E38</f>
        <v>41323.393450290081</v>
      </c>
      <c r="F39" s="6">
        <f t="shared" ref="F39:Q39" si="7">F36+F38</f>
        <v>41045.241864990858</v>
      </c>
      <c r="G39" s="6">
        <f t="shared" si="7"/>
        <v>41001.054871889195</v>
      </c>
      <c r="H39" s="6">
        <f t="shared" si="7"/>
        <v>40351.796062871457</v>
      </c>
      <c r="I39" s="6">
        <f t="shared" si="7"/>
        <v>40171.208183367751</v>
      </c>
      <c r="J39" s="6">
        <f t="shared" si="7"/>
        <v>39819.173685125737</v>
      </c>
      <c r="K39" s="6">
        <f t="shared" si="7"/>
        <v>39506.383409258437</v>
      </c>
      <c r="L39" s="6">
        <f t="shared" si="7"/>
        <v>39091.71561629077</v>
      </c>
      <c r="M39" s="6">
        <f t="shared" si="7"/>
        <v>38846.076750229891</v>
      </c>
      <c r="N39" s="6">
        <f t="shared" si="7"/>
        <v>38696.099753320363</v>
      </c>
      <c r="O39" s="6">
        <f t="shared" si="7"/>
        <v>38574.905978341318</v>
      </c>
      <c r="P39" s="6">
        <f t="shared" si="7"/>
        <v>38384.960587791938</v>
      </c>
      <c r="Q39" s="6">
        <f t="shared" si="7"/>
        <v>38081.295288281297</v>
      </c>
      <c r="R39" s="60"/>
      <c r="S39" s="60">
        <f>SUM(E39:I39)</f>
        <v>203892.69443340931</v>
      </c>
    </row>
    <row r="40" spans="1:19" x14ac:dyDescent="0.35">
      <c r="D40" s="67"/>
      <c r="E40" s="146"/>
      <c r="F40" s="146"/>
      <c r="G40" s="146"/>
      <c r="H40" s="146"/>
      <c r="I40" s="146"/>
      <c r="J40" s="60"/>
      <c r="K40" s="60"/>
      <c r="L40" s="60"/>
      <c r="M40" s="60"/>
      <c r="N40" s="60"/>
      <c r="O40" s="60"/>
      <c r="P40" s="60"/>
      <c r="Q40" s="60"/>
      <c r="R40" s="60"/>
      <c r="S40" s="60"/>
    </row>
    <row r="41" spans="1:19" x14ac:dyDescent="0.35">
      <c r="A41" s="2" t="s">
        <v>50</v>
      </c>
      <c r="D41" s="67"/>
      <c r="E41" s="67"/>
      <c r="F41" s="67"/>
      <c r="G41" s="67"/>
      <c r="H41" s="67"/>
      <c r="I41" s="67"/>
      <c r="J41" s="60"/>
      <c r="K41" s="60"/>
      <c r="L41" s="60"/>
      <c r="M41" s="60"/>
      <c r="N41" s="60"/>
      <c r="O41" s="60"/>
      <c r="P41" s="60"/>
      <c r="Q41" s="60"/>
      <c r="R41" s="60"/>
      <c r="S41" s="60"/>
    </row>
    <row r="42" spans="1:19" s="132" customFormat="1" x14ac:dyDescent="0.35">
      <c r="B42" s="133" t="s">
        <v>51</v>
      </c>
      <c r="D42" s="134">
        <f t="shared" ref="D42:Q42" si="8">D$9-D39</f>
        <v>33152.798698189406</v>
      </c>
      <c r="E42" s="149">
        <f t="shared" si="8"/>
        <v>32325.62717209509</v>
      </c>
      <c r="F42" s="149">
        <f t="shared" si="8"/>
        <v>31076.812019709199</v>
      </c>
      <c r="G42" s="149">
        <f t="shared" si="8"/>
        <v>28699.253697602733</v>
      </c>
      <c r="H42" s="149">
        <f t="shared" si="8"/>
        <v>26174.817434522767</v>
      </c>
      <c r="I42" s="149">
        <f t="shared" si="8"/>
        <v>23686.513144484954</v>
      </c>
      <c r="J42" s="134">
        <f t="shared" si="8"/>
        <v>20884.215960338552</v>
      </c>
      <c r="K42" s="134">
        <f t="shared" si="8"/>
        <v>18789.485376696248</v>
      </c>
      <c r="L42" s="134">
        <f t="shared" si="8"/>
        <v>16285.422660076234</v>
      </c>
      <c r="M42" s="134">
        <f t="shared" si="8"/>
        <v>14002.892342763174</v>
      </c>
      <c r="N42" s="134">
        <f t="shared" si="8"/>
        <v>11735.398184892416</v>
      </c>
      <c r="O42" s="134">
        <f t="shared" si="8"/>
        <v>9458.0662689004021</v>
      </c>
      <c r="P42" s="134">
        <f t="shared" si="8"/>
        <v>7325.4741448594941</v>
      </c>
      <c r="Q42" s="134">
        <f t="shared" si="8"/>
        <v>5155.5704440877671</v>
      </c>
      <c r="R42" s="135"/>
      <c r="S42" s="134">
        <f>SUM(E42:I42)</f>
        <v>141963.02346841473</v>
      </c>
    </row>
    <row r="43" spans="1:19" s="112" customFormat="1" ht="15" thickBot="1" x14ac:dyDescent="0.4">
      <c r="B43" s="129" t="s">
        <v>336</v>
      </c>
      <c r="D43" s="130">
        <f>D42/1000</f>
        <v>33.152798698189407</v>
      </c>
      <c r="E43" s="148">
        <f t="shared" ref="E43:Q43" si="9">E42/1000</f>
        <v>32.325627172095089</v>
      </c>
      <c r="F43" s="148">
        <f t="shared" si="9"/>
        <v>31.076812019709198</v>
      </c>
      <c r="G43" s="148">
        <f t="shared" si="9"/>
        <v>28.699253697602732</v>
      </c>
      <c r="H43" s="148">
        <f t="shared" si="9"/>
        <v>26.174817434522769</v>
      </c>
      <c r="I43" s="148">
        <f t="shared" si="9"/>
        <v>23.686513144484955</v>
      </c>
      <c r="J43" s="130">
        <f t="shared" si="9"/>
        <v>20.884215960338551</v>
      </c>
      <c r="K43" s="130">
        <f t="shared" si="9"/>
        <v>18.789485376696248</v>
      </c>
      <c r="L43" s="130">
        <f t="shared" si="9"/>
        <v>16.285422660076232</v>
      </c>
      <c r="M43" s="130">
        <f t="shared" si="9"/>
        <v>14.002892342763174</v>
      </c>
      <c r="N43" s="130">
        <f t="shared" si="9"/>
        <v>11.735398184892416</v>
      </c>
      <c r="O43" s="130">
        <f t="shared" si="9"/>
        <v>9.4580662689004029</v>
      </c>
      <c r="P43" s="130">
        <f t="shared" si="9"/>
        <v>7.325474144859494</v>
      </c>
      <c r="Q43" s="130">
        <f t="shared" si="9"/>
        <v>5.1555704440877674</v>
      </c>
      <c r="R43" s="131"/>
      <c r="S43" s="131"/>
    </row>
    <row r="44" spans="1:19" ht="15" thickTop="1" x14ac:dyDescent="0.35">
      <c r="B44" s="2"/>
      <c r="D44" s="78"/>
      <c r="E44" s="78"/>
      <c r="F44" s="78"/>
      <c r="G44" s="78"/>
      <c r="H44" s="78"/>
      <c r="I44" s="78"/>
      <c r="J44" s="78"/>
      <c r="K44" s="78"/>
      <c r="L44" s="78"/>
      <c r="M44" s="78"/>
      <c r="N44" s="78"/>
      <c r="O44" s="78"/>
      <c r="P44" s="78"/>
      <c r="Q44" s="78"/>
      <c r="R44" s="77"/>
      <c r="S44" s="77"/>
    </row>
    <row r="45" spans="1:19" s="59" customFormat="1" x14ac:dyDescent="0.35">
      <c r="A45" s="58" t="s">
        <v>52</v>
      </c>
      <c r="D45" s="88"/>
      <c r="E45" s="88"/>
      <c r="F45" s="88"/>
      <c r="G45" s="88"/>
      <c r="H45" s="88"/>
      <c r="I45" s="88"/>
      <c r="J45" s="88"/>
      <c r="K45" s="89"/>
      <c r="S45" s="88"/>
    </row>
    <row r="47" spans="1:19" x14ac:dyDescent="0.35">
      <c r="A47" s="2" t="s">
        <v>53</v>
      </c>
      <c r="F47" s="15"/>
      <c r="G47" s="15"/>
      <c r="H47" s="15"/>
      <c r="I47" s="15"/>
      <c r="J47" s="85"/>
      <c r="K47" s="63"/>
      <c r="S47" s="12"/>
    </row>
    <row r="48" spans="1:19" x14ac:dyDescent="0.35">
      <c r="B48" t="s">
        <v>54</v>
      </c>
      <c r="D48" s="12">
        <f t="shared" ref="D48:Q48" si="10">D6-D9</f>
        <v>917.59462190016347</v>
      </c>
      <c r="E48" s="12">
        <f t="shared" si="10"/>
        <v>1725.5851263044024</v>
      </c>
      <c r="F48" s="12">
        <f t="shared" si="10"/>
        <v>2583.8638699357252</v>
      </c>
      <c r="G48" s="12">
        <f t="shared" si="10"/>
        <v>3665.931928538208</v>
      </c>
      <c r="H48" s="12">
        <f t="shared" si="10"/>
        <v>5254.6360057103884</v>
      </c>
      <c r="I48" s="12">
        <f t="shared" si="10"/>
        <v>6142.7291108220379</v>
      </c>
      <c r="J48" s="12">
        <f t="shared" si="10"/>
        <v>7118.9737629902738</v>
      </c>
      <c r="K48" s="12">
        <f t="shared" si="10"/>
        <v>8407.0334781100755</v>
      </c>
      <c r="L48" s="12">
        <f t="shared" si="10"/>
        <v>9968.9000692060436</v>
      </c>
      <c r="M48" s="12">
        <f t="shared" si="10"/>
        <v>11521.306103355026</v>
      </c>
      <c r="N48" s="12">
        <f t="shared" si="10"/>
        <v>12443.176412597561</v>
      </c>
      <c r="O48" s="12">
        <f t="shared" si="10"/>
        <v>13670.367140943781</v>
      </c>
      <c r="P48" s="12">
        <f t="shared" si="10"/>
        <v>14847.862569281358</v>
      </c>
      <c r="Q48" s="12">
        <f t="shared" si="10"/>
        <v>16119.325723541828</v>
      </c>
      <c r="S48" s="77">
        <f>SUM(E48:I48)</f>
        <v>19372.746041310762</v>
      </c>
    </row>
    <row r="49" spans="1:19" x14ac:dyDescent="0.35">
      <c r="B49" t="s">
        <v>55</v>
      </c>
      <c r="D49" s="12">
        <f t="shared" ref="D49:Q49" si="11">D22-D39</f>
        <v>412.59401964311837</v>
      </c>
      <c r="E49" s="12">
        <f t="shared" si="11"/>
        <v>702.82389640856127</v>
      </c>
      <c r="F49" s="12">
        <f t="shared" si="11"/>
        <v>927.65129491245898</v>
      </c>
      <c r="G49" s="12">
        <f t="shared" si="11"/>
        <v>1161.6701123161038</v>
      </c>
      <c r="H49" s="12">
        <f t="shared" si="11"/>
        <v>2111.7910121499226</v>
      </c>
      <c r="I49" s="12">
        <f t="shared" si="11"/>
        <v>2462.5323363969364</v>
      </c>
      <c r="J49" s="12">
        <f t="shared" si="11"/>
        <v>2731.3897768985771</v>
      </c>
      <c r="K49" s="12">
        <f t="shared" si="11"/>
        <v>3008.3615536661746</v>
      </c>
      <c r="L49" s="12">
        <f t="shared" si="11"/>
        <v>3335.7536995281334</v>
      </c>
      <c r="M49" s="12">
        <f t="shared" si="11"/>
        <v>3514.4245285833385</v>
      </c>
      <c r="N49" s="12">
        <f t="shared" si="11"/>
        <v>3686.0218831291349</v>
      </c>
      <c r="O49" s="12">
        <f t="shared" si="11"/>
        <v>3844.1990777987157</v>
      </c>
      <c r="P49" s="12">
        <f t="shared" si="11"/>
        <v>4003.4856309091047</v>
      </c>
      <c r="Q49" s="12">
        <f t="shared" si="11"/>
        <v>4170.9580572001287</v>
      </c>
      <c r="R49" s="53"/>
      <c r="S49" s="77">
        <f t="shared" ref="S49:S50" si="12">SUM(E49:I49)</f>
        <v>7366.4686521839831</v>
      </c>
    </row>
    <row r="50" spans="1:19" x14ac:dyDescent="0.35">
      <c r="B50" t="s">
        <v>56</v>
      </c>
      <c r="D50" s="12">
        <f t="shared" ref="D50:Q50" si="13">D48-D49</f>
        <v>505.0006022570451</v>
      </c>
      <c r="E50" s="12">
        <f t="shared" si="13"/>
        <v>1022.7612298958411</v>
      </c>
      <c r="F50" s="12">
        <f t="shared" si="13"/>
        <v>1656.2125750232663</v>
      </c>
      <c r="G50" s="12">
        <f t="shared" si="13"/>
        <v>2504.2618162221042</v>
      </c>
      <c r="H50" s="12">
        <f t="shared" si="13"/>
        <v>3142.8449935604658</v>
      </c>
      <c r="I50" s="12">
        <f t="shared" si="13"/>
        <v>3680.1967744251015</v>
      </c>
      <c r="J50" s="12">
        <f t="shared" si="13"/>
        <v>4387.5839860916967</v>
      </c>
      <c r="K50" s="12">
        <f t="shared" si="13"/>
        <v>5398.6719244439009</v>
      </c>
      <c r="L50" s="12">
        <f t="shared" si="13"/>
        <v>6633.1463696779101</v>
      </c>
      <c r="M50" s="12">
        <f t="shared" si="13"/>
        <v>8006.8815747716872</v>
      </c>
      <c r="N50" s="12">
        <f t="shared" si="13"/>
        <v>8757.1545294684256</v>
      </c>
      <c r="O50" s="12">
        <f t="shared" si="13"/>
        <v>9826.1680631450654</v>
      </c>
      <c r="P50" s="12">
        <f t="shared" si="13"/>
        <v>10844.376938372254</v>
      </c>
      <c r="Q50" s="12">
        <f t="shared" si="13"/>
        <v>11948.367666341699</v>
      </c>
      <c r="R50" s="53"/>
      <c r="S50" s="77">
        <f t="shared" si="12"/>
        <v>12006.277389126779</v>
      </c>
    </row>
    <row r="51" spans="1:19" x14ac:dyDescent="0.35">
      <c r="E51" s="9"/>
      <c r="F51" s="9"/>
      <c r="G51" s="9"/>
      <c r="H51" s="9"/>
      <c r="I51" s="9"/>
      <c r="J51" s="9"/>
      <c r="K51" s="9"/>
      <c r="L51" s="9"/>
      <c r="M51" s="48"/>
      <c r="N51" s="48"/>
      <c r="O51" s="48"/>
      <c r="P51" s="48"/>
      <c r="Q51" s="48"/>
      <c r="R51" s="34"/>
    </row>
    <row r="52" spans="1:19" x14ac:dyDescent="0.35">
      <c r="A52" s="2" t="s">
        <v>57</v>
      </c>
      <c r="R52" s="34"/>
    </row>
    <row r="53" spans="1:19" x14ac:dyDescent="0.35">
      <c r="A53" s="2"/>
      <c r="B53" t="s">
        <v>58</v>
      </c>
      <c r="D53" s="60">
        <v>0</v>
      </c>
      <c r="E53" s="60">
        <v>0</v>
      </c>
      <c r="F53" s="60">
        <v>0</v>
      </c>
      <c r="G53" s="60">
        <v>0</v>
      </c>
      <c r="H53" s="60">
        <v>0</v>
      </c>
      <c r="I53" s="60">
        <v>0</v>
      </c>
      <c r="J53" s="60">
        <v>0</v>
      </c>
      <c r="K53" s="60">
        <v>0</v>
      </c>
      <c r="L53" s="60">
        <v>0</v>
      </c>
      <c r="M53" s="60">
        <v>0</v>
      </c>
      <c r="N53" s="60">
        <v>0</v>
      </c>
      <c r="O53" s="60">
        <v>0</v>
      </c>
      <c r="P53" s="60">
        <v>0</v>
      </c>
      <c r="Q53" s="60">
        <v>0</v>
      </c>
      <c r="R53" s="34"/>
      <c r="S53" s="77">
        <f t="shared" ref="S53:S60" si="14">SUM(E53:I53)</f>
        <v>0</v>
      </c>
    </row>
    <row r="54" spans="1:19" x14ac:dyDescent="0.35">
      <c r="A54" s="2"/>
      <c r="B54" t="s">
        <v>59</v>
      </c>
      <c r="D54" s="60">
        <f t="shared" ref="D54:Q54" si="15">D35</f>
        <v>119.70741140819536</v>
      </c>
      <c r="E54" s="60">
        <f t="shared" si="15"/>
        <v>120.47023708725533</v>
      </c>
      <c r="F54" s="60">
        <f t="shared" si="15"/>
        <v>121.27989697286772</v>
      </c>
      <c r="G54" s="60">
        <f t="shared" si="15"/>
        <v>122.05730212416833</v>
      </c>
      <c r="H54" s="60">
        <f t="shared" si="15"/>
        <v>122.72836678149071</v>
      </c>
      <c r="I54" s="60">
        <f t="shared" si="15"/>
        <v>123.29096732886505</v>
      </c>
      <c r="J54" s="60">
        <f t="shared" si="15"/>
        <v>123.75498004588582</v>
      </c>
      <c r="K54" s="60">
        <f t="shared" si="15"/>
        <v>124.13574097417836</v>
      </c>
      <c r="L54" s="60">
        <f t="shared" si="15"/>
        <v>124.45031781607575</v>
      </c>
      <c r="M54" s="60">
        <f t="shared" si="15"/>
        <v>124.81577890055688</v>
      </c>
      <c r="N54" s="60">
        <f t="shared" si="15"/>
        <v>125.14148828536639</v>
      </c>
      <c r="O54" s="60">
        <f t="shared" si="15"/>
        <v>125.43073459718977</v>
      </c>
      <c r="P54" s="60">
        <f t="shared" si="15"/>
        <v>125.68474452373451</v>
      </c>
      <c r="Q54" s="60">
        <f t="shared" si="15"/>
        <v>125.9097720672725</v>
      </c>
      <c r="S54" s="77">
        <f t="shared" si="14"/>
        <v>609.82677029464719</v>
      </c>
    </row>
    <row r="55" spans="1:19" x14ac:dyDescent="0.35">
      <c r="A55" s="2"/>
      <c r="B55" t="s">
        <v>60</v>
      </c>
      <c r="D55" s="60">
        <f t="shared" ref="D55:Q55" si="16">D33+D34</f>
        <v>814.10897817923171</v>
      </c>
      <c r="E55" s="60">
        <f t="shared" si="16"/>
        <v>797.17322532920252</v>
      </c>
      <c r="F55" s="60">
        <f t="shared" si="16"/>
        <v>812.71505970759063</v>
      </c>
      <c r="G55" s="60">
        <f t="shared" si="16"/>
        <v>805.73618758713906</v>
      </c>
      <c r="H55" s="60">
        <f t="shared" si="16"/>
        <v>805.33942332387721</v>
      </c>
      <c r="I55" s="60">
        <f t="shared" si="16"/>
        <v>793.38843218500233</v>
      </c>
      <c r="J55" s="60">
        <f t="shared" si="16"/>
        <v>783.3640532541956</v>
      </c>
      <c r="K55" s="60">
        <f t="shared" si="16"/>
        <v>780.38296011402304</v>
      </c>
      <c r="L55" s="60">
        <f t="shared" si="16"/>
        <v>717.73126194056272</v>
      </c>
      <c r="M55" s="60">
        <f t="shared" si="16"/>
        <v>708.17361799435605</v>
      </c>
      <c r="N55" s="60">
        <f t="shared" si="16"/>
        <v>699.39716857105077</v>
      </c>
      <c r="O55" s="60">
        <f t="shared" si="16"/>
        <v>687.33327721864839</v>
      </c>
      <c r="P55" s="60">
        <f t="shared" si="16"/>
        <v>677.75544737633015</v>
      </c>
      <c r="Q55" s="60">
        <f t="shared" si="16"/>
        <v>680.04422340376595</v>
      </c>
      <c r="S55" s="77">
        <f t="shared" si="14"/>
        <v>4014.3523281328116</v>
      </c>
    </row>
    <row r="56" spans="1:19" x14ac:dyDescent="0.35">
      <c r="A56" s="2"/>
      <c r="B56" t="s">
        <v>43</v>
      </c>
      <c r="D56" s="60">
        <f t="shared" ref="D56:Q56" si="17">D31</f>
        <v>40731.04605066021</v>
      </c>
      <c r="E56" s="60">
        <f t="shared" si="17"/>
        <v>40230.832560766859</v>
      </c>
      <c r="F56" s="60">
        <f t="shared" si="17"/>
        <v>39764.957224016951</v>
      </c>
      <c r="G56" s="60">
        <f t="shared" si="17"/>
        <v>39305.255430351666</v>
      </c>
      <c r="H56" s="60">
        <f t="shared" si="17"/>
        <v>38946.182000135603</v>
      </c>
      <c r="I56" s="60">
        <f t="shared" si="17"/>
        <v>38611.716142501347</v>
      </c>
      <c r="J56" s="60">
        <f t="shared" si="17"/>
        <v>38236.927856504379</v>
      </c>
      <c r="K56" s="60">
        <f t="shared" si="17"/>
        <v>37868.956785624025</v>
      </c>
      <c r="L56" s="60">
        <f t="shared" si="17"/>
        <v>37508.915932481541</v>
      </c>
      <c r="M56" s="60">
        <f t="shared" si="17"/>
        <v>37227.232644336218</v>
      </c>
      <c r="N56" s="60">
        <f t="shared" si="17"/>
        <v>36930.449057861675</v>
      </c>
      <c r="O56" s="60">
        <f t="shared" si="17"/>
        <v>36657.265503719165</v>
      </c>
      <c r="P56" s="60">
        <f t="shared" si="17"/>
        <v>36375.348152836334</v>
      </c>
      <c r="Q56" s="60">
        <f t="shared" si="17"/>
        <v>36099.714489053484</v>
      </c>
      <c r="S56" s="77">
        <f t="shared" si="14"/>
        <v>196858.94335777243</v>
      </c>
    </row>
    <row r="57" spans="1:19" x14ac:dyDescent="0.35">
      <c r="A57" s="2"/>
      <c r="B57" t="s">
        <v>44</v>
      </c>
      <c r="D57" s="60">
        <f t="shared" ref="D57:Q57" si="18">D32</f>
        <v>2409.9202625945004</v>
      </c>
      <c r="E57" s="60">
        <f t="shared" si="18"/>
        <v>2354.1457586086199</v>
      </c>
      <c r="F57" s="60">
        <f t="shared" si="18"/>
        <v>2296.4355546371535</v>
      </c>
      <c r="G57" s="60">
        <f t="shared" si="18"/>
        <v>2238.0846460725734</v>
      </c>
      <c r="H57" s="60">
        <f t="shared" si="18"/>
        <v>2178.4652387847218</v>
      </c>
      <c r="I57" s="60">
        <f t="shared" si="18"/>
        <v>2118.2016676872381</v>
      </c>
      <c r="J57" s="60">
        <f t="shared" si="18"/>
        <v>2057.5519988128895</v>
      </c>
      <c r="K57" s="60">
        <f t="shared" si="18"/>
        <v>1996.8315137527143</v>
      </c>
      <c r="L57" s="60">
        <f t="shared" si="18"/>
        <v>1936.2302715894532</v>
      </c>
      <c r="M57" s="60">
        <f t="shared" si="18"/>
        <v>1893.7665841162325</v>
      </c>
      <c r="N57" s="60">
        <f t="shared" si="18"/>
        <v>1851.6230489447298</v>
      </c>
      <c r="O57" s="60">
        <f t="shared" si="18"/>
        <v>1809.8073294927019</v>
      </c>
      <c r="P57" s="60">
        <f t="shared" si="18"/>
        <v>1768.2461466375221</v>
      </c>
      <c r="Q57" s="60">
        <f t="shared" si="18"/>
        <v>1726.9422874240479</v>
      </c>
      <c r="S57" s="77">
        <f t="shared" si="14"/>
        <v>11185.332865790308</v>
      </c>
    </row>
    <row r="58" spans="1:19" x14ac:dyDescent="0.35">
      <c r="A58" s="2"/>
      <c r="B58" t="s">
        <v>61</v>
      </c>
      <c r="D58" s="60">
        <f t="shared" ref="D58:Q58" si="19">D36</f>
        <v>-2301.7160945525266</v>
      </c>
      <c r="E58" s="60">
        <f t="shared" si="19"/>
        <v>-2179.2283315018508</v>
      </c>
      <c r="F58" s="60">
        <f t="shared" si="19"/>
        <v>-1950.1458703437111</v>
      </c>
      <c r="G58" s="60">
        <f t="shared" si="19"/>
        <v>-1470.0786942463437</v>
      </c>
      <c r="H58" s="60">
        <f t="shared" si="19"/>
        <v>-1700.9189661542396</v>
      </c>
      <c r="I58" s="60">
        <f t="shared" si="19"/>
        <v>-1475.3890263347057</v>
      </c>
      <c r="J58" s="60">
        <f t="shared" si="19"/>
        <v>-1382.4252034916153</v>
      </c>
      <c r="K58" s="60">
        <f t="shared" si="19"/>
        <v>-1263.9235912065033</v>
      </c>
      <c r="L58" s="60">
        <f t="shared" si="19"/>
        <v>-1195.6121675368613</v>
      </c>
      <c r="M58" s="60">
        <f t="shared" si="19"/>
        <v>-1107.9118751174701</v>
      </c>
      <c r="N58" s="60">
        <f t="shared" si="19"/>
        <v>-910.51101034245585</v>
      </c>
      <c r="O58" s="60">
        <f t="shared" si="19"/>
        <v>-704.93086668638898</v>
      </c>
      <c r="P58" s="60">
        <f t="shared" si="19"/>
        <v>-562.07390358198609</v>
      </c>
      <c r="Q58" s="60">
        <f t="shared" si="19"/>
        <v>-551.3154836672802</v>
      </c>
      <c r="S58" s="77">
        <f t="shared" si="14"/>
        <v>-8775.7608885808513</v>
      </c>
    </row>
    <row r="59" spans="1:19" x14ac:dyDescent="0.35">
      <c r="A59" s="2"/>
      <c r="B59" t="s">
        <v>38</v>
      </c>
      <c r="D59" s="60">
        <f t="shared" ref="D59:Q59" si="20">SUM(D53:D57)</f>
        <v>44074.782702842138</v>
      </c>
      <c r="E59" s="60">
        <f t="shared" si="20"/>
        <v>43502.621781791939</v>
      </c>
      <c r="F59" s="60">
        <f t="shared" si="20"/>
        <v>42995.38773533456</v>
      </c>
      <c r="G59" s="60">
        <f t="shared" si="20"/>
        <v>42471.133566135548</v>
      </c>
      <c r="H59" s="60">
        <f t="shared" si="20"/>
        <v>42052.715029025698</v>
      </c>
      <c r="I59" s="60">
        <f t="shared" si="20"/>
        <v>41646.59720970245</v>
      </c>
      <c r="J59" s="60">
        <f t="shared" si="20"/>
        <v>41201.598888617351</v>
      </c>
      <c r="K59" s="60">
        <f t="shared" si="20"/>
        <v>40770.307000464942</v>
      </c>
      <c r="L59" s="60">
        <f t="shared" si="20"/>
        <v>40287.327783827634</v>
      </c>
      <c r="M59" s="60">
        <f t="shared" si="20"/>
        <v>39953.98862534736</v>
      </c>
      <c r="N59" s="60">
        <f t="shared" si="20"/>
        <v>39606.610763662829</v>
      </c>
      <c r="O59" s="60">
        <f t="shared" si="20"/>
        <v>39279.836845027705</v>
      </c>
      <c r="P59" s="60">
        <f t="shared" si="20"/>
        <v>38947.034491373925</v>
      </c>
      <c r="Q59" s="60">
        <f t="shared" si="20"/>
        <v>38632.610771948574</v>
      </c>
      <c r="S59" s="77">
        <f t="shared" si="14"/>
        <v>212668.45532199022</v>
      </c>
    </row>
    <row r="60" spans="1:19" x14ac:dyDescent="0.35">
      <c r="A60" s="2"/>
      <c r="B60" t="s">
        <v>39</v>
      </c>
      <c r="D60" s="60">
        <f t="shared" ref="D60:Q60" si="21">D59+D58</f>
        <v>41773.066608289613</v>
      </c>
      <c r="E60" s="60">
        <f t="shared" si="21"/>
        <v>41323.393450290088</v>
      </c>
      <c r="F60" s="60">
        <f t="shared" si="21"/>
        <v>41045.24186499085</v>
      </c>
      <c r="G60" s="60">
        <f t="shared" si="21"/>
        <v>41001.054871889202</v>
      </c>
      <c r="H60" s="60">
        <f t="shared" si="21"/>
        <v>40351.796062871457</v>
      </c>
      <c r="I60" s="60">
        <f t="shared" si="21"/>
        <v>40171.208183367744</v>
      </c>
      <c r="J60" s="60">
        <f t="shared" si="21"/>
        <v>39819.173685125737</v>
      </c>
      <c r="K60" s="60">
        <f t="shared" si="21"/>
        <v>39506.383409258437</v>
      </c>
      <c r="L60" s="60">
        <f t="shared" si="21"/>
        <v>39091.71561629077</v>
      </c>
      <c r="M60" s="60">
        <f t="shared" si="21"/>
        <v>38846.076750229891</v>
      </c>
      <c r="N60" s="60">
        <f t="shared" si="21"/>
        <v>38696.099753320377</v>
      </c>
      <c r="O60" s="60">
        <f t="shared" si="21"/>
        <v>38574.905978341318</v>
      </c>
      <c r="P60" s="60">
        <f t="shared" si="21"/>
        <v>38384.960587791938</v>
      </c>
      <c r="Q60" s="60">
        <f t="shared" si="21"/>
        <v>38081.295288281297</v>
      </c>
      <c r="S60" s="77">
        <f t="shared" si="14"/>
        <v>203892.69443340934</v>
      </c>
    </row>
    <row r="61" spans="1:19" x14ac:dyDescent="0.35">
      <c r="A61" s="2"/>
    </row>
    <row r="62" spans="1:19" x14ac:dyDescent="0.35">
      <c r="A62" s="2" t="s">
        <v>62</v>
      </c>
    </row>
    <row r="63" spans="1:19" x14ac:dyDescent="0.35">
      <c r="A63" s="2"/>
      <c r="B63" t="s">
        <v>58</v>
      </c>
      <c r="D63" s="12">
        <f>'Demonstration path data'!AJ6-D53</f>
        <v>15128.968874994676</v>
      </c>
      <c r="E63" s="12">
        <f>'Demonstration path data'!AK6-E53</f>
        <v>15259.567468236215</v>
      </c>
      <c r="F63" s="12">
        <f>'Demonstration path data'!AL6-F53</f>
        <v>15140.070010179808</v>
      </c>
      <c r="G63" s="12">
        <f>'Demonstration path data'!AM6-G53</f>
        <v>14985.437009891983</v>
      </c>
      <c r="H63" s="12">
        <f>'Demonstration path data'!AN6-H53</f>
        <v>14736.221421772678</v>
      </c>
      <c r="I63" s="12">
        <f>'Demonstration path data'!AO6-I53</f>
        <v>14436.928327575199</v>
      </c>
      <c r="J63" s="12">
        <f>'Demonstration path data'!AP6-J53</f>
        <v>14013.572993853402</v>
      </c>
      <c r="K63" s="12">
        <f>'Demonstration path data'!AQ6-K53</f>
        <v>13471.687965075223</v>
      </c>
      <c r="L63" s="12">
        <f>'Demonstration path data'!AR6-L53</f>
        <v>12812.416934443696</v>
      </c>
      <c r="M63" s="12">
        <f>'Demonstration path data'!AS6-M53</f>
        <v>12012.970672576779</v>
      </c>
      <c r="N63" s="12">
        <f>'Demonstration path data'!AT6-N53</f>
        <v>11201.393400169771</v>
      </c>
      <c r="O63" s="12">
        <f>'Demonstration path data'!AU6-O53</f>
        <v>10362.791763005995</v>
      </c>
      <c r="P63" s="12">
        <f>'Demonstration path data'!AV6-P53</f>
        <v>9568.3436605325442</v>
      </c>
      <c r="Q63" s="12">
        <f>'Demonstration path data'!AW6-Q53</f>
        <v>8733.7493359329765</v>
      </c>
      <c r="S63" s="77">
        <f t="shared" ref="S63:S73" si="22">SUM(E63:I63)</f>
        <v>74558.224237655886</v>
      </c>
    </row>
    <row r="64" spans="1:19" x14ac:dyDescent="0.35">
      <c r="A64" s="2"/>
      <c r="B64" t="s">
        <v>59</v>
      </c>
      <c r="D64" s="12">
        <f>'Demonstration path data'!AJ7-D54</f>
        <v>17024.215168309289</v>
      </c>
      <c r="E64" s="12">
        <f>'Demonstration path data'!AK7-E54</f>
        <v>16110.064674626477</v>
      </c>
      <c r="F64" s="12">
        <f>'Demonstration path data'!AL7-F54</f>
        <v>15149.329871366333</v>
      </c>
      <c r="G64" s="12">
        <f>'Demonstration path data'!AM7-G54</f>
        <v>14186.113404343278</v>
      </c>
      <c r="H64" s="12">
        <f>'Demonstration path data'!AN7-H54</f>
        <v>13891.319383563685</v>
      </c>
      <c r="I64" s="12">
        <f>'Demonstration path data'!AO7-I54</f>
        <v>13544.218652406951</v>
      </c>
      <c r="J64" s="12">
        <f>'Demonstration path data'!AP7-J54</f>
        <v>13267.767005198915</v>
      </c>
      <c r="K64" s="12">
        <f>'Demonstration path data'!AQ7-K54</f>
        <v>13024.435882329377</v>
      </c>
      <c r="L64" s="12">
        <f>'Demonstration path data'!AR7-L54</f>
        <v>11990.825036695273</v>
      </c>
      <c r="M64" s="12">
        <f>'Demonstration path data'!AS7-M54</f>
        <v>11641.045210421045</v>
      </c>
      <c r="N64" s="12">
        <f>'Demonstration path data'!AT7-N54</f>
        <v>11262.66435934652</v>
      </c>
      <c r="O64" s="12">
        <f>'Demonstration path data'!AU7-O54</f>
        <v>10989.709550245097</v>
      </c>
      <c r="P64" s="12">
        <f>'Demonstration path data'!AV7-P54</f>
        <v>10673.484540689376</v>
      </c>
      <c r="Q64" s="12">
        <f>'Demonstration path data'!AW7-Q54</f>
        <v>10266.70534056912</v>
      </c>
      <c r="S64" s="77">
        <f t="shared" si="22"/>
        <v>72881.045986306723</v>
      </c>
    </row>
    <row r="65" spans="1:19" x14ac:dyDescent="0.35">
      <c r="A65" s="2"/>
      <c r="B65" t="s">
        <v>60</v>
      </c>
      <c r="D65" s="12">
        <f>'Demonstration path data'!AJ8-D55</f>
        <v>3855.6029670502521</v>
      </c>
      <c r="E65" s="12">
        <f>'Demonstration path data'!AK8-E55</f>
        <v>3792.4251535080225</v>
      </c>
      <c r="F65" s="12">
        <f>'Demonstration path data'!AL8-F55</f>
        <v>3812.3168644479701</v>
      </c>
      <c r="G65" s="12">
        <f>'Demonstration path data'!AM8-G55</f>
        <v>3794.7581937898731</v>
      </c>
      <c r="H65" s="12">
        <f>'Demonstration path data'!AN8-H55</f>
        <v>3787.9954769448927</v>
      </c>
      <c r="I65" s="12">
        <f>'Demonstration path data'!AO8-I55</f>
        <v>3762.0024456850983</v>
      </c>
      <c r="J65" s="12">
        <f>'Demonstration path data'!AP8-J55</f>
        <v>3739.3602486328173</v>
      </c>
      <c r="K65" s="12">
        <f>'Demonstration path data'!AQ8-K55</f>
        <v>3728.2031010377223</v>
      </c>
      <c r="L65" s="12">
        <f>'Demonstration path data'!AR8-L55</f>
        <v>3571.3883224460824</v>
      </c>
      <c r="M65" s="12">
        <f>'Demonstration path data'!AS8-M55</f>
        <v>3549.7215205477728</v>
      </c>
      <c r="N65" s="12">
        <f>'Demonstration path data'!AT8-N55</f>
        <v>3529.4424252139283</v>
      </c>
      <c r="O65" s="12">
        <f>'Demonstration path data'!AU8-O55</f>
        <v>3503.6893802290842</v>
      </c>
      <c r="P65" s="12">
        <f>'Demonstration path data'!AV8-P55</f>
        <v>3481.8658385394538</v>
      </c>
      <c r="Q65" s="12">
        <f>'Demonstration path data'!AW8-Q55</f>
        <v>3478.864528963983</v>
      </c>
      <c r="S65" s="77">
        <f t="shared" si="22"/>
        <v>18949.498134375855</v>
      </c>
    </row>
    <row r="66" spans="1:19" x14ac:dyDescent="0.35">
      <c r="A66" s="2"/>
      <c r="B66" t="s">
        <v>43</v>
      </c>
      <c r="D66" s="12">
        <f>'Demonstration path data'!AJ9-D56</f>
        <v>0</v>
      </c>
      <c r="E66" s="12">
        <f>'Demonstration path data'!AK9-E56</f>
        <v>0</v>
      </c>
      <c r="F66" s="12">
        <f>'Demonstration path data'!AL9-F56</f>
        <v>0</v>
      </c>
      <c r="G66" s="12">
        <f>'Demonstration path data'!AM9-G56</f>
        <v>0</v>
      </c>
      <c r="H66" s="12">
        <f>'Demonstration path data'!AN9-H56</f>
        <v>0</v>
      </c>
      <c r="I66" s="12">
        <f>'Demonstration path data'!AO9-I56</f>
        <v>0</v>
      </c>
      <c r="J66" s="12">
        <f>'Demonstration path data'!AP9-J56</f>
        <v>0</v>
      </c>
      <c r="K66" s="12">
        <f>'Demonstration path data'!AQ9-K56</f>
        <v>0</v>
      </c>
      <c r="L66" s="12">
        <f>'Demonstration path data'!AR9-L56</f>
        <v>0</v>
      </c>
      <c r="M66" s="12">
        <f>'Demonstration path data'!AS9-M56</f>
        <v>0</v>
      </c>
      <c r="N66" s="12">
        <f>'Demonstration path data'!AT9-N56</f>
        <v>0</v>
      </c>
      <c r="O66" s="12">
        <f>'Demonstration path data'!AU9-O56</f>
        <v>0</v>
      </c>
      <c r="P66" s="12">
        <f>'Demonstration path data'!AV9-P56</f>
        <v>0</v>
      </c>
      <c r="Q66" s="12">
        <f>'Demonstration path data'!AW9-Q56</f>
        <v>0</v>
      </c>
      <c r="S66" s="77">
        <f t="shared" si="22"/>
        <v>0</v>
      </c>
    </row>
    <row r="67" spans="1:19" x14ac:dyDescent="0.35">
      <c r="A67" s="2"/>
      <c r="B67" t="s">
        <v>44</v>
      </c>
      <c r="D67" s="12">
        <f>'Demonstration path data'!AJ10-D57</f>
        <v>1157.1977767372805</v>
      </c>
      <c r="E67" s="12">
        <f>'Demonstration path data'!AK10-E57</f>
        <v>1115.874382499414</v>
      </c>
      <c r="F67" s="12">
        <f>'Demonstration path data'!AL10-F57</f>
        <v>1076.0843577361793</v>
      </c>
      <c r="G67" s="12">
        <f>'Demonstration path data'!AM10-G57</f>
        <v>1036.054120142684</v>
      </c>
      <c r="H67" s="12">
        <f>'Demonstration path data'!AN10-H57</f>
        <v>995.70752310355147</v>
      </c>
      <c r="I67" s="12">
        <f>'Demonstration path data'!AO10-I57</f>
        <v>955.70162727814841</v>
      </c>
      <c r="J67" s="12">
        <f>'Demonstration path data'!AP10-J57</f>
        <v>916.22815333693416</v>
      </c>
      <c r="K67" s="12">
        <f>'Demonstration path data'!AQ10-K57</f>
        <v>877.33955136282611</v>
      </c>
      <c r="L67" s="12">
        <f>'Demonstration path data'!AR10-L57</f>
        <v>838.887409924743</v>
      </c>
      <c r="M67" s="12">
        <f>'Demonstration path data'!AS10-M57</f>
        <v>798.69775880205725</v>
      </c>
      <c r="N67" s="12">
        <f>'Demonstration path data'!AT10-N57</f>
        <v>763.56297227735377</v>
      </c>
      <c r="O67" s="12">
        <f>'Demonstration path data'!AU10-O57</f>
        <v>731.44121984974322</v>
      </c>
      <c r="P67" s="12">
        <f>'Demonstration path data'!AV10-P57</f>
        <v>701.24616550959399</v>
      </c>
      <c r="Q67" s="12">
        <f>'Demonstration path data'!AW10-Q57</f>
        <v>672.58594272730011</v>
      </c>
      <c r="S67" s="77">
        <f t="shared" si="22"/>
        <v>5179.4220107599767</v>
      </c>
    </row>
    <row r="68" spans="1:19" x14ac:dyDescent="0.35">
      <c r="A68" s="2"/>
      <c r="B68" t="s">
        <v>61</v>
      </c>
      <c r="D68" s="12">
        <f>'Demonstration path data'!AJ11-D58</f>
        <v>-4013.1860889020945</v>
      </c>
      <c r="E68" s="12">
        <f>'Demonstration path data'!AK11-E58</f>
        <v>-3952.304506775045</v>
      </c>
      <c r="F68" s="12">
        <f>'Demonstration path data'!AL11-F58</f>
        <v>-4100.9890840210792</v>
      </c>
      <c r="G68" s="12">
        <f>'Demonstration path data'!AM11-G58</f>
        <v>-5303.109030565096</v>
      </c>
      <c r="H68" s="12">
        <f>'Demonstration path data'!AN11-H58</f>
        <v>-7236.4263708620356</v>
      </c>
      <c r="I68" s="12">
        <f>'Demonstration path data'!AO11-I58</f>
        <v>-9012.3379084604421</v>
      </c>
      <c r="J68" s="12">
        <f>'Demonstration path data'!AP11-J58</f>
        <v>-11052.712440683512</v>
      </c>
      <c r="K68" s="12">
        <f>'Demonstration path data'!AQ11-K58</f>
        <v>-12312.181123108905</v>
      </c>
      <c r="L68" s="12">
        <f>'Demonstration path data'!AR11-L58</f>
        <v>-12928.095043433561</v>
      </c>
      <c r="M68" s="12">
        <f>'Demonstration path data'!AS11-M58</f>
        <v>-13999.542819584482</v>
      </c>
      <c r="N68" s="12">
        <f>'Demonstration path data'!AT11-N58</f>
        <v>-15021.664972115161</v>
      </c>
      <c r="O68" s="12">
        <f>'Demonstration path data'!AU11-O58</f>
        <v>-16129.565644429522</v>
      </c>
      <c r="P68" s="12">
        <f>'Demonstration path data'!AV11-P58</f>
        <v>-17099.466060411469</v>
      </c>
      <c r="Q68" s="12">
        <f>'Demonstration path data'!AW11-Q58</f>
        <v>-17996.334704105608</v>
      </c>
      <c r="S68" s="77">
        <f t="shared" si="22"/>
        <v>-29605.166900683696</v>
      </c>
    </row>
    <row r="69" spans="1:19" x14ac:dyDescent="0.35">
      <c r="A69" s="2"/>
      <c r="B69" t="s">
        <v>38</v>
      </c>
      <c r="D69" s="60">
        <f t="shared" ref="D69:Q69" si="23">SUM(D63:D67)</f>
        <v>37165.984787091496</v>
      </c>
      <c r="E69" s="60">
        <f t="shared" si="23"/>
        <v>36277.931678870133</v>
      </c>
      <c r="F69" s="60">
        <f t="shared" si="23"/>
        <v>35177.801103730293</v>
      </c>
      <c r="G69" s="60">
        <f t="shared" si="23"/>
        <v>34002.362728167813</v>
      </c>
      <c r="H69" s="60">
        <f t="shared" si="23"/>
        <v>33411.243805384809</v>
      </c>
      <c r="I69" s="60">
        <f t="shared" si="23"/>
        <v>32698.851052945396</v>
      </c>
      <c r="J69" s="60">
        <f t="shared" si="23"/>
        <v>31936.928401022069</v>
      </c>
      <c r="K69" s="60">
        <f t="shared" si="23"/>
        <v>31101.666499805149</v>
      </c>
      <c r="L69" s="60">
        <f t="shared" si="23"/>
        <v>29213.517703509791</v>
      </c>
      <c r="M69" s="60">
        <f t="shared" si="23"/>
        <v>28002.435162347654</v>
      </c>
      <c r="N69" s="60">
        <f t="shared" si="23"/>
        <v>26757.063157007571</v>
      </c>
      <c r="O69" s="60">
        <f t="shared" si="23"/>
        <v>25587.631913329922</v>
      </c>
      <c r="P69" s="60">
        <f t="shared" si="23"/>
        <v>24424.940205270967</v>
      </c>
      <c r="Q69" s="60">
        <f t="shared" si="23"/>
        <v>23151.905148193378</v>
      </c>
      <c r="S69" s="77">
        <f t="shared" si="22"/>
        <v>171568.19036909845</v>
      </c>
    </row>
    <row r="70" spans="1:19" x14ac:dyDescent="0.35">
      <c r="A70" s="2"/>
      <c r="B70" t="s">
        <v>39</v>
      </c>
      <c r="D70" s="60">
        <f t="shared" ref="D70:Q70" si="24">D69+D68</f>
        <v>33152.798698189399</v>
      </c>
      <c r="E70" s="60">
        <f t="shared" si="24"/>
        <v>32325.627172095086</v>
      </c>
      <c r="F70" s="60">
        <f t="shared" si="24"/>
        <v>31076.812019709214</v>
      </c>
      <c r="G70" s="60">
        <f t="shared" si="24"/>
        <v>28699.253697602719</v>
      </c>
      <c r="H70" s="60">
        <f t="shared" si="24"/>
        <v>26174.817434522774</v>
      </c>
      <c r="I70" s="60">
        <f t="shared" si="24"/>
        <v>23686.513144484954</v>
      </c>
      <c r="J70" s="60">
        <f t="shared" si="24"/>
        <v>20884.215960338559</v>
      </c>
      <c r="K70" s="60">
        <f t="shared" si="24"/>
        <v>18789.485376696244</v>
      </c>
      <c r="L70" s="60">
        <f t="shared" si="24"/>
        <v>16285.42266007623</v>
      </c>
      <c r="M70" s="60">
        <f t="shared" si="24"/>
        <v>14002.892342763173</v>
      </c>
      <c r="N70" s="60">
        <f t="shared" si="24"/>
        <v>11735.39818489241</v>
      </c>
      <c r="O70" s="60">
        <f t="shared" si="24"/>
        <v>9458.0662689004002</v>
      </c>
      <c r="P70" s="60">
        <f t="shared" si="24"/>
        <v>7325.4741448594978</v>
      </c>
      <c r="Q70" s="60">
        <f t="shared" si="24"/>
        <v>5155.5704440877707</v>
      </c>
      <c r="S70" s="77">
        <f t="shared" si="22"/>
        <v>141963.02346841473</v>
      </c>
    </row>
    <row r="71" spans="1:19" x14ac:dyDescent="0.35">
      <c r="A71" s="2"/>
    </row>
    <row r="72" spans="1:19" x14ac:dyDescent="0.35">
      <c r="A72" s="1" t="s">
        <v>63</v>
      </c>
      <c r="B72" t="s">
        <v>64</v>
      </c>
      <c r="D72" s="12">
        <f>D59+D69</f>
        <v>81240.767489933642</v>
      </c>
      <c r="E72" s="12">
        <f t="shared" ref="E72:Q72" si="25">E59+E69</f>
        <v>79780.553460662079</v>
      </c>
      <c r="F72" s="12">
        <f t="shared" si="25"/>
        <v>78173.188839064853</v>
      </c>
      <c r="G72" s="12">
        <f t="shared" si="25"/>
        <v>76473.496294303361</v>
      </c>
      <c r="H72" s="12">
        <f t="shared" si="25"/>
        <v>75463.9588344105</v>
      </c>
      <c r="I72" s="12">
        <f t="shared" si="25"/>
        <v>74345.448262647842</v>
      </c>
      <c r="J72" s="12">
        <f t="shared" si="25"/>
        <v>73138.527289639416</v>
      </c>
      <c r="K72" s="12">
        <f t="shared" si="25"/>
        <v>71871.973500270091</v>
      </c>
      <c r="L72" s="12">
        <f t="shared" si="25"/>
        <v>69500.845487337428</v>
      </c>
      <c r="M72" s="12">
        <f t="shared" si="25"/>
        <v>67956.423787695006</v>
      </c>
      <c r="N72" s="12">
        <f t="shared" si="25"/>
        <v>66363.673920670408</v>
      </c>
      <c r="O72" s="12">
        <f t="shared" si="25"/>
        <v>64867.468758357631</v>
      </c>
      <c r="P72" s="12">
        <f t="shared" si="25"/>
        <v>63371.974696644887</v>
      </c>
      <c r="Q72" s="12">
        <f t="shared" si="25"/>
        <v>61784.515920141952</v>
      </c>
      <c r="S72" s="77">
        <f t="shared" si="22"/>
        <v>384236.64569108863</v>
      </c>
    </row>
    <row r="73" spans="1:19" x14ac:dyDescent="0.35">
      <c r="A73" s="2"/>
      <c r="B73" t="s">
        <v>65</v>
      </c>
      <c r="D73" s="12">
        <f t="shared" ref="D73:Q73" si="26">D60+D70</f>
        <v>74925.865306479012</v>
      </c>
      <c r="E73" s="12">
        <f t="shared" si="26"/>
        <v>73649.020622385171</v>
      </c>
      <c r="F73" s="12">
        <f t="shared" si="26"/>
        <v>72122.053884700057</v>
      </c>
      <c r="G73" s="12">
        <f t="shared" si="26"/>
        <v>69700.308569491928</v>
      </c>
      <c r="H73" s="12">
        <f t="shared" si="26"/>
        <v>66526.613497394224</v>
      </c>
      <c r="I73" s="12">
        <f t="shared" si="26"/>
        <v>63857.721327852698</v>
      </c>
      <c r="J73" s="12">
        <f t="shared" si="26"/>
        <v>60703.389645464296</v>
      </c>
      <c r="K73" s="12">
        <f t="shared" si="26"/>
        <v>58295.868785954677</v>
      </c>
      <c r="L73" s="12">
        <f t="shared" si="26"/>
        <v>55377.138276366997</v>
      </c>
      <c r="M73" s="12">
        <f t="shared" si="26"/>
        <v>52848.969092993066</v>
      </c>
      <c r="N73" s="12">
        <f t="shared" si="26"/>
        <v>50431.497938212786</v>
      </c>
      <c r="O73" s="12">
        <f t="shared" si="26"/>
        <v>48032.97224724172</v>
      </c>
      <c r="P73" s="12">
        <f t="shared" si="26"/>
        <v>45710.43473265144</v>
      </c>
      <c r="Q73" s="12">
        <f t="shared" si="26"/>
        <v>43236.865732369071</v>
      </c>
      <c r="S73" s="77">
        <f t="shared" si="22"/>
        <v>345855.71790182404</v>
      </c>
    </row>
    <row r="74" spans="1:19" x14ac:dyDescent="0.35">
      <c r="A74" s="2"/>
    </row>
    <row r="75" spans="1:19" x14ac:dyDescent="0.35">
      <c r="A75" s="2" t="s">
        <v>66</v>
      </c>
    </row>
    <row r="76" spans="1:19" x14ac:dyDescent="0.35">
      <c r="A76" s="2"/>
      <c r="B76" t="s">
        <v>67</v>
      </c>
      <c r="D76" s="12">
        <f>'Demonstration path data'!AJ18</f>
        <v>20416.094218215625</v>
      </c>
      <c r="E76" s="12">
        <f>'Demonstration path data'!AK18</f>
        <v>20452.655033376632</v>
      </c>
      <c r="F76" s="12">
        <f>'Demonstration path data'!AL18</f>
        <v>20344.295177427801</v>
      </c>
      <c r="G76" s="12">
        <f>'Demonstration path data'!AM18</f>
        <v>20194.829228157723</v>
      </c>
      <c r="H76" s="12">
        <f>'Demonstration path data'!AN18</f>
        <v>19926.726607918445</v>
      </c>
      <c r="I76" s="12">
        <f>'Demonstration path data'!AO18</f>
        <v>19607.38517330767</v>
      </c>
      <c r="J76" s="12">
        <f>'Demonstration path data'!AP18</f>
        <v>19163.097716511802</v>
      </c>
      <c r="K76" s="12">
        <f>'Demonstration path data'!AQ18</f>
        <v>18592.589383960116</v>
      </c>
      <c r="L76" s="12">
        <f>'Demonstration path data'!AR18</f>
        <v>17893.126849922981</v>
      </c>
      <c r="M76" s="12">
        <f>'Demonstration path data'!AS18</f>
        <v>17030.453995135267</v>
      </c>
      <c r="N76" s="12">
        <f>'Demonstration path data'!AT18</f>
        <v>16133.809428978593</v>
      </c>
      <c r="O76" s="12">
        <f>'Demonstration path data'!AU18</f>
        <v>15192.298145995384</v>
      </c>
      <c r="P76" s="12">
        <f>'Demonstration path data'!AV18</f>
        <v>14249.527500484161</v>
      </c>
      <c r="Q76" s="12">
        <f>'Demonstration path data'!AW18</f>
        <v>13200.750128371654</v>
      </c>
      <c r="S76" s="77">
        <f t="shared" ref="S76:S80" si="27">SUM(E76:I76)</f>
        <v>100525.89122018828</v>
      </c>
    </row>
    <row r="77" spans="1:19" x14ac:dyDescent="0.35">
      <c r="A77" s="2"/>
      <c r="B77" t="s">
        <v>68</v>
      </c>
      <c r="D77" s="12">
        <f t="shared" ref="D77:Q77" si="28">SUM(D63:D64)-D76</f>
        <v>11737.08982508834</v>
      </c>
      <c r="E77" s="12">
        <f t="shared" si="28"/>
        <v>10916.977109486059</v>
      </c>
      <c r="F77" s="12">
        <f t="shared" si="28"/>
        <v>9945.104704118341</v>
      </c>
      <c r="G77" s="12">
        <f t="shared" si="28"/>
        <v>8976.7211860775351</v>
      </c>
      <c r="H77" s="12">
        <f t="shared" si="28"/>
        <v>8700.8141974179198</v>
      </c>
      <c r="I77" s="12">
        <f t="shared" si="28"/>
        <v>8373.7618066744799</v>
      </c>
      <c r="J77" s="12">
        <f t="shared" si="28"/>
        <v>8118.2422825405156</v>
      </c>
      <c r="K77" s="12">
        <f t="shared" si="28"/>
        <v>7903.5344634444846</v>
      </c>
      <c r="L77" s="12">
        <f t="shared" si="28"/>
        <v>6910.1151212159857</v>
      </c>
      <c r="M77" s="12">
        <f t="shared" si="28"/>
        <v>6623.5618878625573</v>
      </c>
      <c r="N77" s="12">
        <f t="shared" si="28"/>
        <v>6330.2483305376973</v>
      </c>
      <c r="O77" s="12">
        <f t="shared" si="28"/>
        <v>6160.2031672557096</v>
      </c>
      <c r="P77" s="12">
        <f t="shared" si="28"/>
        <v>5992.3007007377601</v>
      </c>
      <c r="Q77" s="12">
        <f t="shared" si="28"/>
        <v>5799.7045481304431</v>
      </c>
      <c r="S77" s="77">
        <f t="shared" si="27"/>
        <v>46913.379003774331</v>
      </c>
    </row>
    <row r="78" spans="1:19" x14ac:dyDescent="0.35">
      <c r="A78" s="2"/>
      <c r="B78" t="s">
        <v>69</v>
      </c>
      <c r="D78" s="12">
        <f t="shared" ref="D78:Q78" si="29">D65</f>
        <v>3855.6029670502521</v>
      </c>
      <c r="E78" s="12">
        <f t="shared" si="29"/>
        <v>3792.4251535080225</v>
      </c>
      <c r="F78" s="12">
        <f t="shared" si="29"/>
        <v>3812.3168644479701</v>
      </c>
      <c r="G78" s="12">
        <f t="shared" si="29"/>
        <v>3794.7581937898731</v>
      </c>
      <c r="H78" s="12">
        <f t="shared" si="29"/>
        <v>3787.9954769448927</v>
      </c>
      <c r="I78" s="12">
        <f t="shared" si="29"/>
        <v>3762.0024456850983</v>
      </c>
      <c r="J78" s="12">
        <f t="shared" si="29"/>
        <v>3739.3602486328173</v>
      </c>
      <c r="K78" s="12">
        <f t="shared" si="29"/>
        <v>3728.2031010377223</v>
      </c>
      <c r="L78" s="12">
        <f t="shared" si="29"/>
        <v>3571.3883224460824</v>
      </c>
      <c r="M78" s="12">
        <f t="shared" si="29"/>
        <v>3549.7215205477728</v>
      </c>
      <c r="N78" s="12">
        <f t="shared" si="29"/>
        <v>3529.4424252139283</v>
      </c>
      <c r="O78" s="12">
        <f t="shared" si="29"/>
        <v>3503.6893802290842</v>
      </c>
      <c r="P78" s="12">
        <f t="shared" si="29"/>
        <v>3481.8658385394538</v>
      </c>
      <c r="Q78" s="12">
        <f t="shared" si="29"/>
        <v>3478.864528963983</v>
      </c>
      <c r="S78" s="77">
        <f t="shared" si="27"/>
        <v>18949.498134375855</v>
      </c>
    </row>
    <row r="79" spans="1:19" x14ac:dyDescent="0.35">
      <c r="A79" s="11"/>
      <c r="B79" t="s">
        <v>70</v>
      </c>
      <c r="D79" s="12">
        <f t="shared" ref="D79:Q79" si="30">D67</f>
        <v>1157.1977767372805</v>
      </c>
      <c r="E79" s="12">
        <f t="shared" si="30"/>
        <v>1115.874382499414</v>
      </c>
      <c r="F79" s="12">
        <f t="shared" si="30"/>
        <v>1076.0843577361793</v>
      </c>
      <c r="G79" s="12">
        <f t="shared" si="30"/>
        <v>1036.054120142684</v>
      </c>
      <c r="H79" s="12">
        <f t="shared" si="30"/>
        <v>995.70752310355147</v>
      </c>
      <c r="I79" s="12">
        <f t="shared" si="30"/>
        <v>955.70162727814841</v>
      </c>
      <c r="J79" s="12">
        <f t="shared" si="30"/>
        <v>916.22815333693416</v>
      </c>
      <c r="K79" s="12">
        <f t="shared" si="30"/>
        <v>877.33955136282611</v>
      </c>
      <c r="L79" s="12">
        <f t="shared" si="30"/>
        <v>838.887409924743</v>
      </c>
      <c r="M79" s="12">
        <f t="shared" si="30"/>
        <v>798.69775880205725</v>
      </c>
      <c r="N79" s="12">
        <f t="shared" si="30"/>
        <v>763.56297227735377</v>
      </c>
      <c r="O79" s="12">
        <f t="shared" si="30"/>
        <v>731.44121984974322</v>
      </c>
      <c r="P79" s="12">
        <f t="shared" si="30"/>
        <v>701.24616550959399</v>
      </c>
      <c r="Q79" s="12">
        <f t="shared" si="30"/>
        <v>672.58594272730011</v>
      </c>
      <c r="S79" s="77">
        <f t="shared" si="27"/>
        <v>5179.4220107599767</v>
      </c>
    </row>
    <row r="80" spans="1:19" x14ac:dyDescent="0.35">
      <c r="A80" s="2"/>
      <c r="B80" t="s">
        <v>61</v>
      </c>
      <c r="D80" s="12">
        <f t="shared" ref="D80:Q80" si="31">D68</f>
        <v>-4013.1860889020945</v>
      </c>
      <c r="E80" s="12">
        <f t="shared" si="31"/>
        <v>-3952.304506775045</v>
      </c>
      <c r="F80" s="12">
        <f t="shared" si="31"/>
        <v>-4100.9890840210792</v>
      </c>
      <c r="G80" s="12">
        <f t="shared" si="31"/>
        <v>-5303.109030565096</v>
      </c>
      <c r="H80" s="12">
        <f t="shared" si="31"/>
        <v>-7236.4263708620356</v>
      </c>
      <c r="I80" s="12">
        <f t="shared" si="31"/>
        <v>-9012.3379084604421</v>
      </c>
      <c r="J80" s="12">
        <f t="shared" si="31"/>
        <v>-11052.712440683512</v>
      </c>
      <c r="K80" s="12">
        <f t="shared" si="31"/>
        <v>-12312.181123108905</v>
      </c>
      <c r="L80" s="12">
        <f t="shared" si="31"/>
        <v>-12928.095043433561</v>
      </c>
      <c r="M80" s="12">
        <f t="shared" si="31"/>
        <v>-13999.542819584482</v>
      </c>
      <c r="N80" s="12">
        <f t="shared" si="31"/>
        <v>-15021.664972115161</v>
      </c>
      <c r="O80" s="12">
        <f t="shared" si="31"/>
        <v>-16129.565644429522</v>
      </c>
      <c r="P80" s="12">
        <f t="shared" si="31"/>
        <v>-17099.466060411469</v>
      </c>
      <c r="Q80" s="12">
        <f t="shared" si="31"/>
        <v>-17996.334704105608</v>
      </c>
      <c r="S80" s="77">
        <f t="shared" si="27"/>
        <v>-29605.166900683696</v>
      </c>
    </row>
    <row r="94" spans="5:9" x14ac:dyDescent="0.35">
      <c r="E94" s="12"/>
      <c r="F94" s="12"/>
      <c r="G94" s="12"/>
      <c r="H94" s="12"/>
      <c r="I94" s="12"/>
    </row>
    <row r="95" spans="5:9" x14ac:dyDescent="0.35">
      <c r="E95" s="12"/>
      <c r="F95" s="12"/>
      <c r="G95" s="12"/>
      <c r="H95" s="12"/>
      <c r="I95" s="12"/>
    </row>
    <row r="96" spans="5:9" x14ac:dyDescent="0.35">
      <c r="E96" s="12"/>
      <c r="F96" s="12"/>
      <c r="G96" s="12"/>
      <c r="H96" s="12"/>
      <c r="I96" s="12"/>
    </row>
    <row r="97" spans="5:9" x14ac:dyDescent="0.35">
      <c r="E97" s="12"/>
      <c r="F97" s="12"/>
      <c r="G97" s="12"/>
      <c r="H97" s="12"/>
      <c r="I97" s="12"/>
    </row>
    <row r="99" spans="5:9" x14ac:dyDescent="0.35">
      <c r="E99" s="12"/>
      <c r="F99" s="12"/>
      <c r="G99" s="12"/>
      <c r="H99" s="12"/>
      <c r="I99" s="12"/>
    </row>
    <row r="100" spans="5:9" x14ac:dyDescent="0.35">
      <c r="E100" s="12"/>
      <c r="F100" s="12"/>
      <c r="G100" s="12"/>
      <c r="H100" s="12"/>
      <c r="I100" s="12"/>
    </row>
    <row r="101" spans="5:9" x14ac:dyDescent="0.35">
      <c r="E101" s="12"/>
      <c r="F101" s="12"/>
      <c r="G101" s="12"/>
      <c r="H101" s="12"/>
      <c r="I101" s="12"/>
    </row>
    <row r="103" spans="5:9" x14ac:dyDescent="0.35">
      <c r="E103" s="12"/>
      <c r="F103" s="12"/>
      <c r="G103" s="12"/>
      <c r="H103" s="12"/>
      <c r="I103" s="12"/>
    </row>
    <row r="106" spans="5:9" x14ac:dyDescent="0.35">
      <c r="E106" s="12"/>
      <c r="F106" s="12"/>
      <c r="G106" s="12"/>
      <c r="H106" s="12"/>
      <c r="I106" s="12"/>
    </row>
    <row r="108" spans="5:9" x14ac:dyDescent="0.35">
      <c r="E108" s="12"/>
      <c r="F108" s="12"/>
      <c r="G108" s="12"/>
      <c r="H108" s="12"/>
      <c r="I108" s="12"/>
    </row>
    <row r="111" spans="5:9" x14ac:dyDescent="0.35">
      <c r="E111" s="12"/>
      <c r="F111" s="12"/>
      <c r="G111" s="12"/>
      <c r="H111" s="12"/>
      <c r="I111" s="12"/>
    </row>
    <row r="113" spans="5:9" x14ac:dyDescent="0.35">
      <c r="E113" s="12"/>
      <c r="F113" s="12"/>
      <c r="G113" s="12"/>
      <c r="H113" s="12"/>
      <c r="I113" s="12"/>
    </row>
    <row r="116" spans="5:9" x14ac:dyDescent="0.35">
      <c r="E116" s="12"/>
      <c r="F116" s="12"/>
      <c r="G116" s="12"/>
      <c r="H116" s="12"/>
      <c r="I116" s="12"/>
    </row>
    <row r="117" spans="5:9" x14ac:dyDescent="0.35">
      <c r="E117" s="12"/>
      <c r="F117" s="12"/>
      <c r="G117" s="12"/>
      <c r="H117" s="12"/>
      <c r="I117" s="12"/>
    </row>
    <row r="118" spans="5:9" x14ac:dyDescent="0.35">
      <c r="E118" s="12"/>
      <c r="F118" s="12"/>
      <c r="G118" s="12"/>
      <c r="H118" s="12"/>
      <c r="I118" s="12"/>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7B93-A2C4-49E1-B478-A1C0AAD8FC9B}">
  <sheetPr codeName="Sheet2">
    <tabColor theme="6"/>
  </sheetPr>
  <dimension ref="A1:R23"/>
  <sheetViews>
    <sheetView zoomScale="90" zoomScaleNormal="90" workbookViewId="0">
      <pane xSplit="3" ySplit="1" topLeftCell="D2" activePane="bottomRight" state="frozen"/>
      <selection pane="topRight"/>
      <selection pane="bottomLeft"/>
      <selection pane="bottomRight"/>
    </sheetView>
  </sheetViews>
  <sheetFormatPr defaultRowHeight="14.5" x14ac:dyDescent="0.35"/>
  <cols>
    <col min="1" max="1" width="10.81640625" customWidth="1"/>
    <col min="2" max="2" width="26.1796875" customWidth="1"/>
    <col min="3" max="3" width="27.1796875" customWidth="1"/>
    <col min="4" max="8" width="10.1796875" bestFit="1" customWidth="1"/>
    <col min="9" max="9" width="10.54296875" bestFit="1" customWidth="1"/>
    <col min="10" max="15" width="10.1796875" bestFit="1" customWidth="1"/>
    <col min="18" max="18" width="10.81640625" customWidth="1"/>
  </cols>
  <sheetData>
    <row r="1" spans="1:18" x14ac:dyDescent="0.35">
      <c r="D1">
        <v>2023</v>
      </c>
      <c r="E1">
        <v>2024</v>
      </c>
      <c r="F1">
        <v>2025</v>
      </c>
      <c r="G1">
        <v>2026</v>
      </c>
      <c r="H1">
        <v>2027</v>
      </c>
      <c r="I1">
        <v>2028</v>
      </c>
      <c r="J1">
        <v>2029</v>
      </c>
      <c r="K1">
        <v>2030</v>
      </c>
      <c r="L1">
        <v>2031</v>
      </c>
      <c r="M1">
        <v>2032</v>
      </c>
      <c r="N1">
        <v>2033</v>
      </c>
      <c r="O1">
        <v>2034</v>
      </c>
      <c r="P1">
        <v>2035</v>
      </c>
      <c r="R1" t="s">
        <v>71</v>
      </c>
    </row>
    <row r="2" spans="1:18" s="59" customFormat="1" x14ac:dyDescent="0.35">
      <c r="A2" s="58" t="s">
        <v>72</v>
      </c>
    </row>
    <row r="3" spans="1:18" x14ac:dyDescent="0.35">
      <c r="A3" s="2"/>
    </row>
    <row r="4" spans="1:18" x14ac:dyDescent="0.35">
      <c r="A4" s="2"/>
      <c r="B4" s="2" t="s">
        <v>73</v>
      </c>
      <c r="C4" t="s">
        <v>74</v>
      </c>
      <c r="D4" s="60">
        <f>'Demonstration path data'!AK18</f>
        <v>20452.655033376632</v>
      </c>
      <c r="E4" s="60">
        <f>'Demonstration path data'!AL18</f>
        <v>20344.295177427801</v>
      </c>
      <c r="F4" s="60">
        <f>'Demonstration path data'!AM18</f>
        <v>20194.829228157723</v>
      </c>
      <c r="G4" s="60">
        <f>'Demonstration path data'!AN18</f>
        <v>19926.726607918445</v>
      </c>
      <c r="H4" s="60">
        <f>'Demonstration path data'!AO18</f>
        <v>19607.38517330767</v>
      </c>
      <c r="I4" s="60">
        <f>'Demonstration path data'!AP18</f>
        <v>19163.097716511802</v>
      </c>
      <c r="J4" s="60">
        <f>'Demonstration path data'!AQ18</f>
        <v>18592.589383960116</v>
      </c>
      <c r="K4" s="60">
        <f>'Demonstration path data'!AR18</f>
        <v>17893.126849922981</v>
      </c>
      <c r="L4" s="60">
        <f>'Demonstration path data'!AS18</f>
        <v>17030.453995135267</v>
      </c>
      <c r="M4" s="60">
        <f>'Demonstration path data'!AT18</f>
        <v>16133.809428978593</v>
      </c>
      <c r="N4" s="60">
        <f>'Demonstration path data'!AU18</f>
        <v>15192.298145995384</v>
      </c>
      <c r="O4" s="60">
        <f>'Demonstration path data'!AV18</f>
        <v>14249.527500484161</v>
      </c>
      <c r="P4" s="60">
        <f>'Demonstration path data'!AW18</f>
        <v>13200.750128371654</v>
      </c>
      <c r="R4" s="12">
        <f>SUM(D4:H4)</f>
        <v>100525.89122018828</v>
      </c>
    </row>
    <row r="5" spans="1:18" x14ac:dyDescent="0.35">
      <c r="B5" s="24">
        <v>800</v>
      </c>
      <c r="C5" t="s">
        <v>75</v>
      </c>
      <c r="D5" s="6">
        <f>$B$5</f>
        <v>800</v>
      </c>
      <c r="E5" s="6">
        <f t="shared" ref="E5:P5" si="0">$B$5</f>
        <v>800</v>
      </c>
      <c r="F5" s="6">
        <f t="shared" si="0"/>
        <v>800</v>
      </c>
      <c r="G5" s="6">
        <f t="shared" si="0"/>
        <v>800</v>
      </c>
      <c r="H5" s="6">
        <f t="shared" si="0"/>
        <v>800</v>
      </c>
      <c r="I5" s="6">
        <f t="shared" si="0"/>
        <v>800</v>
      </c>
      <c r="J5" s="6">
        <f t="shared" si="0"/>
        <v>800</v>
      </c>
      <c r="K5" s="6">
        <f t="shared" si="0"/>
        <v>800</v>
      </c>
      <c r="L5" s="6">
        <f t="shared" si="0"/>
        <v>800</v>
      </c>
      <c r="M5" s="6">
        <f t="shared" si="0"/>
        <v>800</v>
      </c>
      <c r="N5" s="6">
        <f t="shared" si="0"/>
        <v>800</v>
      </c>
      <c r="O5" s="6">
        <f t="shared" si="0"/>
        <v>800</v>
      </c>
      <c r="P5" s="6">
        <f t="shared" si="0"/>
        <v>800</v>
      </c>
      <c r="R5" s="12">
        <f>SUM(D5:H5)</f>
        <v>4000</v>
      </c>
    </row>
    <row r="6" spans="1:18" x14ac:dyDescent="0.35">
      <c r="B6" s="2"/>
      <c r="D6" s="6"/>
      <c r="E6" s="6"/>
      <c r="F6" s="6"/>
      <c r="G6" s="6"/>
      <c r="H6" s="6"/>
      <c r="I6" s="6"/>
      <c r="J6" s="6"/>
      <c r="K6" s="6"/>
      <c r="L6" s="6"/>
      <c r="M6" s="6"/>
      <c r="N6" s="6"/>
      <c r="O6" s="6"/>
      <c r="P6" s="6"/>
      <c r="R6" s="12"/>
    </row>
    <row r="7" spans="1:18" x14ac:dyDescent="0.35">
      <c r="B7" s="2"/>
      <c r="D7" s="6"/>
      <c r="E7" s="6"/>
      <c r="F7" s="6"/>
      <c r="G7" s="6"/>
      <c r="H7" s="6"/>
      <c r="I7" s="6"/>
      <c r="J7" s="6"/>
      <c r="K7" s="6"/>
      <c r="L7" s="6"/>
      <c r="M7" s="6"/>
      <c r="N7" s="6"/>
      <c r="O7" s="6"/>
      <c r="P7" s="6"/>
      <c r="R7" s="12"/>
    </row>
    <row r="8" spans="1:18" x14ac:dyDescent="0.35">
      <c r="B8" s="2" t="s">
        <v>351</v>
      </c>
      <c r="C8" t="s">
        <v>74</v>
      </c>
      <c r="D8" s="60">
        <f>SUM('Demonstration path data'!AK17,'Demonstration path data'!AK25,'Demonstration path data'!AK27)</f>
        <v>4806.6950117475008</v>
      </c>
      <c r="E8" s="60">
        <f>SUM('Demonstration path data'!AL17,'Demonstration path data'!AL25,'Demonstration path data'!AL27)</f>
        <v>4047.0559812750989</v>
      </c>
      <c r="F8" s="60">
        <f>SUM('Demonstration path data'!AM17,'Demonstration path data'!AM25,'Demonstration path data'!AM27)</f>
        <v>3371.1912922590773</v>
      </c>
      <c r="G8" s="60">
        <f>SUM('Demonstration path data'!AN17,'Demonstration path data'!AN25,'Demonstration path data'!AN27)</f>
        <v>3266.8934880877423</v>
      </c>
      <c r="H8" s="60">
        <f>SUM('Demonstration path data'!AO17,'Demonstration path data'!AO25,'Demonstration path data'!AO27)</f>
        <v>3115.5833787282277</v>
      </c>
      <c r="I8" s="60">
        <f>SUM('Demonstration path data'!AP17,'Demonstration path data'!AP25,'Demonstration path data'!AP27)</f>
        <v>3010.4421428180926</v>
      </c>
      <c r="J8" s="60">
        <f>SUM('Demonstration path data'!AQ17,'Demonstration path data'!AQ25,'Demonstration path data'!AQ27)</f>
        <v>2887.9915151513655</v>
      </c>
      <c r="K8" s="60">
        <f>SUM('Demonstration path data'!AR17,'Demonstration path data'!AR25,'Demonstration path data'!AR27)</f>
        <v>2767.187576361735</v>
      </c>
      <c r="L8" s="60">
        <f>SUM('Demonstration path data'!AS17,'Demonstration path data'!AS25,'Demonstration path data'!AS27)</f>
        <v>2655.160235734123</v>
      </c>
      <c r="M8" s="60">
        <f>SUM('Demonstration path data'!AT17,'Demonstration path data'!AT25,'Demonstration path data'!AT27)</f>
        <v>2567.952466162229</v>
      </c>
      <c r="N8" s="60">
        <f>SUM('Demonstration path data'!AU17,'Demonstration path data'!AU25,'Demonstration path data'!AU27)</f>
        <v>2511.408796213138</v>
      </c>
      <c r="O8" s="60">
        <f>SUM('Demonstration path data'!AV17,'Demonstration path data'!AV25,'Demonstration path data'!AV27)</f>
        <v>2462.7784281016543</v>
      </c>
      <c r="P8" s="60">
        <f>SUM('Demonstration path data'!AW17,'Demonstration path data'!AW25,'Demonstration path data'!AW27)</f>
        <v>2409.8731915361118</v>
      </c>
      <c r="R8" s="12">
        <f t="shared" ref="R8" si="1">SUM(D8:H8)</f>
        <v>18607.419152097649</v>
      </c>
    </row>
    <row r="9" spans="1:18" x14ac:dyDescent="0.35">
      <c r="B9" s="30">
        <v>0.16</v>
      </c>
      <c r="C9" t="s">
        <v>75</v>
      </c>
      <c r="D9" s="3">
        <f>$B$9*D8</f>
        <v>769.07120187960015</v>
      </c>
      <c r="E9" s="3">
        <f>$B$9*E8</f>
        <v>647.52895700401587</v>
      </c>
      <c r="F9" s="3">
        <f t="shared" ref="F9:P9" si="2">$B$9*F8</f>
        <v>539.39060676145232</v>
      </c>
      <c r="G9" s="3">
        <f t="shared" si="2"/>
        <v>522.70295809403876</v>
      </c>
      <c r="H9" s="3">
        <f t="shared" si="2"/>
        <v>498.49334059651642</v>
      </c>
      <c r="I9" s="3">
        <f t="shared" si="2"/>
        <v>481.67074285089484</v>
      </c>
      <c r="J9" s="3">
        <f t="shared" si="2"/>
        <v>462.07864242421851</v>
      </c>
      <c r="K9" s="3">
        <f t="shared" si="2"/>
        <v>442.75001221787761</v>
      </c>
      <c r="L9" s="3">
        <f t="shared" si="2"/>
        <v>424.8256377174597</v>
      </c>
      <c r="M9" s="3">
        <f t="shared" si="2"/>
        <v>410.87239458595667</v>
      </c>
      <c r="N9" s="3">
        <f t="shared" si="2"/>
        <v>401.82540739410206</v>
      </c>
      <c r="O9" s="3">
        <f t="shared" si="2"/>
        <v>394.04454849626472</v>
      </c>
      <c r="P9" s="3">
        <f t="shared" si="2"/>
        <v>385.57971064577788</v>
      </c>
      <c r="R9" s="12">
        <f>SUM(D9:H9)</f>
        <v>2977.1870643356233</v>
      </c>
    </row>
    <row r="10" spans="1:18" x14ac:dyDescent="0.35">
      <c r="R10" s="12"/>
    </row>
    <row r="11" spans="1:18" s="74" customFormat="1" ht="15" thickBot="1" x14ac:dyDescent="0.4">
      <c r="B11" s="73" t="s">
        <v>76</v>
      </c>
      <c r="C11" s="73"/>
      <c r="D11" s="140">
        <f>D5+D9</f>
        <v>1569.0712018796003</v>
      </c>
      <c r="E11" s="140">
        <f t="shared" ref="E11:P11" si="3">E5+E9</f>
        <v>1447.5289570040159</v>
      </c>
      <c r="F11" s="140">
        <f t="shared" si="3"/>
        <v>1339.3906067614523</v>
      </c>
      <c r="G11" s="140">
        <f t="shared" si="3"/>
        <v>1322.7029580940389</v>
      </c>
      <c r="H11" s="140">
        <f t="shared" si="3"/>
        <v>1298.4933405965164</v>
      </c>
      <c r="I11" s="75">
        <f t="shared" si="3"/>
        <v>1281.6707428508948</v>
      </c>
      <c r="J11" s="75">
        <f t="shared" si="3"/>
        <v>1262.0786424242185</v>
      </c>
      <c r="K11" s="75">
        <f t="shared" si="3"/>
        <v>1242.7500122178776</v>
      </c>
      <c r="L11" s="75">
        <f t="shared" si="3"/>
        <v>1224.8256377174598</v>
      </c>
      <c r="M11" s="75">
        <f t="shared" si="3"/>
        <v>1210.8723945859567</v>
      </c>
      <c r="N11" s="75">
        <f t="shared" si="3"/>
        <v>1201.8254073941021</v>
      </c>
      <c r="O11" s="75">
        <f t="shared" si="3"/>
        <v>1194.0445484962647</v>
      </c>
      <c r="P11" s="75">
        <f t="shared" si="3"/>
        <v>1185.5797106457778</v>
      </c>
      <c r="R11" s="97">
        <f>SUM(D11:H11)</f>
        <v>6977.1870643356242</v>
      </c>
    </row>
    <row r="12" spans="1:18" ht="15" thickTop="1" x14ac:dyDescent="0.35"/>
    <row r="13" spans="1:18" x14ac:dyDescent="0.35">
      <c r="D13" s="16"/>
      <c r="E13" s="16"/>
      <c r="F13" s="16"/>
      <c r="G13" s="16"/>
      <c r="H13" s="16"/>
    </row>
    <row r="14" spans="1:18" x14ac:dyDescent="0.35">
      <c r="D14" s="5"/>
      <c r="E14" s="5"/>
      <c r="F14" s="5"/>
      <c r="G14" s="5"/>
      <c r="H14" s="5"/>
    </row>
    <row r="15" spans="1:18" x14ac:dyDescent="0.35">
      <c r="J15" s="8"/>
    </row>
    <row r="16" spans="1:18" x14ac:dyDescent="0.35">
      <c r="J16" s="8"/>
    </row>
    <row r="17" spans="2:15" x14ac:dyDescent="0.35">
      <c r="J17" s="16"/>
      <c r="K17" s="16"/>
      <c r="L17" s="16"/>
      <c r="M17" s="16"/>
      <c r="N17" s="16"/>
      <c r="O17" s="16"/>
    </row>
    <row r="18" spans="2:15" x14ac:dyDescent="0.35">
      <c r="B18" s="69"/>
      <c r="C18" s="70"/>
      <c r="D18" s="70"/>
      <c r="E18" s="70"/>
      <c r="F18" s="70"/>
      <c r="G18" s="70"/>
      <c r="H18" s="70"/>
      <c r="I18" s="48"/>
    </row>
    <row r="19" spans="2:15" x14ac:dyDescent="0.35">
      <c r="C19" s="71"/>
      <c r="D19" s="71"/>
      <c r="E19" s="71"/>
      <c r="F19" s="71"/>
      <c r="G19" s="14"/>
      <c r="H19" s="9"/>
    </row>
    <row r="20" spans="2:15" x14ac:dyDescent="0.35">
      <c r="B20" s="2"/>
      <c r="C20" s="71"/>
      <c r="D20" s="71"/>
      <c r="E20" s="71"/>
      <c r="F20" s="71"/>
      <c r="G20" s="71"/>
      <c r="H20" s="71"/>
      <c r="I20" s="48"/>
    </row>
    <row r="21" spans="2:15" x14ac:dyDescent="0.35">
      <c r="C21" s="47"/>
      <c r="D21" s="47"/>
      <c r="E21" s="47"/>
      <c r="F21" s="47"/>
      <c r="G21" s="47"/>
      <c r="H21" s="47"/>
      <c r="I21" s="48"/>
      <c r="J21" s="6"/>
      <c r="K21" s="6"/>
      <c r="L21" s="6"/>
      <c r="M21" s="6"/>
      <c r="N21" s="6"/>
      <c r="O21" s="6"/>
    </row>
    <row r="22" spans="2:15" x14ac:dyDescent="0.35">
      <c r="C22" s="47"/>
      <c r="D22" s="47"/>
      <c r="E22" s="47"/>
      <c r="F22" s="47"/>
      <c r="G22" s="47"/>
      <c r="H22" s="47"/>
      <c r="J22" s="6"/>
      <c r="K22" s="6"/>
      <c r="L22" s="6"/>
      <c r="M22" s="6"/>
      <c r="N22" s="6"/>
      <c r="O22" s="6"/>
    </row>
    <row r="23" spans="2:15" x14ac:dyDescent="0.35">
      <c r="C23" s="15"/>
      <c r="D23" s="15"/>
      <c r="E23" s="15"/>
      <c r="F23" s="15"/>
      <c r="G23" s="15"/>
      <c r="H23" s="47"/>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F1EA-C4EE-41B1-B3BB-FCFCC948A1B4}">
  <sheetPr>
    <tabColor theme="6"/>
  </sheetPr>
  <dimension ref="A1:N37"/>
  <sheetViews>
    <sheetView zoomScale="85" zoomScaleNormal="85" workbookViewId="0">
      <pane ySplit="1" topLeftCell="A2" activePane="bottomLeft" state="frozen"/>
      <selection pane="bottomLeft"/>
    </sheetView>
  </sheetViews>
  <sheetFormatPr defaultRowHeight="14.5" x14ac:dyDescent="0.35"/>
  <cols>
    <col min="1" max="1" width="23.54296875" customWidth="1"/>
    <col min="2" max="2" width="21.26953125" customWidth="1"/>
    <col min="3" max="13" width="10.54296875" bestFit="1" customWidth="1"/>
  </cols>
  <sheetData>
    <row r="1" spans="1:14" s="147" customFormat="1" x14ac:dyDescent="0.35">
      <c r="A1" s="145" t="s">
        <v>353</v>
      </c>
      <c r="C1" s="147">
        <v>2010</v>
      </c>
      <c r="D1" s="147">
        <v>2011</v>
      </c>
      <c r="E1" s="147">
        <v>2012</v>
      </c>
      <c r="F1" s="147">
        <v>2013</v>
      </c>
      <c r="G1" s="147">
        <v>2014</v>
      </c>
      <c r="H1" s="147">
        <v>2015</v>
      </c>
      <c r="I1" s="147">
        <v>2016</v>
      </c>
      <c r="J1" s="147">
        <v>2017</v>
      </c>
      <c r="K1" s="147">
        <v>2018</v>
      </c>
      <c r="L1" s="147">
        <v>2019</v>
      </c>
      <c r="M1" s="147">
        <v>2020</v>
      </c>
    </row>
    <row r="3" spans="1:14" s="59" customFormat="1" x14ac:dyDescent="0.35">
      <c r="A3" s="58" t="s">
        <v>73</v>
      </c>
    </row>
    <row r="4" spans="1:14" x14ac:dyDescent="0.35">
      <c r="B4" t="s">
        <v>348</v>
      </c>
      <c r="C4" s="6">
        <v>16212.598</v>
      </c>
      <c r="D4" s="6">
        <v>16038.689</v>
      </c>
      <c r="E4" s="6">
        <v>16282.877999999999</v>
      </c>
      <c r="F4" s="6">
        <v>16594.495999999999</v>
      </c>
      <c r="G4" s="6">
        <v>16801.807000000001</v>
      </c>
      <c r="H4" s="6">
        <v>17215.886000000002</v>
      </c>
      <c r="I4" s="6">
        <v>17648.878999999997</v>
      </c>
      <c r="J4" s="6">
        <v>18384.857</v>
      </c>
      <c r="K4" s="6">
        <v>18753.941000000003</v>
      </c>
      <c r="L4" s="6">
        <v>19021.705999999998</v>
      </c>
      <c r="M4" s="6">
        <v>17343.826000000001</v>
      </c>
    </row>
    <row r="5" spans="1:14" x14ac:dyDescent="0.35">
      <c r="B5" t="s">
        <v>349</v>
      </c>
      <c r="C5" s="6">
        <v>16978.542102264782</v>
      </c>
      <c r="D5" s="6">
        <v>17200.764764084881</v>
      </c>
      <c r="E5" s="6">
        <v>16987.371793020247</v>
      </c>
      <c r="F5" s="6">
        <v>17373.099495246326</v>
      </c>
      <c r="G5" s="6">
        <v>17684.29805665182</v>
      </c>
      <c r="H5" s="6">
        <v>18129.814194253413</v>
      </c>
      <c r="I5" s="6">
        <v>18414.176920670125</v>
      </c>
      <c r="J5" s="6">
        <v>19276.729777539302</v>
      </c>
      <c r="K5" s="6">
        <v>19542.912930873747</v>
      </c>
      <c r="L5" s="6">
        <v>19826.797123524611</v>
      </c>
      <c r="M5" s="6">
        <v>18151.34590644695</v>
      </c>
    </row>
    <row r="6" spans="1:14" x14ac:dyDescent="0.35">
      <c r="B6" t="s">
        <v>350</v>
      </c>
      <c r="C6" s="6">
        <f>C5-C4</f>
        <v>765.94410226478249</v>
      </c>
      <c r="D6" s="6">
        <f t="shared" ref="D6:M6" si="0">D5-D4</f>
        <v>1162.0757640848806</v>
      </c>
      <c r="E6" s="6">
        <f t="shared" si="0"/>
        <v>704.49379302024863</v>
      </c>
      <c r="F6" s="6">
        <f t="shared" si="0"/>
        <v>778.60349524632693</v>
      </c>
      <c r="G6" s="6">
        <f t="shared" si="0"/>
        <v>882.49105665181924</v>
      </c>
      <c r="H6" s="6">
        <f t="shared" si="0"/>
        <v>913.92819425341077</v>
      </c>
      <c r="I6" s="6">
        <f t="shared" si="0"/>
        <v>765.2979206701275</v>
      </c>
      <c r="J6" s="6">
        <f t="shared" si="0"/>
        <v>891.87277753930175</v>
      </c>
      <c r="K6" s="6">
        <f t="shared" si="0"/>
        <v>788.97193087374399</v>
      </c>
      <c r="L6" s="6">
        <f t="shared" si="0"/>
        <v>805.09112352461307</v>
      </c>
      <c r="M6" s="6">
        <f t="shared" si="0"/>
        <v>807.51990644694888</v>
      </c>
    </row>
    <row r="7" spans="1:14" x14ac:dyDescent="0.35">
      <c r="C7" s="6"/>
      <c r="D7" s="6"/>
      <c r="E7" s="6"/>
      <c r="F7" s="6"/>
      <c r="G7" s="6"/>
      <c r="H7" s="6"/>
      <c r="I7" s="6"/>
      <c r="J7" s="6"/>
      <c r="K7" s="6"/>
      <c r="L7" s="6"/>
      <c r="M7" s="6"/>
    </row>
    <row r="8" spans="1:14" s="59" customFormat="1" x14ac:dyDescent="0.35">
      <c r="A8" s="58" t="s">
        <v>351</v>
      </c>
      <c r="C8" s="90"/>
      <c r="D8" s="90"/>
      <c r="E8" s="90"/>
      <c r="F8" s="90"/>
      <c r="G8" s="90"/>
      <c r="H8" s="90"/>
      <c r="I8" s="90"/>
      <c r="J8" s="90"/>
      <c r="K8" s="90"/>
      <c r="L8" s="90"/>
      <c r="M8" s="90"/>
    </row>
    <row r="9" spans="1:14" x14ac:dyDescent="0.35">
      <c r="B9" t="s">
        <v>348</v>
      </c>
      <c r="C9" s="6">
        <v>4697.0740000000005</v>
      </c>
      <c r="D9" s="6">
        <v>4201.1040000000003</v>
      </c>
      <c r="E9" s="6">
        <v>7055.9710000000005</v>
      </c>
      <c r="F9" s="6">
        <v>6017.5419999999995</v>
      </c>
      <c r="G9" s="6">
        <v>5772.5609999999997</v>
      </c>
      <c r="H9" s="6">
        <v>5519.7780000000002</v>
      </c>
      <c r="I9" s="6">
        <v>4292.0579999999991</v>
      </c>
      <c r="J9" s="6">
        <v>4518.1260000000002</v>
      </c>
      <c r="K9" s="6">
        <v>4755.8514800000003</v>
      </c>
      <c r="L9" s="6">
        <v>4900.8755000000001</v>
      </c>
      <c r="M9" s="6">
        <v>4798.3789999999999</v>
      </c>
      <c r="N9" s="12"/>
    </row>
    <row r="10" spans="1:14" x14ac:dyDescent="0.35">
      <c r="B10" t="s">
        <v>349</v>
      </c>
      <c r="C10" s="6">
        <v>5890.6307587371539</v>
      </c>
      <c r="D10" s="6">
        <v>5788.0578783833762</v>
      </c>
      <c r="E10" s="6">
        <v>7008.0553468117078</v>
      </c>
      <c r="F10" s="6">
        <v>6144.7042829115726</v>
      </c>
      <c r="G10" s="6">
        <v>5515.7305257947382</v>
      </c>
      <c r="H10" s="6">
        <v>5503.0762430745335</v>
      </c>
      <c r="I10" s="6">
        <v>4501.3237144610903</v>
      </c>
      <c r="J10" s="6">
        <v>4604.4588041844399</v>
      </c>
      <c r="K10" s="6">
        <v>5198.1589737992508</v>
      </c>
      <c r="L10" s="6">
        <v>5926.5747679499154</v>
      </c>
      <c r="M10" s="6">
        <v>5701.6539640820947</v>
      </c>
      <c r="N10" s="12"/>
    </row>
    <row r="11" spans="1:14" x14ac:dyDescent="0.35">
      <c r="B11" t="s">
        <v>350</v>
      </c>
      <c r="C11" s="6">
        <f t="shared" ref="C11:M11" si="1">C10-C9</f>
        <v>1193.5567587371534</v>
      </c>
      <c r="D11" s="6">
        <f t="shared" si="1"/>
        <v>1586.9538783833759</v>
      </c>
      <c r="E11" s="6">
        <f t="shared" si="1"/>
        <v>-47.915653188292708</v>
      </c>
      <c r="F11" s="6">
        <f t="shared" si="1"/>
        <v>127.16228291157313</v>
      </c>
      <c r="G11" s="6">
        <f t="shared" si="1"/>
        <v>-256.83047420526145</v>
      </c>
      <c r="H11" s="6">
        <f t="shared" si="1"/>
        <v>-16.701756925466725</v>
      </c>
      <c r="I11" s="6">
        <f t="shared" si="1"/>
        <v>209.26571446109119</v>
      </c>
      <c r="J11" s="6">
        <f t="shared" si="1"/>
        <v>86.332804184439738</v>
      </c>
      <c r="K11" s="6">
        <f t="shared" si="1"/>
        <v>442.30749379925055</v>
      </c>
      <c r="L11" s="6">
        <f t="shared" si="1"/>
        <v>1025.6992679499153</v>
      </c>
      <c r="M11" s="6">
        <f t="shared" si="1"/>
        <v>903.27496408209481</v>
      </c>
      <c r="N11" s="12"/>
    </row>
    <row r="12" spans="1:14" x14ac:dyDescent="0.35">
      <c r="C12" s="4">
        <f>C11/C9</f>
        <v>0.25410644131583904</v>
      </c>
      <c r="D12" s="4">
        <f t="shared" ref="D12:M12" si="2">D11/D9</f>
        <v>0.37774686805739061</v>
      </c>
      <c r="E12" s="4">
        <f t="shared" si="2"/>
        <v>-6.7907950852253655E-3</v>
      </c>
      <c r="F12" s="4">
        <f t="shared" si="2"/>
        <v>2.1131931096047711E-2</v>
      </c>
      <c r="G12" s="4">
        <f t="shared" si="2"/>
        <v>-4.4491599864472889E-2</v>
      </c>
      <c r="H12" s="4">
        <f t="shared" si="2"/>
        <v>-3.0258022923144237E-3</v>
      </c>
      <c r="I12" s="4">
        <f t="shared" si="2"/>
        <v>4.8756497340224955E-2</v>
      </c>
      <c r="J12" s="4">
        <f t="shared" si="2"/>
        <v>1.9108100169061185E-2</v>
      </c>
      <c r="K12" s="4">
        <f t="shared" si="2"/>
        <v>9.300279785003937E-2</v>
      </c>
      <c r="L12" s="4">
        <f t="shared" si="2"/>
        <v>0.20928898682488778</v>
      </c>
      <c r="M12" s="4">
        <f t="shared" si="2"/>
        <v>0.18824585637818414</v>
      </c>
      <c r="N12" s="125"/>
    </row>
    <row r="13" spans="1:14" x14ac:dyDescent="0.35">
      <c r="C13" s="6"/>
      <c r="D13" s="6"/>
      <c r="E13" s="6"/>
      <c r="F13" s="6"/>
      <c r="G13" s="6"/>
      <c r="H13" s="6"/>
      <c r="I13" s="6"/>
      <c r="J13" s="6"/>
      <c r="K13" s="6"/>
      <c r="L13" s="6"/>
      <c r="M13" s="6"/>
    </row>
    <row r="14" spans="1:14" s="59" customFormat="1" x14ac:dyDescent="0.35">
      <c r="A14" s="58" t="s">
        <v>277</v>
      </c>
      <c r="C14" s="90"/>
      <c r="D14" s="90"/>
      <c r="E14" s="90"/>
      <c r="F14" s="90"/>
      <c r="G14" s="90"/>
      <c r="H14" s="90"/>
      <c r="I14" s="90"/>
      <c r="J14" s="90"/>
      <c r="K14" s="90"/>
      <c r="L14" s="90"/>
      <c r="M14" s="90"/>
    </row>
    <row r="15" spans="1:14" x14ac:dyDescent="0.35">
      <c r="B15" t="s">
        <v>348</v>
      </c>
      <c r="C15" s="6">
        <v>10064.038999999999</v>
      </c>
      <c r="D15" s="6">
        <v>8180.4630000000006</v>
      </c>
      <c r="E15" s="6">
        <v>8553.5930000000008</v>
      </c>
      <c r="F15" s="6">
        <v>8496.0139999999992</v>
      </c>
      <c r="G15" s="6">
        <v>8744.6670000000013</v>
      </c>
      <c r="H15" s="6">
        <v>8770.1059999999998</v>
      </c>
      <c r="I15" s="6">
        <v>8643.9910000000018</v>
      </c>
      <c r="J15" s="6">
        <v>9190.2389999999996</v>
      </c>
      <c r="K15" s="6">
        <v>8248.85052</v>
      </c>
      <c r="L15" s="6">
        <v>8492.4920000000002</v>
      </c>
      <c r="M15" s="6">
        <v>8368.2670000000016</v>
      </c>
    </row>
    <row r="16" spans="1:14" x14ac:dyDescent="0.35">
      <c r="B16" t="s">
        <v>349</v>
      </c>
      <c r="C16" s="6">
        <v>9435.7162361796163</v>
      </c>
      <c r="D16" s="6">
        <v>8669.9374064244148</v>
      </c>
      <c r="E16" s="6">
        <v>9048.2791416494874</v>
      </c>
      <c r="F16" s="6">
        <v>8720.5791472086348</v>
      </c>
      <c r="G16" s="6">
        <v>9175.4154949525764</v>
      </c>
      <c r="H16" s="6">
        <v>8904.9017781761177</v>
      </c>
      <c r="I16" s="6">
        <v>8409.0026400691931</v>
      </c>
      <c r="J16" s="6">
        <v>8995.7910874332483</v>
      </c>
      <c r="K16" s="6">
        <v>8279.8331509843865</v>
      </c>
      <c r="L16" s="6">
        <v>8579.9217039677842</v>
      </c>
      <c r="M16" s="6">
        <v>8083.4020452876448</v>
      </c>
    </row>
    <row r="17" spans="1:13" x14ac:dyDescent="0.35">
      <c r="B17" t="s">
        <v>350</v>
      </c>
      <c r="C17" s="6">
        <f>C16-C15</f>
        <v>-628.32276382038253</v>
      </c>
      <c r="D17" s="6">
        <f t="shared" ref="D17:M17" si="3">D16-D15</f>
        <v>489.47440642441416</v>
      </c>
      <c r="E17" s="6">
        <f t="shared" si="3"/>
        <v>494.68614164948667</v>
      </c>
      <c r="F17" s="6">
        <f t="shared" si="3"/>
        <v>224.56514720863561</v>
      </c>
      <c r="G17" s="6">
        <f t="shared" si="3"/>
        <v>430.74849495257513</v>
      </c>
      <c r="H17" s="6">
        <f t="shared" si="3"/>
        <v>134.79577817611789</v>
      </c>
      <c r="I17" s="6">
        <f t="shared" si="3"/>
        <v>-234.98835993080866</v>
      </c>
      <c r="J17" s="6">
        <f t="shared" si="3"/>
        <v>-194.44791256675126</v>
      </c>
      <c r="K17" s="6">
        <f t="shared" si="3"/>
        <v>30.98263098438656</v>
      </c>
      <c r="L17" s="6">
        <f t="shared" si="3"/>
        <v>87.429703967784008</v>
      </c>
      <c r="M17" s="6">
        <f t="shared" si="3"/>
        <v>-284.86495471235685</v>
      </c>
    </row>
    <row r="18" spans="1:13" x14ac:dyDescent="0.35">
      <c r="C18" s="6"/>
      <c r="D18" s="6"/>
      <c r="E18" s="6"/>
      <c r="F18" s="6"/>
      <c r="G18" s="6"/>
      <c r="H18" s="6"/>
      <c r="I18" s="6"/>
      <c r="J18" s="6"/>
      <c r="K18" s="6"/>
      <c r="L18" s="6"/>
      <c r="M18" s="6"/>
    </row>
    <row r="19" spans="1:13" s="59" customFormat="1" x14ac:dyDescent="0.35">
      <c r="A19" s="58" t="s">
        <v>301</v>
      </c>
      <c r="C19" s="90"/>
      <c r="D19" s="90"/>
      <c r="E19" s="90"/>
      <c r="F19" s="90"/>
      <c r="G19" s="90"/>
      <c r="H19" s="90"/>
      <c r="I19" s="90"/>
      <c r="J19" s="90"/>
      <c r="K19" s="90"/>
      <c r="L19" s="90"/>
      <c r="M19" s="90"/>
    </row>
    <row r="20" spans="1:13" x14ac:dyDescent="0.35">
      <c r="B20" t="s">
        <v>348</v>
      </c>
      <c r="C20" s="6">
        <v>764.851</v>
      </c>
      <c r="D20" s="6">
        <v>756.16399999999999</v>
      </c>
      <c r="E20" s="6">
        <v>748.46600000000001</v>
      </c>
      <c r="F20" s="6">
        <v>765.75900000000001</v>
      </c>
      <c r="G20" s="6">
        <v>846.51199999999994</v>
      </c>
      <c r="H20" s="6">
        <v>854.75699999999995</v>
      </c>
      <c r="I20" s="6">
        <v>735.49099999999999</v>
      </c>
      <c r="J20" s="6">
        <v>677.89</v>
      </c>
      <c r="K20" s="6">
        <v>619.08399999999995</v>
      </c>
      <c r="L20" s="6">
        <v>595.4</v>
      </c>
      <c r="M20" s="6">
        <v>572.00199999999995</v>
      </c>
    </row>
    <row r="21" spans="1:13" x14ac:dyDescent="0.35">
      <c r="B21" t="s">
        <v>349</v>
      </c>
      <c r="C21" s="6">
        <v>766.88741716704976</v>
      </c>
      <c r="D21" s="6">
        <v>759.82718856583074</v>
      </c>
      <c r="E21" s="6">
        <v>753.52391989212845</v>
      </c>
      <c r="F21" s="6">
        <v>756.37251744680782</v>
      </c>
      <c r="G21" s="6">
        <v>771.41953000000046</v>
      </c>
      <c r="H21" s="6">
        <v>812.56917000000033</v>
      </c>
      <c r="I21" s="6">
        <v>720.8629297676033</v>
      </c>
      <c r="J21" s="6">
        <v>672.55436811864183</v>
      </c>
      <c r="K21" s="6">
        <v>614.11758083911104</v>
      </c>
      <c r="L21" s="6">
        <v>602.44303186572029</v>
      </c>
      <c r="M21" s="6">
        <v>568.04123811528973</v>
      </c>
    </row>
    <row r="22" spans="1:13" x14ac:dyDescent="0.35">
      <c r="B22" t="s">
        <v>350</v>
      </c>
      <c r="C22" s="6">
        <f>C21-C20</f>
        <v>2.0364171670497626</v>
      </c>
      <c r="D22" s="6">
        <f t="shared" ref="D22:M22" si="4">D21-D20</f>
        <v>3.663188565830751</v>
      </c>
      <c r="E22" s="6">
        <f t="shared" si="4"/>
        <v>5.0579198921284387</v>
      </c>
      <c r="F22" s="6">
        <f t="shared" si="4"/>
        <v>-9.3864825531921952</v>
      </c>
      <c r="G22" s="6">
        <f t="shared" si="4"/>
        <v>-75.09246999999948</v>
      </c>
      <c r="H22" s="6">
        <f t="shared" si="4"/>
        <v>-42.187829999999622</v>
      </c>
      <c r="I22" s="6">
        <f t="shared" si="4"/>
        <v>-14.628070232396681</v>
      </c>
      <c r="J22" s="6">
        <f t="shared" si="4"/>
        <v>-5.3356318813581538</v>
      </c>
      <c r="K22" s="6">
        <f t="shared" si="4"/>
        <v>-4.9664191608889041</v>
      </c>
      <c r="L22" s="6">
        <f t="shared" si="4"/>
        <v>7.0430318657203088</v>
      </c>
      <c r="M22" s="6">
        <f t="shared" si="4"/>
        <v>-3.9607618847102231</v>
      </c>
    </row>
    <row r="23" spans="1:13" x14ac:dyDescent="0.35">
      <c r="C23" s="6"/>
      <c r="D23" s="6"/>
      <c r="E23" s="6"/>
      <c r="F23" s="6"/>
      <c r="G23" s="6"/>
      <c r="H23" s="6"/>
      <c r="I23" s="6"/>
      <c r="J23" s="6"/>
      <c r="K23" s="6"/>
      <c r="L23" s="6"/>
      <c r="M23" s="6"/>
    </row>
    <row r="24" spans="1:13" s="59" customFormat="1" x14ac:dyDescent="0.35">
      <c r="A24" s="58" t="s">
        <v>60</v>
      </c>
      <c r="C24" s="90"/>
      <c r="D24" s="90"/>
      <c r="E24" s="90"/>
      <c r="F24" s="90"/>
      <c r="G24" s="90"/>
      <c r="H24" s="90"/>
      <c r="I24" s="90"/>
      <c r="J24" s="90"/>
      <c r="K24" s="90"/>
      <c r="L24" s="90"/>
      <c r="M24" s="90"/>
    </row>
    <row r="25" spans="1:13" x14ac:dyDescent="0.35">
      <c r="B25" t="s">
        <v>348</v>
      </c>
      <c r="C25" s="6">
        <v>1313.884</v>
      </c>
      <c r="D25" s="6">
        <v>1275.1879999999999</v>
      </c>
      <c r="E25" s="6">
        <v>1270.491</v>
      </c>
      <c r="F25" s="6">
        <v>1339.9489999999998</v>
      </c>
      <c r="G25" s="6">
        <v>1406.2480000000003</v>
      </c>
      <c r="H25" s="6">
        <v>1428.5380000000002</v>
      </c>
      <c r="I25" s="6">
        <v>1269.6299999999999</v>
      </c>
      <c r="J25" s="6">
        <v>1206.7910000000002</v>
      </c>
      <c r="K25" s="6">
        <v>1177.2559999999999</v>
      </c>
      <c r="L25" s="6">
        <v>1205.4304999999999</v>
      </c>
      <c r="M25" s="6">
        <v>1124.6020000000001</v>
      </c>
    </row>
    <row r="26" spans="1:13" x14ac:dyDescent="0.35">
      <c r="B26" t="s">
        <v>349</v>
      </c>
      <c r="C26" s="6">
        <v>1321.2403242830956</v>
      </c>
      <c r="D26" s="6">
        <v>1277.7560728283138</v>
      </c>
      <c r="E26" s="6">
        <v>1275.7046426747831</v>
      </c>
      <c r="F26" s="6">
        <v>1324.1293581698544</v>
      </c>
      <c r="G26" s="6">
        <v>1406.585640297091</v>
      </c>
      <c r="H26" s="6">
        <v>1429.0708009343039</v>
      </c>
      <c r="I26" s="6">
        <v>1271.0349874732685</v>
      </c>
      <c r="J26" s="6">
        <v>1208.4411347256748</v>
      </c>
      <c r="K26" s="6">
        <v>1173.3797803320656</v>
      </c>
      <c r="L26" s="6">
        <v>1202.4750984917184</v>
      </c>
      <c r="M26" s="6">
        <v>1127.8772301086849</v>
      </c>
    </row>
    <row r="27" spans="1:13" x14ac:dyDescent="0.35">
      <c r="B27" t="s">
        <v>350</v>
      </c>
      <c r="C27" s="6">
        <f>C26-C25</f>
        <v>7.356324283095546</v>
      </c>
      <c r="D27" s="6">
        <f t="shared" ref="D27:M27" si="5">D26-D25</f>
        <v>2.568072828313916</v>
      </c>
      <c r="E27" s="6">
        <f t="shared" si="5"/>
        <v>5.2136426747831592</v>
      </c>
      <c r="F27" s="6">
        <f t="shared" si="5"/>
        <v>-15.819641830145429</v>
      </c>
      <c r="G27" s="6">
        <f t="shared" si="5"/>
        <v>0.33764029709072929</v>
      </c>
      <c r="H27" s="6">
        <f t="shared" si="5"/>
        <v>0.53280093430362285</v>
      </c>
      <c r="I27" s="6">
        <f t="shared" si="5"/>
        <v>1.4049874732686476</v>
      </c>
      <c r="J27" s="6">
        <f t="shared" si="5"/>
        <v>1.6501347256746612</v>
      </c>
      <c r="K27" s="6">
        <f t="shared" si="5"/>
        <v>-3.8762196679342651</v>
      </c>
      <c r="L27" s="6">
        <f t="shared" si="5"/>
        <v>-2.9554015082815113</v>
      </c>
      <c r="M27" s="6">
        <f t="shared" si="5"/>
        <v>3.2752301086848092</v>
      </c>
    </row>
    <row r="29" spans="1:13" s="59" customFormat="1" x14ac:dyDescent="0.35">
      <c r="A29" s="58" t="s">
        <v>44</v>
      </c>
      <c r="C29" s="90"/>
      <c r="D29" s="90"/>
      <c r="E29" s="90"/>
      <c r="F29" s="90"/>
      <c r="G29" s="90"/>
      <c r="H29" s="90"/>
      <c r="I29" s="90"/>
      <c r="J29" s="90"/>
      <c r="K29" s="90"/>
      <c r="L29" s="90"/>
      <c r="M29" s="90"/>
    </row>
    <row r="30" spans="1:13" x14ac:dyDescent="0.35">
      <c r="B30" t="s">
        <v>348</v>
      </c>
      <c r="C30" s="6">
        <v>0</v>
      </c>
      <c r="D30" s="6">
        <v>0</v>
      </c>
      <c r="E30" s="6">
        <v>2760.471</v>
      </c>
      <c r="F30" s="6">
        <v>1970.356</v>
      </c>
      <c r="G30" s="6">
        <v>1358.42</v>
      </c>
      <c r="H30" s="6">
        <v>1345.857</v>
      </c>
      <c r="I30" s="6">
        <v>1268.1120000000001</v>
      </c>
      <c r="J30" s="6">
        <v>1303.633</v>
      </c>
      <c r="K30" s="6">
        <v>1283.2639999999999</v>
      </c>
      <c r="L30" s="6">
        <v>1173.6289999999999</v>
      </c>
      <c r="M30" s="6">
        <v>1049.9749999999999</v>
      </c>
    </row>
    <row r="31" spans="1:13" x14ac:dyDescent="0.35">
      <c r="B31" t="s">
        <v>349</v>
      </c>
      <c r="C31" s="6">
        <v>1665.745662902455</v>
      </c>
      <c r="D31" s="6">
        <v>1519.6605558608351</v>
      </c>
      <c r="E31" s="6">
        <v>1410.5413176396301</v>
      </c>
      <c r="F31" s="6">
        <v>1359.9084848190901</v>
      </c>
      <c r="G31" s="6">
        <v>1314.1708670740725</v>
      </c>
      <c r="H31" s="6">
        <v>1275.9271345153275</v>
      </c>
      <c r="I31" s="6">
        <v>1246.0586846922251</v>
      </c>
      <c r="J31" s="6">
        <v>1214.8602401561525</v>
      </c>
      <c r="K31" s="6">
        <v>1156.3598029499426</v>
      </c>
      <c r="L31" s="6">
        <v>1114.3950725962225</v>
      </c>
      <c r="M31" s="6">
        <v>1075.3643344180375</v>
      </c>
    </row>
    <row r="32" spans="1:13" x14ac:dyDescent="0.35">
      <c r="B32" t="s">
        <v>350</v>
      </c>
      <c r="C32" s="6">
        <v>-1665.745662902455</v>
      </c>
      <c r="D32" s="6">
        <v>-1519.6605558608351</v>
      </c>
      <c r="E32" s="6">
        <v>1349.92968236037</v>
      </c>
      <c r="F32" s="6">
        <v>610.44751518090993</v>
      </c>
      <c r="G32" s="6">
        <v>44.249132925927597</v>
      </c>
      <c r="H32" s="6">
        <v>69.929865484672519</v>
      </c>
      <c r="I32" s="6">
        <v>22.053315307774938</v>
      </c>
      <c r="J32" s="6">
        <v>88.772759843847552</v>
      </c>
      <c r="K32" s="6">
        <v>126.90419705005729</v>
      </c>
      <c r="L32" s="6">
        <v>59.233927403777443</v>
      </c>
      <c r="M32" s="6">
        <v>-25.389334418037606</v>
      </c>
    </row>
    <row r="33" spans="1:13" x14ac:dyDescent="0.35">
      <c r="C33" s="6"/>
      <c r="D33" s="6"/>
      <c r="E33" s="6"/>
      <c r="F33" s="6"/>
      <c r="G33" s="6"/>
      <c r="H33" s="6"/>
      <c r="I33" s="6"/>
      <c r="J33" s="6"/>
      <c r="K33" s="6"/>
      <c r="L33" s="6"/>
      <c r="M33" s="6"/>
    </row>
    <row r="34" spans="1:13" s="59" customFormat="1" x14ac:dyDescent="0.35">
      <c r="A34" s="58" t="s">
        <v>300</v>
      </c>
    </row>
    <row r="35" spans="1:13" x14ac:dyDescent="0.35">
      <c r="B35" t="s">
        <v>352</v>
      </c>
      <c r="F35" s="6">
        <v>1153.913</v>
      </c>
      <c r="G35" s="6">
        <v>2315.7389999999996</v>
      </c>
      <c r="H35" s="6">
        <v>1460.9009999999998</v>
      </c>
      <c r="I35" s="6">
        <v>2753.152</v>
      </c>
      <c r="J35" s="6">
        <v>2219.373</v>
      </c>
      <c r="K35" s="6">
        <v>1873.99</v>
      </c>
      <c r="L35" s="6">
        <v>654.476</v>
      </c>
      <c r="M35" s="6">
        <v>1351.7429999999999</v>
      </c>
    </row>
    <row r="36" spans="1:13" x14ac:dyDescent="0.35">
      <c r="B36" t="s">
        <v>349</v>
      </c>
      <c r="F36" s="6">
        <v>1310.8550723426897</v>
      </c>
      <c r="G36" s="6">
        <v>1335.5841248101901</v>
      </c>
      <c r="H36" s="6">
        <v>1385.9517962676664</v>
      </c>
      <c r="I36" s="6">
        <v>1419.3108641873259</v>
      </c>
      <c r="J36" s="6">
        <v>1465.7401416697126</v>
      </c>
      <c r="K36" s="6">
        <v>1478.7952136725999</v>
      </c>
      <c r="L36" s="6">
        <v>1480.767199258129</v>
      </c>
      <c r="M36" s="6">
        <v>1480.0573697785851</v>
      </c>
    </row>
    <row r="37" spans="1:13" x14ac:dyDescent="0.35">
      <c r="B37" t="s">
        <v>350</v>
      </c>
      <c r="F37" s="12">
        <f>F36-F35</f>
        <v>156.9420723426897</v>
      </c>
      <c r="G37" s="12">
        <f t="shared" ref="G37:M37" si="6">G36-G35</f>
        <v>-980.15487518980945</v>
      </c>
      <c r="H37" s="12">
        <f t="shared" si="6"/>
        <v>-74.949203732333444</v>
      </c>
      <c r="I37" s="12">
        <f t="shared" si="6"/>
        <v>-1333.8411358126741</v>
      </c>
      <c r="J37" s="12">
        <f t="shared" si="6"/>
        <v>-753.63285833028749</v>
      </c>
      <c r="K37" s="12">
        <f t="shared" si="6"/>
        <v>-395.19478632740015</v>
      </c>
      <c r="L37" s="12">
        <f t="shared" si="6"/>
        <v>826.29119925812904</v>
      </c>
      <c r="M37" s="12">
        <f t="shared" si="6"/>
        <v>128.31436977858516</v>
      </c>
    </row>
  </sheetData>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5172-C069-4BE4-AE75-5C2ED6D441F5}">
  <sheetPr>
    <tabColor theme="7"/>
  </sheetPr>
  <dimension ref="A1:AQ73"/>
  <sheetViews>
    <sheetView zoomScale="85" zoomScaleNormal="85" workbookViewId="0">
      <pane ySplit="1" topLeftCell="A2" activePane="bottomLeft" state="frozen"/>
      <selection pane="bottomLeft"/>
    </sheetView>
  </sheetViews>
  <sheetFormatPr defaultColWidth="8.7265625" defaultRowHeight="14.5" x14ac:dyDescent="0.35"/>
  <cols>
    <col min="1" max="1" width="13.81640625" customWidth="1"/>
    <col min="2" max="2" width="26.54296875" customWidth="1"/>
    <col min="3" max="3" width="13.54296875" hidden="1" customWidth="1"/>
    <col min="4" max="4" width="16.26953125" hidden="1" customWidth="1"/>
    <col min="5" max="13" width="15.26953125" hidden="1" customWidth="1"/>
    <col min="14" max="43" width="15.26953125" customWidth="1"/>
  </cols>
  <sheetData>
    <row r="1" spans="1:43" x14ac:dyDescent="0.35">
      <c r="N1" s="2">
        <v>2021</v>
      </c>
      <c r="O1" s="2">
        <v>2022</v>
      </c>
      <c r="P1" s="2">
        <v>2023</v>
      </c>
      <c r="Q1" s="2">
        <v>2024</v>
      </c>
      <c r="R1" s="2">
        <v>2025</v>
      </c>
      <c r="S1" s="2">
        <v>2026</v>
      </c>
      <c r="T1" s="2">
        <v>2027</v>
      </c>
      <c r="U1" s="2">
        <v>2028</v>
      </c>
      <c r="V1" s="2">
        <v>2029</v>
      </c>
      <c r="W1" s="2">
        <v>2030</v>
      </c>
      <c r="X1" s="2">
        <v>2031</v>
      </c>
      <c r="Y1" s="2">
        <v>2032</v>
      </c>
      <c r="Z1" s="2">
        <v>2033</v>
      </c>
      <c r="AA1" s="2">
        <v>2034</v>
      </c>
      <c r="AB1" s="2">
        <v>2035</v>
      </c>
      <c r="AC1" s="2">
        <v>2036</v>
      </c>
      <c r="AD1" s="2">
        <v>2037</v>
      </c>
      <c r="AE1" s="2">
        <v>2038</v>
      </c>
      <c r="AF1" s="2">
        <v>2039</v>
      </c>
      <c r="AG1" s="2">
        <v>2040</v>
      </c>
      <c r="AH1" s="2">
        <v>2041</v>
      </c>
      <c r="AI1" s="2">
        <v>2042</v>
      </c>
      <c r="AJ1" s="2">
        <v>2043</v>
      </c>
      <c r="AK1" s="2">
        <v>2044</v>
      </c>
      <c r="AL1" s="2">
        <v>2045</v>
      </c>
      <c r="AM1" s="2">
        <v>2046</v>
      </c>
      <c r="AN1" s="2">
        <v>2047</v>
      </c>
      <c r="AO1" s="2">
        <v>2048</v>
      </c>
      <c r="AP1" s="2">
        <v>2049</v>
      </c>
      <c r="AQ1" s="2">
        <v>2050</v>
      </c>
    </row>
    <row r="2" spans="1:43" s="58" customFormat="1" x14ac:dyDescent="0.35">
      <c r="A2" s="58" t="s">
        <v>77</v>
      </c>
      <c r="C2" s="58">
        <v>2010</v>
      </c>
      <c r="D2" s="58">
        <v>2011</v>
      </c>
      <c r="E2" s="58">
        <v>2012</v>
      </c>
      <c r="F2" s="58">
        <v>2013</v>
      </c>
      <c r="G2" s="58">
        <v>2014</v>
      </c>
      <c r="H2" s="58">
        <v>2015</v>
      </c>
      <c r="I2" s="58">
        <v>2016</v>
      </c>
      <c r="J2" s="58">
        <v>2017</v>
      </c>
      <c r="K2" s="58">
        <v>2018</v>
      </c>
      <c r="L2" s="58">
        <v>2019</v>
      </c>
      <c r="M2" s="58">
        <v>2020</v>
      </c>
    </row>
    <row r="3" spans="1:43" x14ac:dyDescent="0.35">
      <c r="A3" s="107">
        <v>0</v>
      </c>
      <c r="B3" t="s">
        <v>78</v>
      </c>
      <c r="C3" s="108">
        <v>2046224</v>
      </c>
      <c r="D3" s="108">
        <v>2050946</v>
      </c>
      <c r="E3" s="108">
        <v>2082812</v>
      </c>
      <c r="F3" s="108">
        <v>2140436</v>
      </c>
      <c r="G3" s="108">
        <v>2266638</v>
      </c>
      <c r="H3" s="108">
        <v>2231336</v>
      </c>
      <c r="I3" s="108">
        <v>2120840</v>
      </c>
      <c r="J3" s="108">
        <v>2166049.253731343</v>
      </c>
      <c r="K3" s="108">
        <v>2170983.1325301207</v>
      </c>
      <c r="L3" s="108">
        <v>2142270</v>
      </c>
      <c r="M3" s="108">
        <v>2053372</v>
      </c>
      <c r="N3" s="6">
        <f>(L3*(1+$A$3))</f>
        <v>2142270</v>
      </c>
      <c r="O3" s="6">
        <f t="shared" ref="O3:AQ3" si="0">(N3*(1+$A$3))</f>
        <v>2142270</v>
      </c>
      <c r="P3" s="6">
        <f t="shared" si="0"/>
        <v>2142270</v>
      </c>
      <c r="Q3" s="6">
        <f t="shared" si="0"/>
        <v>2142270</v>
      </c>
      <c r="R3" s="6">
        <f t="shared" si="0"/>
        <v>2142270</v>
      </c>
      <c r="S3" s="6">
        <f t="shared" si="0"/>
        <v>2142270</v>
      </c>
      <c r="T3" s="6">
        <f t="shared" si="0"/>
        <v>2142270</v>
      </c>
      <c r="U3" s="6">
        <f t="shared" si="0"/>
        <v>2142270</v>
      </c>
      <c r="V3" s="6">
        <f t="shared" si="0"/>
        <v>2142270</v>
      </c>
      <c r="W3" s="6">
        <f t="shared" si="0"/>
        <v>2142270</v>
      </c>
      <c r="X3" s="6">
        <f t="shared" si="0"/>
        <v>2142270</v>
      </c>
      <c r="Y3" s="6">
        <f t="shared" si="0"/>
        <v>2142270</v>
      </c>
      <c r="Z3" s="6">
        <f t="shared" si="0"/>
        <v>2142270</v>
      </c>
      <c r="AA3" s="6">
        <f t="shared" si="0"/>
        <v>2142270</v>
      </c>
      <c r="AB3" s="6">
        <f t="shared" si="0"/>
        <v>2142270</v>
      </c>
      <c r="AC3" s="6">
        <f t="shared" si="0"/>
        <v>2142270</v>
      </c>
      <c r="AD3" s="6">
        <f t="shared" si="0"/>
        <v>2142270</v>
      </c>
      <c r="AE3" s="6">
        <f t="shared" si="0"/>
        <v>2142270</v>
      </c>
      <c r="AF3" s="6">
        <f t="shared" si="0"/>
        <v>2142270</v>
      </c>
      <c r="AG3" s="6">
        <f t="shared" si="0"/>
        <v>2142270</v>
      </c>
      <c r="AH3" s="6">
        <f t="shared" si="0"/>
        <v>2142270</v>
      </c>
      <c r="AI3" s="6">
        <f t="shared" si="0"/>
        <v>2142270</v>
      </c>
      <c r="AJ3" s="6">
        <f t="shared" si="0"/>
        <v>2142270</v>
      </c>
      <c r="AK3" s="6">
        <f t="shared" si="0"/>
        <v>2142270</v>
      </c>
      <c r="AL3" s="6">
        <f t="shared" si="0"/>
        <v>2142270</v>
      </c>
      <c r="AM3" s="6">
        <f t="shared" si="0"/>
        <v>2142270</v>
      </c>
      <c r="AN3" s="6">
        <f t="shared" si="0"/>
        <v>2142270</v>
      </c>
      <c r="AO3" s="6">
        <f t="shared" si="0"/>
        <v>2142270</v>
      </c>
      <c r="AP3" s="6">
        <f t="shared" si="0"/>
        <v>2142270</v>
      </c>
      <c r="AQ3" s="6">
        <f t="shared" si="0"/>
        <v>2142270</v>
      </c>
    </row>
    <row r="4" spans="1:43" x14ac:dyDescent="0.35">
      <c r="B4" t="s">
        <v>79</v>
      </c>
      <c r="C4" s="108">
        <v>841684</v>
      </c>
      <c r="D4" s="108">
        <v>875362</v>
      </c>
      <c r="E4" s="108">
        <v>602488</v>
      </c>
      <c r="F4" s="108">
        <v>3048344</v>
      </c>
      <c r="G4" s="108">
        <v>1511974</v>
      </c>
      <c r="H4" s="108">
        <v>1545412</v>
      </c>
      <c r="I4" s="108">
        <v>1572612</v>
      </c>
      <c r="J4" s="108">
        <v>1550617.9104477612</v>
      </c>
      <c r="K4" s="108">
        <v>1595850.6024096387</v>
      </c>
      <c r="L4" s="108">
        <v>1697437</v>
      </c>
      <c r="M4" s="108">
        <v>1558268</v>
      </c>
      <c r="N4" s="6">
        <f>(L4*(1+$A$3))-C72</f>
        <v>763037</v>
      </c>
      <c r="O4" s="6">
        <f t="shared" ref="O4:AQ4" si="1">(N4*(1+$A$3))</f>
        <v>763037</v>
      </c>
      <c r="P4" s="6">
        <f t="shared" si="1"/>
        <v>763037</v>
      </c>
      <c r="Q4" s="6">
        <f t="shared" si="1"/>
        <v>763037</v>
      </c>
      <c r="R4" s="6">
        <f t="shared" si="1"/>
        <v>763037</v>
      </c>
      <c r="S4" s="6">
        <f t="shared" si="1"/>
        <v>763037</v>
      </c>
      <c r="T4" s="6">
        <f t="shared" si="1"/>
        <v>763037</v>
      </c>
      <c r="U4" s="6">
        <f t="shared" si="1"/>
        <v>763037</v>
      </c>
      <c r="V4" s="6">
        <f t="shared" si="1"/>
        <v>763037</v>
      </c>
      <c r="W4" s="6">
        <f t="shared" si="1"/>
        <v>763037</v>
      </c>
      <c r="X4" s="6">
        <f t="shared" si="1"/>
        <v>763037</v>
      </c>
      <c r="Y4" s="6">
        <f t="shared" si="1"/>
        <v>763037</v>
      </c>
      <c r="Z4" s="6">
        <f t="shared" si="1"/>
        <v>763037</v>
      </c>
      <c r="AA4" s="6">
        <f t="shared" si="1"/>
        <v>763037</v>
      </c>
      <c r="AB4" s="6">
        <f t="shared" si="1"/>
        <v>763037</v>
      </c>
      <c r="AC4" s="6">
        <f t="shared" si="1"/>
        <v>763037</v>
      </c>
      <c r="AD4" s="6">
        <f t="shared" si="1"/>
        <v>763037</v>
      </c>
      <c r="AE4" s="6">
        <f t="shared" si="1"/>
        <v>763037</v>
      </c>
      <c r="AF4" s="6">
        <f t="shared" si="1"/>
        <v>763037</v>
      </c>
      <c r="AG4" s="6">
        <f t="shared" si="1"/>
        <v>763037</v>
      </c>
      <c r="AH4" s="6">
        <f t="shared" si="1"/>
        <v>763037</v>
      </c>
      <c r="AI4" s="6">
        <f t="shared" si="1"/>
        <v>763037</v>
      </c>
      <c r="AJ4" s="6">
        <f t="shared" si="1"/>
        <v>763037</v>
      </c>
      <c r="AK4" s="6">
        <f t="shared" si="1"/>
        <v>763037</v>
      </c>
      <c r="AL4" s="6">
        <f t="shared" si="1"/>
        <v>763037</v>
      </c>
      <c r="AM4" s="6">
        <f t="shared" si="1"/>
        <v>763037</v>
      </c>
      <c r="AN4" s="6">
        <f t="shared" si="1"/>
        <v>763037</v>
      </c>
      <c r="AO4" s="6">
        <f t="shared" si="1"/>
        <v>763037</v>
      </c>
      <c r="AP4" s="6">
        <f t="shared" si="1"/>
        <v>763037</v>
      </c>
      <c r="AQ4" s="6">
        <f t="shared" si="1"/>
        <v>763037</v>
      </c>
    </row>
    <row r="5" spans="1:43" x14ac:dyDescent="0.35">
      <c r="B5" t="s">
        <v>80</v>
      </c>
      <c r="C5" s="108">
        <v>572296</v>
      </c>
      <c r="D5" s="108">
        <v>588306</v>
      </c>
      <c r="E5" s="108">
        <v>780650</v>
      </c>
      <c r="F5" s="108">
        <v>999408</v>
      </c>
      <c r="G5" s="108">
        <v>1554864</v>
      </c>
      <c r="H5" s="108">
        <v>1311702</v>
      </c>
      <c r="I5" s="108">
        <v>1540066</v>
      </c>
      <c r="J5" s="108">
        <v>1370210.4477611938</v>
      </c>
      <c r="K5" s="108">
        <v>1138807.2289156627</v>
      </c>
      <c r="L5" s="108">
        <v>1318490</v>
      </c>
      <c r="M5" s="108">
        <v>1181995</v>
      </c>
      <c r="N5" s="6">
        <f>(L5*(1+$A$3))</f>
        <v>1318490</v>
      </c>
      <c r="O5" s="6">
        <f t="shared" ref="O5:AQ5" si="2">(N5*(1+$A$3))</f>
        <v>1318490</v>
      </c>
      <c r="P5" s="6">
        <f t="shared" si="2"/>
        <v>1318490</v>
      </c>
      <c r="Q5" s="6">
        <f t="shared" si="2"/>
        <v>1318490</v>
      </c>
      <c r="R5" s="6">
        <f t="shared" si="2"/>
        <v>1318490</v>
      </c>
      <c r="S5" s="6">
        <f t="shared" si="2"/>
        <v>1318490</v>
      </c>
      <c r="T5" s="6">
        <f t="shared" si="2"/>
        <v>1318490</v>
      </c>
      <c r="U5" s="6">
        <f t="shared" si="2"/>
        <v>1318490</v>
      </c>
      <c r="V5" s="6">
        <f t="shared" si="2"/>
        <v>1318490</v>
      </c>
      <c r="W5" s="6">
        <f t="shared" si="2"/>
        <v>1318490</v>
      </c>
      <c r="X5" s="6">
        <f t="shared" si="2"/>
        <v>1318490</v>
      </c>
      <c r="Y5" s="6">
        <f t="shared" si="2"/>
        <v>1318490</v>
      </c>
      <c r="Z5" s="6">
        <f t="shared" si="2"/>
        <v>1318490</v>
      </c>
      <c r="AA5" s="6">
        <f t="shared" si="2"/>
        <v>1318490</v>
      </c>
      <c r="AB5" s="6">
        <f t="shared" si="2"/>
        <v>1318490</v>
      </c>
      <c r="AC5" s="6">
        <f t="shared" si="2"/>
        <v>1318490</v>
      </c>
      <c r="AD5" s="6">
        <f t="shared" si="2"/>
        <v>1318490</v>
      </c>
      <c r="AE5" s="6">
        <f t="shared" si="2"/>
        <v>1318490</v>
      </c>
      <c r="AF5" s="6">
        <f t="shared" si="2"/>
        <v>1318490</v>
      </c>
      <c r="AG5" s="6">
        <f t="shared" si="2"/>
        <v>1318490</v>
      </c>
      <c r="AH5" s="6">
        <f t="shared" si="2"/>
        <v>1318490</v>
      </c>
      <c r="AI5" s="6">
        <f t="shared" si="2"/>
        <v>1318490</v>
      </c>
      <c r="AJ5" s="6">
        <f t="shared" si="2"/>
        <v>1318490</v>
      </c>
      <c r="AK5" s="6">
        <f t="shared" si="2"/>
        <v>1318490</v>
      </c>
      <c r="AL5" s="6">
        <f t="shared" si="2"/>
        <v>1318490</v>
      </c>
      <c r="AM5" s="6">
        <f t="shared" si="2"/>
        <v>1318490</v>
      </c>
      <c r="AN5" s="6">
        <f t="shared" si="2"/>
        <v>1318490</v>
      </c>
      <c r="AO5" s="6">
        <f t="shared" si="2"/>
        <v>1318490</v>
      </c>
      <c r="AP5" s="6">
        <f t="shared" si="2"/>
        <v>1318490</v>
      </c>
      <c r="AQ5" s="6">
        <f t="shared" si="2"/>
        <v>1318490</v>
      </c>
    </row>
    <row r="6" spans="1:43" x14ac:dyDescent="0.35">
      <c r="B6" t="s">
        <v>81</v>
      </c>
      <c r="C6" s="108">
        <v>1200000</v>
      </c>
      <c r="D6" s="108">
        <v>1200000</v>
      </c>
      <c r="E6" s="108">
        <v>1200000</v>
      </c>
      <c r="F6" s="108">
        <v>1200000</v>
      </c>
      <c r="G6" s="108">
        <v>1200000</v>
      </c>
      <c r="H6" s="108">
        <v>1200000</v>
      </c>
      <c r="I6" s="108">
        <v>1200000</v>
      </c>
      <c r="J6" s="108">
        <v>1200000</v>
      </c>
      <c r="K6" s="108">
        <v>1200000</v>
      </c>
      <c r="L6" s="108">
        <v>1200000</v>
      </c>
      <c r="M6" s="108">
        <f>(L6*(1+$A$3))</f>
        <v>1200000</v>
      </c>
      <c r="N6" s="6">
        <f>(M6*(1+$A$3))</f>
        <v>1200000</v>
      </c>
      <c r="O6" s="6">
        <f>(N6*(1+$A$3))</f>
        <v>1200000</v>
      </c>
      <c r="P6" s="6">
        <f>(O6*(1+$A$3))</f>
        <v>1200000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row>
    <row r="7" spans="1:43" x14ac:dyDescent="0.35">
      <c r="B7" t="s">
        <v>82</v>
      </c>
      <c r="C7" s="108">
        <v>1072644</v>
      </c>
      <c r="D7" s="108">
        <v>1080448</v>
      </c>
      <c r="E7" s="108">
        <v>1126974</v>
      </c>
      <c r="F7" s="108">
        <v>1194816</v>
      </c>
      <c r="G7" s="108">
        <v>1296520</v>
      </c>
      <c r="H7" s="108">
        <v>1342968</v>
      </c>
      <c r="I7" s="108">
        <v>1098248</v>
      </c>
      <c r="J7" s="108">
        <v>966774.6268656716</v>
      </c>
      <c r="K7" s="108">
        <v>884862.65060240962</v>
      </c>
      <c r="L7" s="108">
        <v>867222</v>
      </c>
      <c r="M7" s="108">
        <v>790640</v>
      </c>
      <c r="N7" s="6">
        <f t="shared" ref="N7:N14" si="3">(L7*(1+$A$3))</f>
        <v>867222</v>
      </c>
      <c r="O7" s="6">
        <f t="shared" ref="O7:AQ7" si="4">(N7*(1+$A$3))</f>
        <v>867222</v>
      </c>
      <c r="P7" s="6">
        <f t="shared" si="4"/>
        <v>867222</v>
      </c>
      <c r="Q7" s="6">
        <f t="shared" si="4"/>
        <v>867222</v>
      </c>
      <c r="R7" s="6">
        <f t="shared" si="4"/>
        <v>867222</v>
      </c>
      <c r="S7" s="6">
        <f t="shared" si="4"/>
        <v>867222</v>
      </c>
      <c r="T7" s="6">
        <f t="shared" si="4"/>
        <v>867222</v>
      </c>
      <c r="U7" s="6">
        <f t="shared" si="4"/>
        <v>867222</v>
      </c>
      <c r="V7" s="6">
        <f t="shared" si="4"/>
        <v>867222</v>
      </c>
      <c r="W7" s="6">
        <f t="shared" si="4"/>
        <v>867222</v>
      </c>
      <c r="X7" s="6">
        <f t="shared" si="4"/>
        <v>867222</v>
      </c>
      <c r="Y7" s="6">
        <f t="shared" si="4"/>
        <v>867222</v>
      </c>
      <c r="Z7" s="6">
        <f t="shared" si="4"/>
        <v>867222</v>
      </c>
      <c r="AA7" s="6">
        <f t="shared" si="4"/>
        <v>867222</v>
      </c>
      <c r="AB7" s="6">
        <f t="shared" si="4"/>
        <v>867222</v>
      </c>
      <c r="AC7" s="6">
        <f t="shared" si="4"/>
        <v>867222</v>
      </c>
      <c r="AD7" s="6">
        <f t="shared" si="4"/>
        <v>867222</v>
      </c>
      <c r="AE7" s="6">
        <f t="shared" si="4"/>
        <v>867222</v>
      </c>
      <c r="AF7" s="6">
        <f t="shared" si="4"/>
        <v>867222</v>
      </c>
      <c r="AG7" s="6">
        <f t="shared" si="4"/>
        <v>867222</v>
      </c>
      <c r="AH7" s="6">
        <f t="shared" si="4"/>
        <v>867222</v>
      </c>
      <c r="AI7" s="6">
        <f t="shared" si="4"/>
        <v>867222</v>
      </c>
      <c r="AJ7" s="6">
        <f t="shared" si="4"/>
        <v>867222</v>
      </c>
      <c r="AK7" s="6">
        <f t="shared" si="4"/>
        <v>867222</v>
      </c>
      <c r="AL7" s="6">
        <f t="shared" si="4"/>
        <v>867222</v>
      </c>
      <c r="AM7" s="6">
        <f t="shared" si="4"/>
        <v>867222</v>
      </c>
      <c r="AN7" s="6">
        <f t="shared" si="4"/>
        <v>867222</v>
      </c>
      <c r="AO7" s="6">
        <f t="shared" si="4"/>
        <v>867222</v>
      </c>
      <c r="AP7" s="6">
        <f t="shared" si="4"/>
        <v>867222</v>
      </c>
      <c r="AQ7" s="6">
        <f t="shared" si="4"/>
        <v>867222</v>
      </c>
    </row>
    <row r="8" spans="1:43" x14ac:dyDescent="0.35">
      <c r="B8" t="s">
        <v>83</v>
      </c>
      <c r="C8" s="108">
        <v>373100</v>
      </c>
      <c r="D8" s="108">
        <v>239456</v>
      </c>
      <c r="E8" s="108">
        <v>286130</v>
      </c>
      <c r="F8" s="108">
        <v>328722</v>
      </c>
      <c r="G8" s="108">
        <v>396938</v>
      </c>
      <c r="H8" s="108">
        <v>347812</v>
      </c>
      <c r="I8" s="108">
        <v>319360</v>
      </c>
      <c r="J8" s="108">
        <v>371732.8358208955</v>
      </c>
      <c r="K8" s="108">
        <v>392281.92771084339</v>
      </c>
      <c r="L8" s="108">
        <v>330233</v>
      </c>
      <c r="M8" s="108">
        <v>349257</v>
      </c>
      <c r="N8" s="6">
        <f t="shared" si="3"/>
        <v>330233</v>
      </c>
      <c r="O8" s="6">
        <f t="shared" ref="O8:AQ8" si="5">(N8*(1+$A$3))</f>
        <v>330233</v>
      </c>
      <c r="P8" s="6">
        <f t="shared" si="5"/>
        <v>330233</v>
      </c>
      <c r="Q8" s="6">
        <f t="shared" si="5"/>
        <v>330233</v>
      </c>
      <c r="R8" s="6">
        <f t="shared" si="5"/>
        <v>330233</v>
      </c>
      <c r="S8" s="6">
        <f t="shared" si="5"/>
        <v>330233</v>
      </c>
      <c r="T8" s="6">
        <f t="shared" si="5"/>
        <v>330233</v>
      </c>
      <c r="U8" s="6">
        <f t="shared" si="5"/>
        <v>330233</v>
      </c>
      <c r="V8" s="6">
        <f t="shared" si="5"/>
        <v>330233</v>
      </c>
      <c r="W8" s="6">
        <f t="shared" si="5"/>
        <v>330233</v>
      </c>
      <c r="X8" s="6">
        <f t="shared" si="5"/>
        <v>330233</v>
      </c>
      <c r="Y8" s="6">
        <f t="shared" si="5"/>
        <v>330233</v>
      </c>
      <c r="Z8" s="6">
        <f t="shared" si="5"/>
        <v>330233</v>
      </c>
      <c r="AA8" s="6">
        <f t="shared" si="5"/>
        <v>330233</v>
      </c>
      <c r="AB8" s="6">
        <f t="shared" si="5"/>
        <v>330233</v>
      </c>
      <c r="AC8" s="6">
        <f t="shared" si="5"/>
        <v>330233</v>
      </c>
      <c r="AD8" s="6">
        <f t="shared" si="5"/>
        <v>330233</v>
      </c>
      <c r="AE8" s="6">
        <f t="shared" si="5"/>
        <v>330233</v>
      </c>
      <c r="AF8" s="6">
        <f t="shared" si="5"/>
        <v>330233</v>
      </c>
      <c r="AG8" s="6">
        <f t="shared" si="5"/>
        <v>330233</v>
      </c>
      <c r="AH8" s="6">
        <f t="shared" si="5"/>
        <v>330233</v>
      </c>
      <c r="AI8" s="6">
        <f t="shared" si="5"/>
        <v>330233</v>
      </c>
      <c r="AJ8" s="6">
        <f t="shared" si="5"/>
        <v>330233</v>
      </c>
      <c r="AK8" s="6">
        <f t="shared" si="5"/>
        <v>330233</v>
      </c>
      <c r="AL8" s="6">
        <f t="shared" si="5"/>
        <v>330233</v>
      </c>
      <c r="AM8" s="6">
        <f t="shared" si="5"/>
        <v>330233</v>
      </c>
      <c r="AN8" s="6">
        <f t="shared" si="5"/>
        <v>330233</v>
      </c>
      <c r="AO8" s="6">
        <f t="shared" si="5"/>
        <v>330233</v>
      </c>
      <c r="AP8" s="6">
        <f t="shared" si="5"/>
        <v>330233</v>
      </c>
      <c r="AQ8" s="6">
        <f t="shared" si="5"/>
        <v>330233</v>
      </c>
    </row>
    <row r="9" spans="1:43" x14ac:dyDescent="0.35">
      <c r="B9" t="s">
        <v>84</v>
      </c>
      <c r="C9" s="108">
        <v>57224</v>
      </c>
      <c r="D9" s="108">
        <v>44712</v>
      </c>
      <c r="E9" s="108">
        <v>52360</v>
      </c>
      <c r="F9" s="108">
        <v>57524</v>
      </c>
      <c r="G9" s="108">
        <v>53878</v>
      </c>
      <c r="H9" s="108">
        <v>62634</v>
      </c>
      <c r="I9" s="108">
        <v>64282</v>
      </c>
      <c r="J9" s="108">
        <v>65150.746268656716</v>
      </c>
      <c r="K9" s="108">
        <v>61040.963855421694</v>
      </c>
      <c r="L9" s="108">
        <v>57190</v>
      </c>
      <c r="M9" s="108">
        <v>59209</v>
      </c>
      <c r="N9" s="6">
        <f t="shared" si="3"/>
        <v>57190</v>
      </c>
      <c r="O9" s="6">
        <f t="shared" ref="O9:AQ9" si="6">(N9*(1+$A$3))</f>
        <v>57190</v>
      </c>
      <c r="P9" s="6">
        <f t="shared" si="6"/>
        <v>57190</v>
      </c>
      <c r="Q9" s="6">
        <f t="shared" si="6"/>
        <v>57190</v>
      </c>
      <c r="R9" s="6">
        <f t="shared" si="6"/>
        <v>57190</v>
      </c>
      <c r="S9" s="6">
        <f t="shared" si="6"/>
        <v>57190</v>
      </c>
      <c r="T9" s="6">
        <f t="shared" si="6"/>
        <v>57190</v>
      </c>
      <c r="U9" s="6">
        <f t="shared" si="6"/>
        <v>57190</v>
      </c>
      <c r="V9" s="6">
        <f t="shared" si="6"/>
        <v>57190</v>
      </c>
      <c r="W9" s="6">
        <f t="shared" si="6"/>
        <v>57190</v>
      </c>
      <c r="X9" s="6">
        <f t="shared" si="6"/>
        <v>57190</v>
      </c>
      <c r="Y9" s="6">
        <f t="shared" si="6"/>
        <v>57190</v>
      </c>
      <c r="Z9" s="6">
        <f t="shared" si="6"/>
        <v>57190</v>
      </c>
      <c r="AA9" s="6">
        <f t="shared" si="6"/>
        <v>57190</v>
      </c>
      <c r="AB9" s="6">
        <f t="shared" si="6"/>
        <v>57190</v>
      </c>
      <c r="AC9" s="6">
        <f t="shared" si="6"/>
        <v>57190</v>
      </c>
      <c r="AD9" s="6">
        <f t="shared" si="6"/>
        <v>57190</v>
      </c>
      <c r="AE9" s="6">
        <f t="shared" si="6"/>
        <v>57190</v>
      </c>
      <c r="AF9" s="6">
        <f t="shared" si="6"/>
        <v>57190</v>
      </c>
      <c r="AG9" s="6">
        <f t="shared" si="6"/>
        <v>57190</v>
      </c>
      <c r="AH9" s="6">
        <f t="shared" si="6"/>
        <v>57190</v>
      </c>
      <c r="AI9" s="6">
        <f t="shared" si="6"/>
        <v>57190</v>
      </c>
      <c r="AJ9" s="6">
        <f t="shared" si="6"/>
        <v>57190</v>
      </c>
      <c r="AK9" s="6">
        <f t="shared" si="6"/>
        <v>57190</v>
      </c>
      <c r="AL9" s="6">
        <f t="shared" si="6"/>
        <v>57190</v>
      </c>
      <c r="AM9" s="6">
        <f t="shared" si="6"/>
        <v>57190</v>
      </c>
      <c r="AN9" s="6">
        <f t="shared" si="6"/>
        <v>57190</v>
      </c>
      <c r="AO9" s="6">
        <f t="shared" si="6"/>
        <v>57190</v>
      </c>
      <c r="AP9" s="6">
        <f t="shared" si="6"/>
        <v>57190</v>
      </c>
      <c r="AQ9" s="6">
        <f t="shared" si="6"/>
        <v>57190</v>
      </c>
    </row>
    <row r="10" spans="1:43" x14ac:dyDescent="0.35">
      <c r="B10" t="s">
        <v>85</v>
      </c>
      <c r="C10" s="108">
        <v>110472</v>
      </c>
      <c r="D10" s="108">
        <v>126526</v>
      </c>
      <c r="E10" s="108">
        <v>103578</v>
      </c>
      <c r="F10" s="108">
        <v>105448</v>
      </c>
      <c r="G10" s="108">
        <v>119494</v>
      </c>
      <c r="H10" s="108">
        <v>121324</v>
      </c>
      <c r="I10" s="108">
        <v>122374</v>
      </c>
      <c r="J10" s="108">
        <v>115540.29850746268</v>
      </c>
      <c r="K10" s="108">
        <v>113991.56626506025</v>
      </c>
      <c r="L10" s="108">
        <v>112871</v>
      </c>
      <c r="M10" s="108">
        <v>111924</v>
      </c>
      <c r="N10" s="6">
        <f t="shared" si="3"/>
        <v>112871</v>
      </c>
      <c r="O10" s="6">
        <f t="shared" ref="O10:AQ10" si="7">(N10*(1+$A$3))</f>
        <v>112871</v>
      </c>
      <c r="P10" s="6">
        <f t="shared" si="7"/>
        <v>112871</v>
      </c>
      <c r="Q10" s="6">
        <f t="shared" si="7"/>
        <v>112871</v>
      </c>
      <c r="R10" s="6">
        <f t="shared" si="7"/>
        <v>112871</v>
      </c>
      <c r="S10" s="6">
        <f t="shared" si="7"/>
        <v>112871</v>
      </c>
      <c r="T10" s="6">
        <f t="shared" si="7"/>
        <v>112871</v>
      </c>
      <c r="U10" s="6">
        <f t="shared" si="7"/>
        <v>112871</v>
      </c>
      <c r="V10" s="6">
        <f t="shared" si="7"/>
        <v>112871</v>
      </c>
      <c r="W10" s="6">
        <f t="shared" si="7"/>
        <v>112871</v>
      </c>
      <c r="X10" s="6">
        <f t="shared" si="7"/>
        <v>112871</v>
      </c>
      <c r="Y10" s="6">
        <f t="shared" si="7"/>
        <v>112871</v>
      </c>
      <c r="Z10" s="6">
        <f t="shared" si="7"/>
        <v>112871</v>
      </c>
      <c r="AA10" s="6">
        <f t="shared" si="7"/>
        <v>112871</v>
      </c>
      <c r="AB10" s="6">
        <f t="shared" si="7"/>
        <v>112871</v>
      </c>
      <c r="AC10" s="6">
        <f t="shared" si="7"/>
        <v>112871</v>
      </c>
      <c r="AD10" s="6">
        <f t="shared" si="7"/>
        <v>112871</v>
      </c>
      <c r="AE10" s="6">
        <f t="shared" si="7"/>
        <v>112871</v>
      </c>
      <c r="AF10" s="6">
        <f t="shared" si="7"/>
        <v>112871</v>
      </c>
      <c r="AG10" s="6">
        <f t="shared" si="7"/>
        <v>112871</v>
      </c>
      <c r="AH10" s="6">
        <f t="shared" si="7"/>
        <v>112871</v>
      </c>
      <c r="AI10" s="6">
        <f t="shared" si="7"/>
        <v>112871</v>
      </c>
      <c r="AJ10" s="6">
        <f t="shared" si="7"/>
        <v>112871</v>
      </c>
      <c r="AK10" s="6">
        <f t="shared" si="7"/>
        <v>112871</v>
      </c>
      <c r="AL10" s="6">
        <f t="shared" si="7"/>
        <v>112871</v>
      </c>
      <c r="AM10" s="6">
        <f t="shared" si="7"/>
        <v>112871</v>
      </c>
      <c r="AN10" s="6">
        <f t="shared" si="7"/>
        <v>112871</v>
      </c>
      <c r="AO10" s="6">
        <f t="shared" si="7"/>
        <v>112871</v>
      </c>
      <c r="AP10" s="6">
        <f t="shared" si="7"/>
        <v>112871</v>
      </c>
      <c r="AQ10" s="6">
        <f t="shared" si="7"/>
        <v>112871</v>
      </c>
    </row>
    <row r="11" spans="1:43" x14ac:dyDescent="0.35">
      <c r="B11" t="s">
        <v>86</v>
      </c>
      <c r="C11" s="108">
        <v>89220</v>
      </c>
      <c r="D11" s="108">
        <v>93898</v>
      </c>
      <c r="E11" s="108">
        <v>93854</v>
      </c>
      <c r="F11" s="108">
        <v>93734</v>
      </c>
      <c r="G11" s="108">
        <v>106740</v>
      </c>
      <c r="H11" s="108">
        <v>114176</v>
      </c>
      <c r="I11" s="108">
        <v>107548</v>
      </c>
      <c r="J11" s="108">
        <v>102328.35820895522</v>
      </c>
      <c r="K11" s="108">
        <v>110893.97590361447</v>
      </c>
      <c r="L11" s="108">
        <v>112534</v>
      </c>
      <c r="M11" s="108">
        <v>95950</v>
      </c>
      <c r="N11" s="6">
        <f t="shared" si="3"/>
        <v>112534</v>
      </c>
      <c r="O11" s="6">
        <f t="shared" ref="O11:AQ11" si="8">(N11*(1+$A$3))</f>
        <v>112534</v>
      </c>
      <c r="P11" s="6">
        <f t="shared" si="8"/>
        <v>112534</v>
      </c>
      <c r="Q11" s="6">
        <f t="shared" si="8"/>
        <v>112534</v>
      </c>
      <c r="R11" s="6">
        <f t="shared" si="8"/>
        <v>112534</v>
      </c>
      <c r="S11" s="6">
        <f t="shared" si="8"/>
        <v>112534</v>
      </c>
      <c r="T11" s="6">
        <f t="shared" si="8"/>
        <v>112534</v>
      </c>
      <c r="U11" s="6">
        <f t="shared" si="8"/>
        <v>112534</v>
      </c>
      <c r="V11" s="6">
        <f t="shared" si="8"/>
        <v>112534</v>
      </c>
      <c r="W11" s="6">
        <f t="shared" si="8"/>
        <v>112534</v>
      </c>
      <c r="X11" s="6">
        <f t="shared" si="8"/>
        <v>112534</v>
      </c>
      <c r="Y11" s="6">
        <f t="shared" si="8"/>
        <v>112534</v>
      </c>
      <c r="Z11" s="6">
        <f t="shared" si="8"/>
        <v>112534</v>
      </c>
      <c r="AA11" s="6">
        <f t="shared" si="8"/>
        <v>112534</v>
      </c>
      <c r="AB11" s="6">
        <f t="shared" si="8"/>
        <v>112534</v>
      </c>
      <c r="AC11" s="6">
        <f t="shared" si="8"/>
        <v>112534</v>
      </c>
      <c r="AD11" s="6">
        <f t="shared" si="8"/>
        <v>112534</v>
      </c>
      <c r="AE11" s="6">
        <f t="shared" si="8"/>
        <v>112534</v>
      </c>
      <c r="AF11" s="6">
        <f t="shared" si="8"/>
        <v>112534</v>
      </c>
      <c r="AG11" s="6">
        <f t="shared" si="8"/>
        <v>112534</v>
      </c>
      <c r="AH11" s="6">
        <f t="shared" si="8"/>
        <v>112534</v>
      </c>
      <c r="AI11" s="6">
        <f t="shared" si="8"/>
        <v>112534</v>
      </c>
      <c r="AJ11" s="6">
        <f t="shared" si="8"/>
        <v>112534</v>
      </c>
      <c r="AK11" s="6">
        <f t="shared" si="8"/>
        <v>112534</v>
      </c>
      <c r="AL11" s="6">
        <f t="shared" si="8"/>
        <v>112534</v>
      </c>
      <c r="AM11" s="6">
        <f t="shared" si="8"/>
        <v>112534</v>
      </c>
      <c r="AN11" s="6">
        <f t="shared" si="8"/>
        <v>112534</v>
      </c>
      <c r="AO11" s="6">
        <f t="shared" si="8"/>
        <v>112534</v>
      </c>
      <c r="AP11" s="6">
        <f t="shared" si="8"/>
        <v>112534</v>
      </c>
      <c r="AQ11" s="6">
        <f t="shared" si="8"/>
        <v>112534</v>
      </c>
    </row>
    <row r="12" spans="1:43" x14ac:dyDescent="0.35">
      <c r="B12" t="s">
        <v>87</v>
      </c>
      <c r="C12" s="108">
        <v>1658832</v>
      </c>
      <c r="D12" s="108">
        <v>1593548</v>
      </c>
      <c r="E12" s="108">
        <v>1543256</v>
      </c>
      <c r="F12" s="108">
        <v>1416486</v>
      </c>
      <c r="G12" s="108">
        <v>1411956</v>
      </c>
      <c r="H12" s="108">
        <v>1414120</v>
      </c>
      <c r="I12" s="108">
        <v>1437050</v>
      </c>
      <c r="J12" s="108">
        <v>1420698.5074626864</v>
      </c>
      <c r="K12" s="108">
        <v>1411461.4457831327</v>
      </c>
      <c r="L12" s="108">
        <v>1411608</v>
      </c>
      <c r="M12" s="108">
        <v>1296381</v>
      </c>
      <c r="N12" s="6">
        <f t="shared" si="3"/>
        <v>1411608</v>
      </c>
      <c r="O12" s="6">
        <f t="shared" ref="O12:AQ12" si="9">(N12*(1+$A$3))</f>
        <v>1411608</v>
      </c>
      <c r="P12" s="6">
        <f t="shared" si="9"/>
        <v>1411608</v>
      </c>
      <c r="Q12" s="6">
        <f t="shared" si="9"/>
        <v>1411608</v>
      </c>
      <c r="R12" s="6">
        <f t="shared" si="9"/>
        <v>1411608</v>
      </c>
      <c r="S12" s="6">
        <f t="shared" si="9"/>
        <v>1411608</v>
      </c>
      <c r="T12" s="6">
        <f t="shared" si="9"/>
        <v>1411608</v>
      </c>
      <c r="U12" s="6">
        <f t="shared" si="9"/>
        <v>1411608</v>
      </c>
      <c r="V12" s="6">
        <f t="shared" si="9"/>
        <v>1411608</v>
      </c>
      <c r="W12" s="6">
        <f t="shared" si="9"/>
        <v>1411608</v>
      </c>
      <c r="X12" s="6">
        <f t="shared" si="9"/>
        <v>1411608</v>
      </c>
      <c r="Y12" s="6">
        <f t="shared" si="9"/>
        <v>1411608</v>
      </c>
      <c r="Z12" s="6">
        <f t="shared" si="9"/>
        <v>1411608</v>
      </c>
      <c r="AA12" s="6">
        <f t="shared" si="9"/>
        <v>1411608</v>
      </c>
      <c r="AB12" s="6">
        <f t="shared" si="9"/>
        <v>1411608</v>
      </c>
      <c r="AC12" s="6">
        <f t="shared" si="9"/>
        <v>1411608</v>
      </c>
      <c r="AD12" s="6">
        <f t="shared" si="9"/>
        <v>1411608</v>
      </c>
      <c r="AE12" s="6">
        <f t="shared" si="9"/>
        <v>1411608</v>
      </c>
      <c r="AF12" s="6">
        <f t="shared" si="9"/>
        <v>1411608</v>
      </c>
      <c r="AG12" s="6">
        <f t="shared" si="9"/>
        <v>1411608</v>
      </c>
      <c r="AH12" s="6">
        <f t="shared" si="9"/>
        <v>1411608</v>
      </c>
      <c r="AI12" s="6">
        <f t="shared" si="9"/>
        <v>1411608</v>
      </c>
      <c r="AJ12" s="6">
        <f t="shared" si="9"/>
        <v>1411608</v>
      </c>
      <c r="AK12" s="6">
        <f t="shared" si="9"/>
        <v>1411608</v>
      </c>
      <c r="AL12" s="6">
        <f t="shared" si="9"/>
        <v>1411608</v>
      </c>
      <c r="AM12" s="6">
        <f t="shared" si="9"/>
        <v>1411608</v>
      </c>
      <c r="AN12" s="6">
        <f t="shared" si="9"/>
        <v>1411608</v>
      </c>
      <c r="AO12" s="6">
        <f t="shared" si="9"/>
        <v>1411608</v>
      </c>
      <c r="AP12" s="6">
        <f t="shared" si="9"/>
        <v>1411608</v>
      </c>
      <c r="AQ12" s="6">
        <f t="shared" si="9"/>
        <v>1411608</v>
      </c>
    </row>
    <row r="13" spans="1:43" x14ac:dyDescent="0.35">
      <c r="B13" t="s">
        <v>88</v>
      </c>
      <c r="C13" s="108">
        <v>43512</v>
      </c>
      <c r="D13" s="108">
        <v>38668</v>
      </c>
      <c r="E13" s="108">
        <v>39882</v>
      </c>
      <c r="F13" s="108">
        <v>40676</v>
      </c>
      <c r="G13" s="108">
        <v>41372</v>
      </c>
      <c r="H13" s="108">
        <v>43196</v>
      </c>
      <c r="I13" s="108">
        <v>43062</v>
      </c>
      <c r="J13" s="108">
        <v>40737.313432835814</v>
      </c>
      <c r="K13" s="108">
        <v>40597.590361445786</v>
      </c>
      <c r="L13" s="108">
        <v>38722</v>
      </c>
      <c r="M13" s="108">
        <v>36377</v>
      </c>
      <c r="N13" s="6">
        <f t="shared" si="3"/>
        <v>38722</v>
      </c>
      <c r="O13" s="6">
        <f t="shared" ref="O13:AQ13" si="10">(N13*(1+$A$3))</f>
        <v>38722</v>
      </c>
      <c r="P13" s="6">
        <f t="shared" si="10"/>
        <v>38722</v>
      </c>
      <c r="Q13" s="6">
        <f t="shared" si="10"/>
        <v>38722</v>
      </c>
      <c r="R13" s="6">
        <f t="shared" si="10"/>
        <v>38722</v>
      </c>
      <c r="S13" s="6">
        <f t="shared" si="10"/>
        <v>38722</v>
      </c>
      <c r="T13" s="6">
        <f t="shared" si="10"/>
        <v>38722</v>
      </c>
      <c r="U13" s="6">
        <f t="shared" si="10"/>
        <v>38722</v>
      </c>
      <c r="V13" s="6">
        <f t="shared" si="10"/>
        <v>38722</v>
      </c>
      <c r="W13" s="6">
        <f t="shared" si="10"/>
        <v>38722</v>
      </c>
      <c r="X13" s="6">
        <f t="shared" si="10"/>
        <v>38722</v>
      </c>
      <c r="Y13" s="6">
        <f t="shared" si="10"/>
        <v>38722</v>
      </c>
      <c r="Z13" s="6">
        <f t="shared" si="10"/>
        <v>38722</v>
      </c>
      <c r="AA13" s="6">
        <f t="shared" si="10"/>
        <v>38722</v>
      </c>
      <c r="AB13" s="6">
        <f t="shared" si="10"/>
        <v>38722</v>
      </c>
      <c r="AC13" s="6">
        <f t="shared" si="10"/>
        <v>38722</v>
      </c>
      <c r="AD13" s="6">
        <f t="shared" si="10"/>
        <v>38722</v>
      </c>
      <c r="AE13" s="6">
        <f t="shared" si="10"/>
        <v>38722</v>
      </c>
      <c r="AF13" s="6">
        <f t="shared" si="10"/>
        <v>38722</v>
      </c>
      <c r="AG13" s="6">
        <f t="shared" si="10"/>
        <v>38722</v>
      </c>
      <c r="AH13" s="6">
        <f t="shared" si="10"/>
        <v>38722</v>
      </c>
      <c r="AI13" s="6">
        <f t="shared" si="10"/>
        <v>38722</v>
      </c>
      <c r="AJ13" s="6">
        <f t="shared" si="10"/>
        <v>38722</v>
      </c>
      <c r="AK13" s="6">
        <f t="shared" si="10"/>
        <v>38722</v>
      </c>
      <c r="AL13" s="6">
        <f t="shared" si="10"/>
        <v>38722</v>
      </c>
      <c r="AM13" s="6">
        <f t="shared" si="10"/>
        <v>38722</v>
      </c>
      <c r="AN13" s="6">
        <f t="shared" si="10"/>
        <v>38722</v>
      </c>
      <c r="AO13" s="6">
        <f t="shared" si="10"/>
        <v>38722</v>
      </c>
      <c r="AP13" s="6">
        <f t="shared" si="10"/>
        <v>38722</v>
      </c>
      <c r="AQ13" s="6">
        <f t="shared" si="10"/>
        <v>38722</v>
      </c>
    </row>
    <row r="14" spans="1:43" x14ac:dyDescent="0.35">
      <c r="B14" t="s">
        <v>89</v>
      </c>
      <c r="C14" s="109">
        <v>200564</v>
      </c>
      <c r="D14" s="109">
        <v>201516</v>
      </c>
      <c r="E14" s="109">
        <v>202694</v>
      </c>
      <c r="F14" s="109">
        <v>209980</v>
      </c>
      <c r="G14" s="109">
        <v>202896</v>
      </c>
      <c r="H14" s="109">
        <v>204046</v>
      </c>
      <c r="I14" s="109">
        <v>189340</v>
      </c>
      <c r="J14" s="109">
        <v>197943.28358208953</v>
      </c>
      <c r="K14" s="109">
        <v>204806.02409638558</v>
      </c>
      <c r="L14" s="109">
        <v>194202</v>
      </c>
      <c r="M14" s="109">
        <v>182349</v>
      </c>
      <c r="N14" s="6">
        <f t="shared" si="3"/>
        <v>194202</v>
      </c>
      <c r="O14" s="6">
        <f t="shared" ref="O14:AQ14" si="11">(M14*(1+$A$3))</f>
        <v>182349</v>
      </c>
      <c r="P14" s="6">
        <f t="shared" si="11"/>
        <v>194202</v>
      </c>
      <c r="Q14" s="6">
        <f t="shared" si="11"/>
        <v>182349</v>
      </c>
      <c r="R14" s="6">
        <f t="shared" si="11"/>
        <v>194202</v>
      </c>
      <c r="S14" s="6">
        <f t="shared" si="11"/>
        <v>182349</v>
      </c>
      <c r="T14" s="6">
        <f t="shared" si="11"/>
        <v>194202</v>
      </c>
      <c r="U14" s="6">
        <f t="shared" si="11"/>
        <v>182349</v>
      </c>
      <c r="V14" s="6">
        <f t="shared" si="11"/>
        <v>194202</v>
      </c>
      <c r="W14" s="6">
        <f t="shared" si="11"/>
        <v>182349</v>
      </c>
      <c r="X14" s="6">
        <f t="shared" si="11"/>
        <v>194202</v>
      </c>
      <c r="Y14" s="6">
        <f t="shared" si="11"/>
        <v>182349</v>
      </c>
      <c r="Z14" s="6">
        <f t="shared" si="11"/>
        <v>194202</v>
      </c>
      <c r="AA14" s="6">
        <f t="shared" si="11"/>
        <v>182349</v>
      </c>
      <c r="AB14" s="6">
        <f t="shared" si="11"/>
        <v>194202</v>
      </c>
      <c r="AC14" s="6">
        <f t="shared" si="11"/>
        <v>182349</v>
      </c>
      <c r="AD14" s="6">
        <f t="shared" si="11"/>
        <v>194202</v>
      </c>
      <c r="AE14" s="6">
        <f t="shared" si="11"/>
        <v>182349</v>
      </c>
      <c r="AF14" s="6">
        <f t="shared" si="11"/>
        <v>194202</v>
      </c>
      <c r="AG14" s="6">
        <f t="shared" si="11"/>
        <v>182349</v>
      </c>
      <c r="AH14" s="6">
        <f t="shared" si="11"/>
        <v>194202</v>
      </c>
      <c r="AI14" s="6">
        <f t="shared" si="11"/>
        <v>182349</v>
      </c>
      <c r="AJ14" s="6">
        <f t="shared" si="11"/>
        <v>194202</v>
      </c>
      <c r="AK14" s="6">
        <f t="shared" si="11"/>
        <v>182349</v>
      </c>
      <c r="AL14" s="6">
        <f t="shared" si="11"/>
        <v>194202</v>
      </c>
      <c r="AM14" s="6">
        <f t="shared" si="11"/>
        <v>182349</v>
      </c>
      <c r="AN14" s="6">
        <f t="shared" si="11"/>
        <v>194202</v>
      </c>
      <c r="AO14" s="6">
        <f t="shared" si="11"/>
        <v>182349</v>
      </c>
      <c r="AP14" s="6">
        <f t="shared" si="11"/>
        <v>194202</v>
      </c>
      <c r="AQ14" s="6">
        <f t="shared" si="11"/>
        <v>182349</v>
      </c>
    </row>
    <row r="15" spans="1:43" s="110" customFormat="1" ht="15" thickBot="1" x14ac:dyDescent="0.4">
      <c r="B15" s="110" t="s">
        <v>90</v>
      </c>
      <c r="C15" s="110">
        <f>SUM(C3:C14)</f>
        <v>8265772</v>
      </c>
      <c r="D15" s="110">
        <f t="shared" ref="D15:AP15" si="12">SUM(D3:D14)</f>
        <v>8133386</v>
      </c>
      <c r="E15" s="110">
        <f>SUM(E3:E14)</f>
        <v>8114678</v>
      </c>
      <c r="F15" s="110">
        <f t="shared" si="12"/>
        <v>10835574</v>
      </c>
      <c r="G15" s="110">
        <f t="shared" si="12"/>
        <v>10163270</v>
      </c>
      <c r="H15" s="110">
        <f t="shared" si="12"/>
        <v>9938726</v>
      </c>
      <c r="I15" s="110">
        <f t="shared" si="12"/>
        <v>9814782</v>
      </c>
      <c r="J15" s="110">
        <f t="shared" si="12"/>
        <v>9567783.5820895508</v>
      </c>
      <c r="K15" s="110">
        <f t="shared" si="12"/>
        <v>9325577.1084337346</v>
      </c>
      <c r="L15" s="110">
        <f t="shared" si="12"/>
        <v>9482779</v>
      </c>
      <c r="M15" s="110">
        <f>SUM(M3:M14)</f>
        <v>8915722</v>
      </c>
      <c r="N15" s="110">
        <f>SUM(N3:N14)</f>
        <v>8548379</v>
      </c>
      <c r="O15" s="110">
        <f t="shared" si="12"/>
        <v>8536526</v>
      </c>
      <c r="P15" s="110">
        <f t="shared" si="12"/>
        <v>8548379</v>
      </c>
      <c r="Q15" s="110">
        <f t="shared" si="12"/>
        <v>7336526</v>
      </c>
      <c r="R15" s="110">
        <f t="shared" si="12"/>
        <v>7348379</v>
      </c>
      <c r="S15" s="110">
        <f t="shared" si="12"/>
        <v>7336526</v>
      </c>
      <c r="T15" s="110">
        <f t="shared" si="12"/>
        <v>7348379</v>
      </c>
      <c r="U15" s="110">
        <f t="shared" si="12"/>
        <v>7336526</v>
      </c>
      <c r="V15" s="110">
        <f t="shared" si="12"/>
        <v>7348379</v>
      </c>
      <c r="W15" s="110">
        <f t="shared" si="12"/>
        <v>7336526</v>
      </c>
      <c r="X15" s="110">
        <f t="shared" si="12"/>
        <v>7348379</v>
      </c>
      <c r="Y15" s="110">
        <f t="shared" si="12"/>
        <v>7336526</v>
      </c>
      <c r="Z15" s="110">
        <f t="shared" si="12"/>
        <v>7348379</v>
      </c>
      <c r="AA15" s="110">
        <f t="shared" si="12"/>
        <v>7336526</v>
      </c>
      <c r="AB15" s="110">
        <f t="shared" si="12"/>
        <v>7348379</v>
      </c>
      <c r="AC15" s="110">
        <f t="shared" si="12"/>
        <v>7336526</v>
      </c>
      <c r="AD15" s="110">
        <f t="shared" si="12"/>
        <v>7348379</v>
      </c>
      <c r="AE15" s="110">
        <f t="shared" si="12"/>
        <v>7336526</v>
      </c>
      <c r="AF15" s="110">
        <f t="shared" si="12"/>
        <v>7348379</v>
      </c>
      <c r="AG15" s="110">
        <f t="shared" si="12"/>
        <v>7336526</v>
      </c>
      <c r="AH15" s="110">
        <f t="shared" si="12"/>
        <v>7348379</v>
      </c>
      <c r="AI15" s="110">
        <f t="shared" si="12"/>
        <v>7336526</v>
      </c>
      <c r="AJ15" s="110">
        <f t="shared" si="12"/>
        <v>7348379</v>
      </c>
      <c r="AK15" s="110">
        <f t="shared" si="12"/>
        <v>7336526</v>
      </c>
      <c r="AL15" s="110">
        <f t="shared" si="12"/>
        <v>7348379</v>
      </c>
      <c r="AM15" s="110">
        <f t="shared" si="12"/>
        <v>7336526</v>
      </c>
      <c r="AN15" s="110">
        <f t="shared" si="12"/>
        <v>7348379</v>
      </c>
      <c r="AO15" s="110">
        <f t="shared" si="12"/>
        <v>7336526</v>
      </c>
      <c r="AP15" s="110">
        <f t="shared" si="12"/>
        <v>7348379</v>
      </c>
      <c r="AQ15" s="110">
        <f>SUM(AQ3:AQ14)</f>
        <v>7336526</v>
      </c>
    </row>
    <row r="16" spans="1:43" ht="15" thickTop="1" x14ac:dyDescent="0.35"/>
    <row r="17" spans="1:43" s="59" customFormat="1" x14ac:dyDescent="0.35">
      <c r="A17" s="58" t="s">
        <v>91</v>
      </c>
    </row>
    <row r="18" spans="1:43" x14ac:dyDescent="0.35">
      <c r="B18" t="s">
        <v>316</v>
      </c>
      <c r="C18" s="30">
        <v>0.9</v>
      </c>
      <c r="D18" s="30">
        <v>0.9</v>
      </c>
      <c r="E18" s="30">
        <v>0.9</v>
      </c>
      <c r="F18" s="30">
        <v>0.9</v>
      </c>
      <c r="G18" s="30">
        <v>0.9</v>
      </c>
      <c r="H18" s="30">
        <v>0.9</v>
      </c>
      <c r="I18" s="30">
        <v>0.9</v>
      </c>
      <c r="J18" s="30">
        <v>0.9</v>
      </c>
      <c r="K18" s="30">
        <v>0.9</v>
      </c>
      <c r="L18" s="30">
        <v>0.9</v>
      </c>
      <c r="M18" s="30">
        <v>0.9</v>
      </c>
      <c r="N18" s="30">
        <v>0.89</v>
      </c>
      <c r="O18" s="30">
        <v>0.88</v>
      </c>
      <c r="P18" s="30">
        <v>0.87</v>
      </c>
      <c r="Q18" s="30">
        <v>0.86</v>
      </c>
      <c r="R18" s="30">
        <v>0.85</v>
      </c>
      <c r="S18" s="30">
        <v>0.84</v>
      </c>
      <c r="T18" s="30">
        <v>0.83</v>
      </c>
      <c r="U18" s="30">
        <v>0.82</v>
      </c>
      <c r="V18" s="30">
        <v>0.81</v>
      </c>
      <c r="W18" s="30">
        <v>0.8</v>
      </c>
      <c r="X18" s="30">
        <v>0.78</v>
      </c>
      <c r="Y18" s="30">
        <v>0.76</v>
      </c>
      <c r="Z18" s="30">
        <v>0.74</v>
      </c>
      <c r="AA18" s="30">
        <v>0.72</v>
      </c>
      <c r="AB18" s="30">
        <v>0.7</v>
      </c>
      <c r="AC18" s="30">
        <v>0.68</v>
      </c>
      <c r="AD18" s="30">
        <v>0.66</v>
      </c>
      <c r="AE18" s="30">
        <v>0.64</v>
      </c>
      <c r="AF18" s="30">
        <v>0.62</v>
      </c>
      <c r="AG18" s="30">
        <v>0.6</v>
      </c>
      <c r="AH18" s="30">
        <v>0.56999999999999995</v>
      </c>
      <c r="AI18" s="30">
        <v>0.54</v>
      </c>
      <c r="AJ18" s="30">
        <v>0.51</v>
      </c>
      <c r="AK18" s="30">
        <v>0.48</v>
      </c>
      <c r="AL18" s="30">
        <v>0.45</v>
      </c>
      <c r="AM18" s="30">
        <v>0.42</v>
      </c>
      <c r="AN18" s="30">
        <v>0.39</v>
      </c>
      <c r="AO18" s="30">
        <v>0.36</v>
      </c>
      <c r="AP18" s="30">
        <v>0.33</v>
      </c>
      <c r="AQ18" s="30">
        <v>0.3</v>
      </c>
    </row>
    <row r="19" spans="1:43" x14ac:dyDescent="0.35">
      <c r="B19" t="s">
        <v>317</v>
      </c>
      <c r="C19" s="30">
        <v>0.6</v>
      </c>
      <c r="D19" s="30">
        <v>0.6</v>
      </c>
      <c r="E19" s="30">
        <v>0.6</v>
      </c>
      <c r="F19" s="30">
        <v>0.6</v>
      </c>
      <c r="G19" s="30">
        <v>0.6</v>
      </c>
      <c r="H19" s="30">
        <v>0.6</v>
      </c>
      <c r="I19" s="30">
        <v>0.6</v>
      </c>
      <c r="J19" s="30">
        <v>0.6</v>
      </c>
      <c r="K19" s="30">
        <v>0.6</v>
      </c>
      <c r="L19" s="30">
        <v>0.6</v>
      </c>
      <c r="M19" s="30">
        <v>0.6</v>
      </c>
      <c r="N19" s="30">
        <v>0.59</v>
      </c>
      <c r="O19" s="30">
        <v>0.57999999999999996</v>
      </c>
      <c r="P19" s="30">
        <v>0.56999999999999995</v>
      </c>
      <c r="Q19" s="30">
        <v>0.56000000000000005</v>
      </c>
      <c r="R19" s="30">
        <v>0.55000000000000004</v>
      </c>
      <c r="S19" s="30">
        <v>0.54</v>
      </c>
      <c r="T19" s="30">
        <v>0.53</v>
      </c>
      <c r="U19" s="30">
        <v>0.52</v>
      </c>
      <c r="V19" s="30">
        <v>0.51</v>
      </c>
      <c r="W19" s="30">
        <v>0.5</v>
      </c>
      <c r="X19" s="30">
        <v>0.48</v>
      </c>
      <c r="Y19" s="30">
        <v>0.46</v>
      </c>
      <c r="Z19" s="30">
        <v>0.44</v>
      </c>
      <c r="AA19" s="30">
        <v>0.42</v>
      </c>
      <c r="AB19" s="30">
        <v>0.4</v>
      </c>
      <c r="AC19" s="30">
        <v>0.38</v>
      </c>
      <c r="AD19" s="30">
        <v>0.36</v>
      </c>
      <c r="AE19" s="30">
        <v>0.34</v>
      </c>
      <c r="AF19" s="30">
        <v>0.32</v>
      </c>
      <c r="AG19" s="30">
        <v>0.3</v>
      </c>
      <c r="AH19" s="30">
        <v>0.27</v>
      </c>
      <c r="AI19" s="30">
        <v>0.24</v>
      </c>
      <c r="AJ19" s="30">
        <v>0.21</v>
      </c>
      <c r="AK19" s="30">
        <v>0.18</v>
      </c>
      <c r="AL19" s="30">
        <v>0.15</v>
      </c>
      <c r="AM19" s="30">
        <v>0.12</v>
      </c>
      <c r="AN19" s="30">
        <v>0.09</v>
      </c>
      <c r="AO19" s="30">
        <v>0.06</v>
      </c>
      <c r="AP19" s="30">
        <v>0.03</v>
      </c>
      <c r="AQ19" s="30">
        <v>0</v>
      </c>
    </row>
    <row r="20" spans="1:43" x14ac:dyDescent="0.35">
      <c r="B20" t="s">
        <v>78</v>
      </c>
      <c r="C20" s="30">
        <v>0.9</v>
      </c>
      <c r="D20" s="6">
        <f>(D3/$C$20)*D$18</f>
        <v>2050946.0000000002</v>
      </c>
      <c r="E20" s="6">
        <f t="shared" ref="E20:L20" si="13">(E3/$C$20)*E$18</f>
        <v>2082812</v>
      </c>
      <c r="F20" s="6">
        <f t="shared" si="13"/>
        <v>2140436</v>
      </c>
      <c r="G20" s="6">
        <f t="shared" si="13"/>
        <v>2266638</v>
      </c>
      <c r="H20" s="6">
        <f t="shared" si="13"/>
        <v>2231336</v>
      </c>
      <c r="I20" s="6">
        <f t="shared" si="13"/>
        <v>2120840</v>
      </c>
      <c r="J20" s="6">
        <f t="shared" si="13"/>
        <v>2166049.253731343</v>
      </c>
      <c r="K20" s="6">
        <f t="shared" si="13"/>
        <v>2170983.1325301207</v>
      </c>
      <c r="L20" s="6">
        <f t="shared" si="13"/>
        <v>2142270</v>
      </c>
      <c r="M20" s="6">
        <f>(M3/$C$20)*M$18</f>
        <v>2053372</v>
      </c>
      <c r="N20" s="6">
        <f t="shared" ref="N20:AQ20" si="14">(N3/$C$18)*N$18</f>
        <v>2118467</v>
      </c>
      <c r="O20" s="6">
        <f t="shared" si="14"/>
        <v>2094664</v>
      </c>
      <c r="P20" s="6">
        <f t="shared" si="14"/>
        <v>2070861</v>
      </c>
      <c r="Q20" s="6">
        <f t="shared" si="14"/>
        <v>2047058</v>
      </c>
      <c r="R20" s="6">
        <f t="shared" si="14"/>
        <v>2023255</v>
      </c>
      <c r="S20" s="6">
        <f t="shared" si="14"/>
        <v>1999452</v>
      </c>
      <c r="T20" s="6">
        <f t="shared" si="14"/>
        <v>1975649</v>
      </c>
      <c r="U20" s="6">
        <f t="shared" si="14"/>
        <v>1951846</v>
      </c>
      <c r="V20" s="6">
        <f t="shared" si="14"/>
        <v>1928043.0000000002</v>
      </c>
      <c r="W20" s="6">
        <f t="shared" si="14"/>
        <v>1904240</v>
      </c>
      <c r="X20" s="6">
        <f t="shared" si="14"/>
        <v>1856634</v>
      </c>
      <c r="Y20" s="6">
        <f t="shared" si="14"/>
        <v>1809028</v>
      </c>
      <c r="Z20" s="6">
        <f t="shared" si="14"/>
        <v>1761422</v>
      </c>
      <c r="AA20" s="6">
        <f t="shared" si="14"/>
        <v>1713816</v>
      </c>
      <c r="AB20" s="6">
        <f t="shared" si="14"/>
        <v>1666210</v>
      </c>
      <c r="AC20" s="6">
        <f t="shared" si="14"/>
        <v>1618604</v>
      </c>
      <c r="AD20" s="6">
        <f t="shared" si="14"/>
        <v>1570998</v>
      </c>
      <c r="AE20" s="6">
        <f t="shared" si="14"/>
        <v>1523392</v>
      </c>
      <c r="AF20" s="6">
        <f t="shared" si="14"/>
        <v>1475786</v>
      </c>
      <c r="AG20" s="6">
        <f t="shared" si="14"/>
        <v>1428180</v>
      </c>
      <c r="AH20" s="6">
        <f t="shared" si="14"/>
        <v>1356771</v>
      </c>
      <c r="AI20" s="6">
        <f t="shared" si="14"/>
        <v>1285362</v>
      </c>
      <c r="AJ20" s="6">
        <f t="shared" si="14"/>
        <v>1213953</v>
      </c>
      <c r="AK20" s="6">
        <f t="shared" si="14"/>
        <v>1142544</v>
      </c>
      <c r="AL20" s="6">
        <f t="shared" si="14"/>
        <v>1071135</v>
      </c>
      <c r="AM20" s="6">
        <f t="shared" si="14"/>
        <v>999726</v>
      </c>
      <c r="AN20" s="6">
        <f t="shared" si="14"/>
        <v>928317</v>
      </c>
      <c r="AO20" s="6">
        <f t="shared" si="14"/>
        <v>856908</v>
      </c>
      <c r="AP20" s="6">
        <f t="shared" si="14"/>
        <v>785499</v>
      </c>
      <c r="AQ20" s="6">
        <f t="shared" si="14"/>
        <v>714090</v>
      </c>
    </row>
    <row r="21" spans="1:43" x14ac:dyDescent="0.35">
      <c r="B21" t="s">
        <v>79</v>
      </c>
      <c r="C21" s="30">
        <v>0.9</v>
      </c>
      <c r="D21" s="6">
        <f>(D4/$C$21)*D$18</f>
        <v>875362</v>
      </c>
      <c r="E21" s="6">
        <f>(E4/$C$21)*E$18</f>
        <v>602488</v>
      </c>
      <c r="F21" s="6">
        <f t="shared" ref="F21:L21" si="15">(F4/$C$21)*F$18</f>
        <v>3048344</v>
      </c>
      <c r="G21" s="6">
        <f t="shared" si="15"/>
        <v>1511974</v>
      </c>
      <c r="H21" s="6">
        <f t="shared" si="15"/>
        <v>1545412</v>
      </c>
      <c r="I21" s="6">
        <f t="shared" si="15"/>
        <v>1572612</v>
      </c>
      <c r="J21" s="6">
        <f t="shared" si="15"/>
        <v>1550617.9104477612</v>
      </c>
      <c r="K21" s="6">
        <f t="shared" si="15"/>
        <v>1595850.6024096387</v>
      </c>
      <c r="L21" s="6">
        <f t="shared" si="15"/>
        <v>1697437</v>
      </c>
      <c r="M21" s="6">
        <f>(M4/$C$21)*M$18</f>
        <v>1558268</v>
      </c>
      <c r="N21" s="6">
        <f t="shared" ref="N21:AQ23" si="16">(N4/$C21)*N$18</f>
        <v>754558.81111111108</v>
      </c>
      <c r="O21" s="6">
        <f t="shared" si="16"/>
        <v>746080.62222222227</v>
      </c>
      <c r="P21" s="6">
        <f t="shared" si="16"/>
        <v>737602.43333333335</v>
      </c>
      <c r="Q21" s="6">
        <f t="shared" si="16"/>
        <v>729124.24444444443</v>
      </c>
      <c r="R21" s="6">
        <f t="shared" si="16"/>
        <v>720646.0555555555</v>
      </c>
      <c r="S21" s="6">
        <f t="shared" si="16"/>
        <v>712167.86666666658</v>
      </c>
      <c r="T21" s="6">
        <f t="shared" si="16"/>
        <v>703689.67777777778</v>
      </c>
      <c r="U21" s="6">
        <f t="shared" si="16"/>
        <v>695211.48888888885</v>
      </c>
      <c r="V21" s="6">
        <f t="shared" si="16"/>
        <v>686733.3</v>
      </c>
      <c r="W21" s="6">
        <f t="shared" si="16"/>
        <v>678255.11111111112</v>
      </c>
      <c r="X21" s="6">
        <f t="shared" si="16"/>
        <v>661298.7333333334</v>
      </c>
      <c r="Y21" s="6">
        <f t="shared" si="16"/>
        <v>644342.35555555555</v>
      </c>
      <c r="Z21" s="6">
        <f t="shared" si="16"/>
        <v>627385.97777777771</v>
      </c>
      <c r="AA21" s="6">
        <f t="shared" si="16"/>
        <v>610429.6</v>
      </c>
      <c r="AB21" s="6">
        <f t="shared" si="16"/>
        <v>593473.22222222213</v>
      </c>
      <c r="AC21" s="6">
        <f t="shared" si="16"/>
        <v>576516.84444444452</v>
      </c>
      <c r="AD21" s="6">
        <f t="shared" si="16"/>
        <v>559560.46666666667</v>
      </c>
      <c r="AE21" s="6">
        <f t="shared" si="16"/>
        <v>542604.08888888895</v>
      </c>
      <c r="AF21" s="6">
        <f t="shared" si="16"/>
        <v>525647.7111111111</v>
      </c>
      <c r="AG21" s="6">
        <f t="shared" si="16"/>
        <v>508691.33333333331</v>
      </c>
      <c r="AH21" s="6">
        <f t="shared" si="16"/>
        <v>483256.7666666666</v>
      </c>
      <c r="AI21" s="6">
        <f t="shared" si="16"/>
        <v>457822.2</v>
      </c>
      <c r="AJ21" s="6">
        <f t="shared" si="16"/>
        <v>432387.63333333336</v>
      </c>
      <c r="AK21" s="6">
        <f t="shared" si="16"/>
        <v>406953.06666666665</v>
      </c>
      <c r="AL21" s="6">
        <f t="shared" si="16"/>
        <v>381518.5</v>
      </c>
      <c r="AM21" s="6">
        <f t="shared" si="16"/>
        <v>356083.93333333329</v>
      </c>
      <c r="AN21" s="6">
        <f t="shared" si="16"/>
        <v>330649.3666666667</v>
      </c>
      <c r="AO21" s="6">
        <f t="shared" si="16"/>
        <v>305214.8</v>
      </c>
      <c r="AP21" s="6">
        <f t="shared" si="16"/>
        <v>279780.23333333334</v>
      </c>
      <c r="AQ21" s="6">
        <f t="shared" si="16"/>
        <v>254345.66666666666</v>
      </c>
    </row>
    <row r="22" spans="1:43" x14ac:dyDescent="0.35">
      <c r="B22" t="s">
        <v>80</v>
      </c>
      <c r="C22" s="30">
        <v>0.9</v>
      </c>
      <c r="D22" s="6">
        <f>(D5/$C$22)*D$18</f>
        <v>588306</v>
      </c>
      <c r="E22" s="6">
        <f t="shared" ref="E22:L22" si="17">(E5/$C$22)*E$18</f>
        <v>780650</v>
      </c>
      <c r="F22" s="6">
        <f t="shared" si="17"/>
        <v>999408</v>
      </c>
      <c r="G22" s="6">
        <f t="shared" si="17"/>
        <v>1554864</v>
      </c>
      <c r="H22" s="6">
        <f t="shared" si="17"/>
        <v>1311702</v>
      </c>
      <c r="I22" s="6">
        <f t="shared" si="17"/>
        <v>1540066</v>
      </c>
      <c r="J22" s="6">
        <f t="shared" si="17"/>
        <v>1370210.4477611938</v>
      </c>
      <c r="K22" s="6">
        <f t="shared" si="17"/>
        <v>1138807.2289156627</v>
      </c>
      <c r="L22" s="6">
        <f t="shared" si="17"/>
        <v>1318490</v>
      </c>
      <c r="M22" s="6">
        <f>(M5/$C$22)*M$18</f>
        <v>1181995</v>
      </c>
      <c r="N22" s="6">
        <f t="shared" si="16"/>
        <v>1303840.111111111</v>
      </c>
      <c r="O22" s="6">
        <f t="shared" si="16"/>
        <v>1289190.222222222</v>
      </c>
      <c r="P22" s="6">
        <f t="shared" si="16"/>
        <v>1274540.3333333333</v>
      </c>
      <c r="Q22" s="6">
        <f t="shared" si="16"/>
        <v>1259890.4444444443</v>
      </c>
      <c r="R22" s="6">
        <f t="shared" si="16"/>
        <v>1245240.5555555555</v>
      </c>
      <c r="S22" s="6">
        <f t="shared" si="16"/>
        <v>1230590.6666666665</v>
      </c>
      <c r="T22" s="6">
        <f t="shared" si="16"/>
        <v>1215940.7777777775</v>
      </c>
      <c r="U22" s="6">
        <f t="shared" si="16"/>
        <v>1201290.8888888888</v>
      </c>
      <c r="V22" s="6">
        <f t="shared" si="16"/>
        <v>1186641</v>
      </c>
      <c r="W22" s="6">
        <f t="shared" si="16"/>
        <v>1171991.111111111</v>
      </c>
      <c r="X22" s="6">
        <f t="shared" si="16"/>
        <v>1142691.3333333333</v>
      </c>
      <c r="Y22" s="6">
        <f t="shared" si="16"/>
        <v>1113391.5555555555</v>
      </c>
      <c r="Z22" s="6">
        <f t="shared" si="16"/>
        <v>1084091.7777777778</v>
      </c>
      <c r="AA22" s="6">
        <f t="shared" si="16"/>
        <v>1054791.9999999998</v>
      </c>
      <c r="AB22" s="6">
        <f t="shared" si="16"/>
        <v>1025492.222222222</v>
      </c>
      <c r="AC22" s="6">
        <f t="shared" si="16"/>
        <v>996192.44444444438</v>
      </c>
      <c r="AD22" s="6">
        <f t="shared" si="16"/>
        <v>966892.66666666663</v>
      </c>
      <c r="AE22" s="6">
        <f t="shared" si="16"/>
        <v>937592.88888888888</v>
      </c>
      <c r="AF22" s="6">
        <f t="shared" si="16"/>
        <v>908293.11111111101</v>
      </c>
      <c r="AG22" s="6">
        <f t="shared" si="16"/>
        <v>878993.33333333326</v>
      </c>
      <c r="AH22" s="6">
        <f t="shared" si="16"/>
        <v>835043.66666666651</v>
      </c>
      <c r="AI22" s="6">
        <f t="shared" si="16"/>
        <v>791094</v>
      </c>
      <c r="AJ22" s="6">
        <f t="shared" si="16"/>
        <v>747144.33333333326</v>
      </c>
      <c r="AK22" s="6">
        <f t="shared" si="16"/>
        <v>703194.66666666663</v>
      </c>
      <c r="AL22" s="6">
        <f t="shared" si="16"/>
        <v>659245</v>
      </c>
      <c r="AM22" s="6">
        <f t="shared" si="16"/>
        <v>615295.33333333326</v>
      </c>
      <c r="AN22" s="6">
        <f t="shared" si="16"/>
        <v>571345.66666666663</v>
      </c>
      <c r="AO22" s="6">
        <f t="shared" si="16"/>
        <v>527395.99999999988</v>
      </c>
      <c r="AP22" s="6">
        <f t="shared" si="16"/>
        <v>483446.33333333331</v>
      </c>
      <c r="AQ22" s="6">
        <f t="shared" si="16"/>
        <v>439496.66666666663</v>
      </c>
    </row>
    <row r="23" spans="1:43" x14ac:dyDescent="0.35">
      <c r="B23" t="s">
        <v>81</v>
      </c>
      <c r="C23" s="30">
        <v>0.9</v>
      </c>
      <c r="D23" s="6">
        <f>(D6/$C$23)*D$18</f>
        <v>1200000</v>
      </c>
      <c r="E23" s="6">
        <f t="shared" ref="E23:L23" si="18">(E6/$C$23)*E$18</f>
        <v>1200000</v>
      </c>
      <c r="F23" s="6">
        <f t="shared" si="18"/>
        <v>1200000</v>
      </c>
      <c r="G23" s="6">
        <f t="shared" si="18"/>
        <v>1200000</v>
      </c>
      <c r="H23" s="6">
        <f t="shared" si="18"/>
        <v>1200000</v>
      </c>
      <c r="I23" s="6">
        <f t="shared" si="18"/>
        <v>1200000</v>
      </c>
      <c r="J23" s="6">
        <f t="shared" si="18"/>
        <v>1200000</v>
      </c>
      <c r="K23" s="6">
        <f t="shared" si="18"/>
        <v>1200000</v>
      </c>
      <c r="L23" s="6">
        <f t="shared" si="18"/>
        <v>1200000</v>
      </c>
      <c r="M23" s="6">
        <f>(M6/$C$23)*M$18</f>
        <v>1200000</v>
      </c>
      <c r="N23" s="6">
        <f t="shared" si="16"/>
        <v>1186666.6666666665</v>
      </c>
      <c r="O23" s="6">
        <f t="shared" si="16"/>
        <v>1173333.3333333333</v>
      </c>
      <c r="P23" s="6">
        <f t="shared" si="16"/>
        <v>1160000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row>
    <row r="24" spans="1:43" x14ac:dyDescent="0.35">
      <c r="B24" t="s">
        <v>82</v>
      </c>
      <c r="C24" s="30">
        <v>0.9</v>
      </c>
      <c r="D24" s="6">
        <f>(D7/$C$24)*D$18</f>
        <v>1080448</v>
      </c>
      <c r="E24" s="6">
        <f t="shared" ref="E24:AQ25" si="19">(E7/$C$24)*E$18</f>
        <v>1126974</v>
      </c>
      <c r="F24" s="6">
        <f t="shared" si="19"/>
        <v>1194816</v>
      </c>
      <c r="G24" s="6">
        <f t="shared" si="19"/>
        <v>1296520</v>
      </c>
      <c r="H24" s="6">
        <f t="shared" si="19"/>
        <v>1342968</v>
      </c>
      <c r="I24" s="6">
        <f t="shared" si="19"/>
        <v>1098248</v>
      </c>
      <c r="J24" s="6">
        <f t="shared" si="19"/>
        <v>966774.62686567171</v>
      </c>
      <c r="K24" s="6">
        <f t="shared" si="19"/>
        <v>884862.65060240962</v>
      </c>
      <c r="L24" s="6">
        <f t="shared" si="19"/>
        <v>867222</v>
      </c>
      <c r="M24" s="6">
        <f t="shared" si="19"/>
        <v>790640</v>
      </c>
      <c r="N24" s="6">
        <f t="shared" si="19"/>
        <v>857586.20000000007</v>
      </c>
      <c r="O24" s="6">
        <f t="shared" si="19"/>
        <v>847950.4</v>
      </c>
      <c r="P24" s="6">
        <f t="shared" si="19"/>
        <v>838314.6</v>
      </c>
      <c r="Q24" s="6">
        <f t="shared" si="19"/>
        <v>828678.79999999993</v>
      </c>
      <c r="R24" s="6">
        <f t="shared" si="19"/>
        <v>819043</v>
      </c>
      <c r="S24" s="6">
        <f t="shared" si="19"/>
        <v>809407.2</v>
      </c>
      <c r="T24" s="6">
        <f t="shared" si="19"/>
        <v>799771.39999999991</v>
      </c>
      <c r="U24" s="6">
        <f t="shared" si="19"/>
        <v>790135.6</v>
      </c>
      <c r="V24" s="6">
        <f t="shared" si="19"/>
        <v>780499.8</v>
      </c>
      <c r="W24" s="6">
        <f t="shared" si="19"/>
        <v>770864</v>
      </c>
      <c r="X24" s="6">
        <f t="shared" si="19"/>
        <v>751592.4</v>
      </c>
      <c r="Y24" s="6">
        <f t="shared" si="19"/>
        <v>732320.8</v>
      </c>
      <c r="Z24" s="6">
        <f t="shared" si="19"/>
        <v>713049.2</v>
      </c>
      <c r="AA24" s="6">
        <f t="shared" si="19"/>
        <v>693777.6</v>
      </c>
      <c r="AB24" s="6">
        <f t="shared" si="19"/>
        <v>674506</v>
      </c>
      <c r="AC24" s="6">
        <f t="shared" si="19"/>
        <v>655234.4</v>
      </c>
      <c r="AD24" s="6">
        <f t="shared" si="19"/>
        <v>635962.80000000005</v>
      </c>
      <c r="AE24" s="6">
        <f t="shared" si="19"/>
        <v>616691.20000000007</v>
      </c>
      <c r="AF24" s="6">
        <f t="shared" si="19"/>
        <v>597419.6</v>
      </c>
      <c r="AG24" s="6">
        <f t="shared" si="19"/>
        <v>578148</v>
      </c>
      <c r="AH24" s="6">
        <f t="shared" si="19"/>
        <v>549240.6</v>
      </c>
      <c r="AI24" s="6">
        <f t="shared" si="19"/>
        <v>520333.2</v>
      </c>
      <c r="AJ24" s="6">
        <f t="shared" si="19"/>
        <v>491425.8</v>
      </c>
      <c r="AK24" s="6">
        <f t="shared" si="19"/>
        <v>462518.39999999997</v>
      </c>
      <c r="AL24" s="6">
        <f t="shared" si="19"/>
        <v>433611</v>
      </c>
      <c r="AM24" s="6">
        <f t="shared" si="19"/>
        <v>404703.6</v>
      </c>
      <c r="AN24" s="6">
        <f t="shared" si="19"/>
        <v>375796.2</v>
      </c>
      <c r="AO24" s="6">
        <f t="shared" si="19"/>
        <v>346888.8</v>
      </c>
      <c r="AP24" s="6">
        <f t="shared" si="19"/>
        <v>317981.40000000002</v>
      </c>
      <c r="AQ24" s="6">
        <f t="shared" si="19"/>
        <v>289074</v>
      </c>
    </row>
    <row r="25" spans="1:43" x14ac:dyDescent="0.35">
      <c r="B25" t="s">
        <v>83</v>
      </c>
      <c r="C25" s="30">
        <v>0.9</v>
      </c>
      <c r="D25" s="6">
        <f>(D8/$C$25)*D$18</f>
        <v>239455.99999999997</v>
      </c>
      <c r="E25" s="6">
        <f t="shared" ref="E25:L25" si="20">(E8/$C$25)*E$18</f>
        <v>286130</v>
      </c>
      <c r="F25" s="6">
        <f t="shared" si="20"/>
        <v>328722</v>
      </c>
      <c r="G25" s="6">
        <f t="shared" si="20"/>
        <v>396938</v>
      </c>
      <c r="H25" s="6">
        <f t="shared" si="20"/>
        <v>347812</v>
      </c>
      <c r="I25" s="6">
        <f t="shared" si="20"/>
        <v>319360</v>
      </c>
      <c r="J25" s="6">
        <f t="shared" si="20"/>
        <v>371732.8358208955</v>
      </c>
      <c r="K25" s="6">
        <f t="shared" si="20"/>
        <v>392281.92771084339</v>
      </c>
      <c r="L25" s="6">
        <f t="shared" si="20"/>
        <v>330233</v>
      </c>
      <c r="M25" s="6">
        <f>(M8/$C$24)*M$18</f>
        <v>349257</v>
      </c>
      <c r="N25" s="6">
        <f t="shared" si="19"/>
        <v>326563.74444444443</v>
      </c>
      <c r="O25" s="6">
        <f t="shared" si="19"/>
        <v>322894.48888888891</v>
      </c>
      <c r="P25" s="6">
        <f t="shared" si="19"/>
        <v>319225.23333333334</v>
      </c>
      <c r="Q25" s="6">
        <f t="shared" si="19"/>
        <v>315555.97777777776</v>
      </c>
      <c r="R25" s="6">
        <f t="shared" si="19"/>
        <v>311886.72222222225</v>
      </c>
      <c r="S25" s="6">
        <f t="shared" si="19"/>
        <v>308217.46666666667</v>
      </c>
      <c r="T25" s="6">
        <f t="shared" si="19"/>
        <v>304548.2111111111</v>
      </c>
      <c r="U25" s="6">
        <f t="shared" si="19"/>
        <v>300878.95555555553</v>
      </c>
      <c r="V25" s="6">
        <f t="shared" si="19"/>
        <v>297209.7</v>
      </c>
      <c r="W25" s="6">
        <f t="shared" si="19"/>
        <v>293540.44444444444</v>
      </c>
      <c r="X25" s="6">
        <f t="shared" si="19"/>
        <v>286201.93333333335</v>
      </c>
      <c r="Y25" s="6">
        <f t="shared" si="19"/>
        <v>278863.4222222222</v>
      </c>
      <c r="Z25" s="6">
        <f t="shared" si="19"/>
        <v>271524.91111111111</v>
      </c>
      <c r="AA25" s="6">
        <f t="shared" si="19"/>
        <v>264186.40000000002</v>
      </c>
      <c r="AB25" s="6">
        <f t="shared" si="19"/>
        <v>256847.88888888888</v>
      </c>
      <c r="AC25" s="6">
        <f t="shared" si="19"/>
        <v>249509.37777777779</v>
      </c>
      <c r="AD25" s="6">
        <f t="shared" si="19"/>
        <v>242170.86666666667</v>
      </c>
      <c r="AE25" s="6">
        <f t="shared" si="19"/>
        <v>234832.35555555555</v>
      </c>
      <c r="AF25" s="6">
        <f t="shared" si="19"/>
        <v>227493.84444444446</v>
      </c>
      <c r="AG25" s="6">
        <f t="shared" si="19"/>
        <v>220155.33333333334</v>
      </c>
      <c r="AH25" s="6">
        <f t="shared" si="19"/>
        <v>209147.56666666665</v>
      </c>
      <c r="AI25" s="6">
        <f t="shared" si="19"/>
        <v>198139.80000000002</v>
      </c>
      <c r="AJ25" s="6">
        <f t="shared" si="19"/>
        <v>187132.03333333333</v>
      </c>
      <c r="AK25" s="6">
        <f t="shared" si="19"/>
        <v>176124.26666666666</v>
      </c>
      <c r="AL25" s="6">
        <f t="shared" si="19"/>
        <v>165116.5</v>
      </c>
      <c r="AM25" s="6">
        <f t="shared" si="19"/>
        <v>154108.73333333334</v>
      </c>
      <c r="AN25" s="6">
        <f t="shared" si="19"/>
        <v>143100.96666666667</v>
      </c>
      <c r="AO25" s="6">
        <f t="shared" si="19"/>
        <v>132093.20000000001</v>
      </c>
      <c r="AP25" s="6">
        <f t="shared" si="19"/>
        <v>121085.43333333333</v>
      </c>
      <c r="AQ25" s="6">
        <f t="shared" si="19"/>
        <v>110077.66666666667</v>
      </c>
    </row>
    <row r="26" spans="1:43" x14ac:dyDescent="0.35">
      <c r="B26" t="s">
        <v>84</v>
      </c>
      <c r="C26" s="30">
        <v>0.6</v>
      </c>
      <c r="D26" s="6">
        <f>(D9/$C$26)*D$19</f>
        <v>44712</v>
      </c>
      <c r="E26" s="6">
        <f t="shared" ref="E26:AP26" si="21">(E9/$C$26)*E$19</f>
        <v>52360</v>
      </c>
      <c r="F26" s="6">
        <f t="shared" si="21"/>
        <v>57524.000000000007</v>
      </c>
      <c r="G26" s="6">
        <f t="shared" si="21"/>
        <v>53878</v>
      </c>
      <c r="H26" s="6">
        <f t="shared" si="21"/>
        <v>62634</v>
      </c>
      <c r="I26" s="6">
        <f t="shared" si="21"/>
        <v>64282</v>
      </c>
      <c r="J26" s="6">
        <f t="shared" si="21"/>
        <v>65150.746268656716</v>
      </c>
      <c r="K26" s="6">
        <f t="shared" si="21"/>
        <v>61040.963855421694</v>
      </c>
      <c r="L26" s="6">
        <f t="shared" si="21"/>
        <v>57190</v>
      </c>
      <c r="M26" s="6">
        <f t="shared" si="21"/>
        <v>59209</v>
      </c>
      <c r="N26" s="6">
        <f t="shared" si="21"/>
        <v>56236.833333333336</v>
      </c>
      <c r="O26" s="6">
        <f t="shared" si="21"/>
        <v>55283.666666666664</v>
      </c>
      <c r="P26" s="6">
        <f t="shared" si="21"/>
        <v>54330.5</v>
      </c>
      <c r="Q26" s="6">
        <f t="shared" si="21"/>
        <v>53377.333333333343</v>
      </c>
      <c r="R26" s="6">
        <f t="shared" si="21"/>
        <v>52424.166666666672</v>
      </c>
      <c r="S26" s="6">
        <f t="shared" si="21"/>
        <v>51471.000000000007</v>
      </c>
      <c r="T26" s="6">
        <f t="shared" si="21"/>
        <v>50517.833333333336</v>
      </c>
      <c r="U26" s="6">
        <f t="shared" si="21"/>
        <v>49564.666666666672</v>
      </c>
      <c r="V26" s="6">
        <f t="shared" si="21"/>
        <v>48611.5</v>
      </c>
      <c r="W26" s="6">
        <f t="shared" si="21"/>
        <v>47658.333333333336</v>
      </c>
      <c r="X26" s="6">
        <f t="shared" si="21"/>
        <v>45752</v>
      </c>
      <c r="Y26" s="6">
        <f t="shared" si="21"/>
        <v>43845.666666666672</v>
      </c>
      <c r="Z26" s="6">
        <f t="shared" si="21"/>
        <v>41939.333333333336</v>
      </c>
      <c r="AA26" s="6">
        <f t="shared" si="21"/>
        <v>40033</v>
      </c>
      <c r="AB26" s="6">
        <f t="shared" si="21"/>
        <v>38126.666666666672</v>
      </c>
      <c r="AC26" s="6">
        <f t="shared" si="21"/>
        <v>36220.333333333336</v>
      </c>
      <c r="AD26" s="6">
        <f t="shared" si="21"/>
        <v>34314</v>
      </c>
      <c r="AE26" s="6">
        <f t="shared" si="21"/>
        <v>32407.666666666672</v>
      </c>
      <c r="AF26" s="6">
        <f t="shared" si="21"/>
        <v>30501.333333333336</v>
      </c>
      <c r="AG26" s="6">
        <f t="shared" si="21"/>
        <v>28595</v>
      </c>
      <c r="AH26" s="6">
        <f t="shared" si="21"/>
        <v>25735.500000000004</v>
      </c>
      <c r="AI26" s="6">
        <f t="shared" si="21"/>
        <v>22876</v>
      </c>
      <c r="AJ26" s="6">
        <f t="shared" si="21"/>
        <v>20016.5</v>
      </c>
      <c r="AK26" s="6">
        <f t="shared" si="21"/>
        <v>17157</v>
      </c>
      <c r="AL26" s="6">
        <f t="shared" si="21"/>
        <v>14297.5</v>
      </c>
      <c r="AM26" s="6">
        <f t="shared" si="21"/>
        <v>11438</v>
      </c>
      <c r="AN26" s="6">
        <f t="shared" si="21"/>
        <v>8578.5</v>
      </c>
      <c r="AO26" s="6">
        <f t="shared" si="21"/>
        <v>5719</v>
      </c>
      <c r="AP26" s="6">
        <f t="shared" si="21"/>
        <v>2859.5</v>
      </c>
      <c r="AQ26" s="6">
        <f>(AQ9/$C$26)*AQ$19</f>
        <v>0</v>
      </c>
    </row>
    <row r="27" spans="1:43" x14ac:dyDescent="0.35">
      <c r="B27" t="s">
        <v>85</v>
      </c>
      <c r="C27" s="30">
        <v>0.6</v>
      </c>
      <c r="D27" s="6">
        <f>(D10/$C$27)*D$19</f>
        <v>126526</v>
      </c>
      <c r="E27" s="6">
        <f t="shared" ref="E27:AQ27" si="22">(E10/$C$27)*E$19</f>
        <v>103578</v>
      </c>
      <c r="F27" s="6">
        <f t="shared" si="22"/>
        <v>105448.00000000001</v>
      </c>
      <c r="G27" s="6">
        <f t="shared" si="22"/>
        <v>119494</v>
      </c>
      <c r="H27" s="6">
        <f t="shared" si="22"/>
        <v>121324</v>
      </c>
      <c r="I27" s="6">
        <f t="shared" si="22"/>
        <v>122374</v>
      </c>
      <c r="J27" s="6">
        <f>(J10/$C$27)*J$19</f>
        <v>115540.29850746268</v>
      </c>
      <c r="K27" s="6">
        <f t="shared" si="22"/>
        <v>113991.56626506026</v>
      </c>
      <c r="L27" s="6">
        <f t="shared" si="22"/>
        <v>112871</v>
      </c>
      <c r="M27" s="6">
        <f t="shared" si="22"/>
        <v>111924</v>
      </c>
      <c r="N27" s="6">
        <f t="shared" si="22"/>
        <v>110989.81666666667</v>
      </c>
      <c r="O27" s="6">
        <f t="shared" si="22"/>
        <v>109108.63333333333</v>
      </c>
      <c r="P27" s="6">
        <f t="shared" si="22"/>
        <v>107227.45</v>
      </c>
      <c r="Q27" s="6">
        <f t="shared" si="22"/>
        <v>105346.26666666668</v>
      </c>
      <c r="R27" s="6">
        <f t="shared" si="22"/>
        <v>103465.08333333334</v>
      </c>
      <c r="S27" s="6">
        <f t="shared" si="22"/>
        <v>101583.90000000001</v>
      </c>
      <c r="T27" s="6">
        <f t="shared" si="22"/>
        <v>99702.716666666674</v>
      </c>
      <c r="U27" s="6">
        <f t="shared" si="22"/>
        <v>97821.53333333334</v>
      </c>
      <c r="V27" s="6">
        <f t="shared" si="22"/>
        <v>95940.35</v>
      </c>
      <c r="W27" s="6">
        <f t="shared" si="22"/>
        <v>94059.166666666672</v>
      </c>
      <c r="X27" s="6">
        <f t="shared" si="22"/>
        <v>90296.8</v>
      </c>
      <c r="Y27" s="6">
        <f t="shared" si="22"/>
        <v>86534.433333333334</v>
      </c>
      <c r="Z27" s="6">
        <f t="shared" si="22"/>
        <v>82772.066666666666</v>
      </c>
      <c r="AA27" s="6">
        <f t="shared" si="22"/>
        <v>79009.7</v>
      </c>
      <c r="AB27" s="6">
        <f t="shared" si="22"/>
        <v>75247.333333333343</v>
      </c>
      <c r="AC27" s="6">
        <f t="shared" si="22"/>
        <v>71484.966666666674</v>
      </c>
      <c r="AD27" s="6">
        <f t="shared" si="22"/>
        <v>67722.600000000006</v>
      </c>
      <c r="AE27" s="6">
        <f t="shared" si="22"/>
        <v>63960.233333333344</v>
      </c>
      <c r="AF27" s="6">
        <f t="shared" si="22"/>
        <v>60197.866666666669</v>
      </c>
      <c r="AG27" s="6">
        <f t="shared" si="22"/>
        <v>56435.5</v>
      </c>
      <c r="AH27" s="6">
        <f t="shared" si="22"/>
        <v>50791.950000000004</v>
      </c>
      <c r="AI27" s="6">
        <f t="shared" si="22"/>
        <v>45148.4</v>
      </c>
      <c r="AJ27" s="6">
        <f t="shared" si="22"/>
        <v>39504.85</v>
      </c>
      <c r="AK27" s="6">
        <f t="shared" si="22"/>
        <v>33861.300000000003</v>
      </c>
      <c r="AL27" s="6">
        <f t="shared" si="22"/>
        <v>28217.75</v>
      </c>
      <c r="AM27" s="6">
        <f t="shared" si="22"/>
        <v>22574.2</v>
      </c>
      <c r="AN27" s="6">
        <f t="shared" si="22"/>
        <v>16930.650000000001</v>
      </c>
      <c r="AO27" s="6">
        <f t="shared" si="22"/>
        <v>11287.1</v>
      </c>
      <c r="AP27" s="6">
        <f t="shared" si="22"/>
        <v>5643.55</v>
      </c>
      <c r="AQ27" s="6">
        <f t="shared" si="22"/>
        <v>0</v>
      </c>
    </row>
    <row r="28" spans="1:43" x14ac:dyDescent="0.35">
      <c r="B28" t="s">
        <v>86</v>
      </c>
      <c r="C28" s="30">
        <v>0.6</v>
      </c>
      <c r="D28" s="6">
        <f>(D11/$C$28)*D$19</f>
        <v>93898.000000000015</v>
      </c>
      <c r="E28" s="6">
        <f t="shared" ref="E28:AQ28" si="23">(E11/$C$28)*E$19</f>
        <v>93854</v>
      </c>
      <c r="F28" s="6">
        <f t="shared" si="23"/>
        <v>93734</v>
      </c>
      <c r="G28" s="6">
        <f t="shared" si="23"/>
        <v>106740</v>
      </c>
      <c r="H28" s="6">
        <f t="shared" si="23"/>
        <v>114176</v>
      </c>
      <c r="I28" s="6">
        <f t="shared" si="23"/>
        <v>107548.00000000001</v>
      </c>
      <c r="J28" s="6">
        <f t="shared" si="23"/>
        <v>102328.35820895522</v>
      </c>
      <c r="K28" s="6">
        <f t="shared" si="23"/>
        <v>110893.97590361447</v>
      </c>
      <c r="L28" s="6">
        <f t="shared" si="23"/>
        <v>112534.00000000001</v>
      </c>
      <c r="M28" s="6">
        <f t="shared" si="23"/>
        <v>95950.000000000015</v>
      </c>
      <c r="N28" s="6">
        <f t="shared" si="23"/>
        <v>110658.43333333333</v>
      </c>
      <c r="O28" s="6">
        <f t="shared" si="23"/>
        <v>108782.86666666667</v>
      </c>
      <c r="P28" s="6">
        <f t="shared" si="23"/>
        <v>106907.3</v>
      </c>
      <c r="Q28" s="6">
        <f t="shared" si="23"/>
        <v>105031.73333333335</v>
      </c>
      <c r="R28" s="6">
        <f t="shared" si="23"/>
        <v>103156.16666666669</v>
      </c>
      <c r="S28" s="6">
        <f t="shared" si="23"/>
        <v>101280.60000000002</v>
      </c>
      <c r="T28" s="6">
        <f t="shared" si="23"/>
        <v>99405.033333333355</v>
      </c>
      <c r="U28" s="6">
        <f t="shared" si="23"/>
        <v>97529.466666666674</v>
      </c>
      <c r="V28" s="6">
        <f t="shared" si="23"/>
        <v>95653.900000000009</v>
      </c>
      <c r="W28" s="6">
        <f t="shared" si="23"/>
        <v>93778.333333333343</v>
      </c>
      <c r="X28" s="6">
        <f t="shared" si="23"/>
        <v>90027.200000000012</v>
      </c>
      <c r="Y28" s="6">
        <f t="shared" si="23"/>
        <v>86276.06666666668</v>
      </c>
      <c r="Z28" s="6">
        <f t="shared" si="23"/>
        <v>82524.933333333349</v>
      </c>
      <c r="AA28" s="6">
        <f t="shared" si="23"/>
        <v>78773.8</v>
      </c>
      <c r="AB28" s="6">
        <f t="shared" si="23"/>
        <v>75022.666666666672</v>
      </c>
      <c r="AC28" s="6">
        <f t="shared" si="23"/>
        <v>71271.53333333334</v>
      </c>
      <c r="AD28" s="6">
        <f t="shared" si="23"/>
        <v>67520.400000000009</v>
      </c>
      <c r="AE28" s="6">
        <f t="shared" si="23"/>
        <v>63769.266666666677</v>
      </c>
      <c r="AF28" s="6">
        <f t="shared" si="23"/>
        <v>60018.133333333339</v>
      </c>
      <c r="AG28" s="6">
        <f t="shared" si="23"/>
        <v>56267.000000000007</v>
      </c>
      <c r="AH28" s="6">
        <f t="shared" si="23"/>
        <v>50640.30000000001</v>
      </c>
      <c r="AI28" s="6">
        <f t="shared" si="23"/>
        <v>45013.600000000006</v>
      </c>
      <c r="AJ28" s="6">
        <f t="shared" si="23"/>
        <v>39386.9</v>
      </c>
      <c r="AK28" s="6">
        <f t="shared" si="23"/>
        <v>33760.200000000004</v>
      </c>
      <c r="AL28" s="6">
        <f t="shared" si="23"/>
        <v>28133.500000000004</v>
      </c>
      <c r="AM28" s="6">
        <f t="shared" si="23"/>
        <v>22506.800000000003</v>
      </c>
      <c r="AN28" s="6">
        <f t="shared" si="23"/>
        <v>16880.100000000002</v>
      </c>
      <c r="AO28" s="6">
        <f t="shared" si="23"/>
        <v>11253.400000000001</v>
      </c>
      <c r="AP28" s="6">
        <f t="shared" si="23"/>
        <v>5626.7000000000007</v>
      </c>
      <c r="AQ28" s="6">
        <f t="shared" si="23"/>
        <v>0</v>
      </c>
    </row>
    <row r="29" spans="1:43" x14ac:dyDescent="0.35">
      <c r="B29" t="s">
        <v>87</v>
      </c>
      <c r="C29" s="30">
        <v>0.9</v>
      </c>
      <c r="D29" s="6">
        <f>(D12/$C$29)*D$18</f>
        <v>1593548</v>
      </c>
      <c r="E29" s="6">
        <f t="shared" ref="E29:AQ29" si="24">(E12/$C$29)*E$18</f>
        <v>1543256</v>
      </c>
      <c r="F29" s="6">
        <f t="shared" si="24"/>
        <v>1416486</v>
      </c>
      <c r="G29" s="6">
        <f t="shared" si="24"/>
        <v>1411956</v>
      </c>
      <c r="H29" s="6">
        <f t="shared" si="24"/>
        <v>1414120</v>
      </c>
      <c r="I29" s="6">
        <f t="shared" si="24"/>
        <v>1437050</v>
      </c>
      <c r="J29" s="6">
        <f t="shared" si="24"/>
        <v>1420698.5074626864</v>
      </c>
      <c r="K29" s="6">
        <f>(K12/$C$29)*K$18</f>
        <v>1411461.4457831327</v>
      </c>
      <c r="L29" s="6">
        <f t="shared" si="24"/>
        <v>1411608</v>
      </c>
      <c r="M29" s="6">
        <f t="shared" si="24"/>
        <v>1296381</v>
      </c>
      <c r="N29" s="6">
        <f t="shared" si="24"/>
        <v>1395923.4666666666</v>
      </c>
      <c r="O29" s="6">
        <f>(O12/$C$29)*O$18</f>
        <v>1380238.9333333333</v>
      </c>
      <c r="P29" s="6">
        <f t="shared" si="24"/>
        <v>1364554.4</v>
      </c>
      <c r="Q29" s="6">
        <f t="shared" si="24"/>
        <v>1348869.8666666665</v>
      </c>
      <c r="R29" s="6">
        <f t="shared" si="24"/>
        <v>1333185.3333333333</v>
      </c>
      <c r="S29" s="6">
        <f t="shared" si="24"/>
        <v>1317500.7999999998</v>
      </c>
      <c r="T29" s="6">
        <f t="shared" si="24"/>
        <v>1301816.2666666666</v>
      </c>
      <c r="U29" s="6">
        <f t="shared" si="24"/>
        <v>1286131.7333333332</v>
      </c>
      <c r="V29" s="6">
        <f t="shared" si="24"/>
        <v>1270447.2</v>
      </c>
      <c r="W29" s="6">
        <f t="shared" si="24"/>
        <v>1254762.6666666667</v>
      </c>
      <c r="X29" s="6">
        <f t="shared" si="24"/>
        <v>1223393.6000000001</v>
      </c>
      <c r="Y29" s="6">
        <f t="shared" si="24"/>
        <v>1192024.5333333332</v>
      </c>
      <c r="Z29" s="6">
        <f t="shared" si="24"/>
        <v>1160655.4666666666</v>
      </c>
      <c r="AA29" s="6">
        <f t="shared" si="24"/>
        <v>1129286.3999999999</v>
      </c>
      <c r="AB29" s="6">
        <f t="shared" si="24"/>
        <v>1097917.3333333333</v>
      </c>
      <c r="AC29" s="6">
        <f t="shared" si="24"/>
        <v>1066548.2666666666</v>
      </c>
      <c r="AD29" s="6">
        <f t="shared" si="24"/>
        <v>1035179.2</v>
      </c>
      <c r="AE29" s="6">
        <f t="shared" si="24"/>
        <v>1003810.1333333333</v>
      </c>
      <c r="AF29" s="6">
        <f t="shared" si="24"/>
        <v>972441.06666666665</v>
      </c>
      <c r="AG29" s="6">
        <f t="shared" si="24"/>
        <v>941071.99999999988</v>
      </c>
      <c r="AH29" s="6">
        <f t="shared" si="24"/>
        <v>894018.39999999991</v>
      </c>
      <c r="AI29" s="6">
        <f t="shared" si="24"/>
        <v>846964.8</v>
      </c>
      <c r="AJ29" s="6">
        <f t="shared" si="24"/>
        <v>799911.2</v>
      </c>
      <c r="AK29" s="6">
        <f t="shared" si="24"/>
        <v>752857.59999999998</v>
      </c>
      <c r="AL29" s="6">
        <f t="shared" si="24"/>
        <v>705804</v>
      </c>
      <c r="AM29" s="6">
        <f t="shared" si="24"/>
        <v>658750.39999999991</v>
      </c>
      <c r="AN29" s="6">
        <f t="shared" si="24"/>
        <v>611696.80000000005</v>
      </c>
      <c r="AO29" s="6">
        <f t="shared" si="24"/>
        <v>564643.19999999995</v>
      </c>
      <c r="AP29" s="6">
        <f t="shared" si="24"/>
        <v>517589.6</v>
      </c>
      <c r="AQ29" s="6">
        <f t="shared" si="24"/>
        <v>470535.99999999994</v>
      </c>
    </row>
    <row r="30" spans="1:43" x14ac:dyDescent="0.35">
      <c r="B30" t="s">
        <v>88</v>
      </c>
      <c r="C30" s="30">
        <v>0.9</v>
      </c>
      <c r="D30" s="6">
        <f>(D13/$C$30)*D$18</f>
        <v>38668</v>
      </c>
      <c r="E30" s="6">
        <f t="shared" ref="E30:AQ30" si="25">(E13/$C$30)*E$18</f>
        <v>39882</v>
      </c>
      <c r="F30" s="6">
        <f t="shared" si="25"/>
        <v>40676</v>
      </c>
      <c r="G30" s="6">
        <f t="shared" si="25"/>
        <v>41372</v>
      </c>
      <c r="H30" s="6">
        <f t="shared" si="25"/>
        <v>43196</v>
      </c>
      <c r="I30" s="6">
        <f t="shared" si="25"/>
        <v>43062</v>
      </c>
      <c r="J30" s="6">
        <f t="shared" si="25"/>
        <v>40737.313432835814</v>
      </c>
      <c r="K30" s="6">
        <f t="shared" si="25"/>
        <v>40597.590361445786</v>
      </c>
      <c r="L30" s="6">
        <f t="shared" si="25"/>
        <v>38722</v>
      </c>
      <c r="M30" s="6">
        <f>(M13/$C$30)*M$18</f>
        <v>36377</v>
      </c>
      <c r="N30" s="6">
        <f t="shared" si="25"/>
        <v>38291.755555555559</v>
      </c>
      <c r="O30" s="6">
        <f t="shared" si="25"/>
        <v>37861.511111111111</v>
      </c>
      <c r="P30" s="6">
        <f t="shared" si="25"/>
        <v>37431.26666666667</v>
      </c>
      <c r="Q30" s="6">
        <f t="shared" si="25"/>
        <v>37001.022222222222</v>
      </c>
      <c r="R30" s="6">
        <f t="shared" si="25"/>
        <v>36570.777777777781</v>
      </c>
      <c r="S30" s="6">
        <f t="shared" si="25"/>
        <v>36140.533333333333</v>
      </c>
      <c r="T30" s="6">
        <f t="shared" si="25"/>
        <v>35710.288888888885</v>
      </c>
      <c r="U30" s="6">
        <f t="shared" si="25"/>
        <v>35280.044444444444</v>
      </c>
      <c r="V30" s="6">
        <f t="shared" si="25"/>
        <v>34849.800000000003</v>
      </c>
      <c r="W30" s="6">
        <f t="shared" si="25"/>
        <v>34419.555555555555</v>
      </c>
      <c r="X30" s="6">
        <f t="shared" si="25"/>
        <v>33559.066666666666</v>
      </c>
      <c r="Y30" s="6">
        <f t="shared" si="25"/>
        <v>32698.57777777778</v>
      </c>
      <c r="Z30" s="6">
        <f t="shared" si="25"/>
        <v>31838.088888888888</v>
      </c>
      <c r="AA30" s="6">
        <f t="shared" si="25"/>
        <v>30977.599999999999</v>
      </c>
      <c r="AB30" s="6">
        <f t="shared" si="25"/>
        <v>30117.111111111109</v>
      </c>
      <c r="AC30" s="6">
        <f t="shared" si="25"/>
        <v>29256.622222222224</v>
      </c>
      <c r="AD30" s="6">
        <f t="shared" si="25"/>
        <v>28396.133333333335</v>
      </c>
      <c r="AE30" s="6">
        <f t="shared" si="25"/>
        <v>27535.644444444446</v>
      </c>
      <c r="AF30" s="6">
        <f t="shared" si="25"/>
        <v>26675.155555555557</v>
      </c>
      <c r="AG30" s="6">
        <f t="shared" si="25"/>
        <v>25814.666666666668</v>
      </c>
      <c r="AH30" s="6">
        <f t="shared" si="25"/>
        <v>24523.933333333331</v>
      </c>
      <c r="AI30" s="6">
        <f t="shared" si="25"/>
        <v>23233.200000000001</v>
      </c>
      <c r="AJ30" s="6">
        <f t="shared" si="25"/>
        <v>21942.466666666667</v>
      </c>
      <c r="AK30" s="6">
        <f t="shared" si="25"/>
        <v>20651.733333333334</v>
      </c>
      <c r="AL30" s="6">
        <f t="shared" si="25"/>
        <v>19361</v>
      </c>
      <c r="AM30" s="6">
        <f t="shared" si="25"/>
        <v>18070.266666666666</v>
      </c>
      <c r="AN30" s="6">
        <f t="shared" si="25"/>
        <v>16779.533333333333</v>
      </c>
      <c r="AO30" s="6">
        <f t="shared" si="25"/>
        <v>15488.8</v>
      </c>
      <c r="AP30" s="6">
        <f t="shared" si="25"/>
        <v>14198.066666666668</v>
      </c>
      <c r="AQ30" s="6">
        <f t="shared" si="25"/>
        <v>12907.333333333334</v>
      </c>
    </row>
    <row r="31" spans="1:43" x14ac:dyDescent="0.35">
      <c r="B31" t="s">
        <v>89</v>
      </c>
      <c r="C31" s="111">
        <v>0.6</v>
      </c>
      <c r="D31" s="6">
        <f>(D14/$C$31)*D$19</f>
        <v>201516</v>
      </c>
      <c r="E31" s="6">
        <f t="shared" ref="E31:L31" si="26">(E14/$C$31)*E$19</f>
        <v>202694.00000000003</v>
      </c>
      <c r="F31" s="6">
        <f t="shared" si="26"/>
        <v>209980</v>
      </c>
      <c r="G31" s="6">
        <f t="shared" si="26"/>
        <v>202896</v>
      </c>
      <c r="H31" s="6">
        <f t="shared" si="26"/>
        <v>204046</v>
      </c>
      <c r="I31" s="6">
        <f t="shared" si="26"/>
        <v>189340</v>
      </c>
      <c r="J31" s="6">
        <f t="shared" si="26"/>
        <v>197943.28358208956</v>
      </c>
      <c r="K31" s="6">
        <f t="shared" si="26"/>
        <v>204806.02409638558</v>
      </c>
      <c r="L31" s="6">
        <f t="shared" si="26"/>
        <v>194202</v>
      </c>
      <c r="M31" s="6">
        <f>(M14/$C$31)*M$19</f>
        <v>182349</v>
      </c>
      <c r="N31" s="6">
        <f t="shared" ref="N31:AQ31" si="27">(N14/$C$31)*N$19</f>
        <v>190965.3</v>
      </c>
      <c r="O31" s="6">
        <f t="shared" si="27"/>
        <v>176270.69999999998</v>
      </c>
      <c r="P31" s="6">
        <f t="shared" si="27"/>
        <v>184491.9</v>
      </c>
      <c r="Q31" s="6">
        <f t="shared" si="27"/>
        <v>170192.40000000002</v>
      </c>
      <c r="R31" s="6">
        <f t="shared" si="27"/>
        <v>178018.5</v>
      </c>
      <c r="S31" s="6">
        <f t="shared" si="27"/>
        <v>164114.1</v>
      </c>
      <c r="T31" s="6">
        <f t="shared" si="27"/>
        <v>171545.1</v>
      </c>
      <c r="U31" s="6">
        <f t="shared" si="27"/>
        <v>158035.80000000002</v>
      </c>
      <c r="V31" s="6">
        <f t="shared" si="27"/>
        <v>165071.70000000001</v>
      </c>
      <c r="W31" s="6">
        <f t="shared" si="27"/>
        <v>151957.5</v>
      </c>
      <c r="X31" s="6">
        <f t="shared" si="27"/>
        <v>155361.60000000001</v>
      </c>
      <c r="Y31" s="6">
        <f t="shared" si="27"/>
        <v>139800.9</v>
      </c>
      <c r="Z31" s="6">
        <f t="shared" si="27"/>
        <v>142414.79999999999</v>
      </c>
      <c r="AA31" s="6">
        <f t="shared" si="27"/>
        <v>127644.29999999999</v>
      </c>
      <c r="AB31" s="6">
        <f t="shared" si="27"/>
        <v>129468</v>
      </c>
      <c r="AC31" s="6">
        <f t="shared" si="27"/>
        <v>115487.7</v>
      </c>
      <c r="AD31" s="6">
        <f t="shared" si="27"/>
        <v>116521.2</v>
      </c>
      <c r="AE31" s="6">
        <f t="shared" si="27"/>
        <v>103331.1</v>
      </c>
      <c r="AF31" s="6">
        <f t="shared" si="27"/>
        <v>103574.40000000001</v>
      </c>
      <c r="AG31" s="6">
        <f t="shared" si="27"/>
        <v>91174.5</v>
      </c>
      <c r="AH31" s="6">
        <f t="shared" si="27"/>
        <v>87390.900000000009</v>
      </c>
      <c r="AI31" s="6">
        <f t="shared" si="27"/>
        <v>72939.599999999991</v>
      </c>
      <c r="AJ31" s="6">
        <f t="shared" si="27"/>
        <v>67970.7</v>
      </c>
      <c r="AK31" s="6">
        <f t="shared" si="27"/>
        <v>54704.7</v>
      </c>
      <c r="AL31" s="6">
        <f t="shared" si="27"/>
        <v>48550.5</v>
      </c>
      <c r="AM31" s="6">
        <f t="shared" si="27"/>
        <v>36469.799999999996</v>
      </c>
      <c r="AN31" s="6">
        <f t="shared" si="27"/>
        <v>29130.3</v>
      </c>
      <c r="AO31" s="6">
        <f t="shared" si="27"/>
        <v>18234.899999999998</v>
      </c>
      <c r="AP31" s="6">
        <f t="shared" si="27"/>
        <v>9710.1</v>
      </c>
      <c r="AQ31" s="6">
        <f t="shared" si="27"/>
        <v>0</v>
      </c>
    </row>
    <row r="32" spans="1:43" s="73" customFormat="1" ht="15" thickBot="1" x14ac:dyDescent="0.4">
      <c r="B32" s="73" t="s">
        <v>90</v>
      </c>
      <c r="D32" s="110">
        <f>SUM(D20:D31)</f>
        <v>8133386</v>
      </c>
      <c r="E32" s="110">
        <f t="shared" ref="E32:AQ32" si="28">SUM(E20:E31)</f>
        <v>8114678</v>
      </c>
      <c r="F32" s="110">
        <f t="shared" si="28"/>
        <v>10835574</v>
      </c>
      <c r="G32" s="110">
        <f t="shared" si="28"/>
        <v>10163270</v>
      </c>
      <c r="H32" s="110">
        <f t="shared" si="28"/>
        <v>9938726</v>
      </c>
      <c r="I32" s="110">
        <f t="shared" si="28"/>
        <v>9814782</v>
      </c>
      <c r="J32" s="110">
        <f t="shared" si="28"/>
        <v>9567783.5820895508</v>
      </c>
      <c r="K32" s="110">
        <f t="shared" si="28"/>
        <v>9325577.1084337346</v>
      </c>
      <c r="L32" s="110">
        <f t="shared" si="28"/>
        <v>9482779</v>
      </c>
      <c r="M32" s="110">
        <f t="shared" si="28"/>
        <v>8915722</v>
      </c>
      <c r="N32" s="110">
        <f t="shared" si="28"/>
        <v>8450748.1388888899</v>
      </c>
      <c r="O32" s="110">
        <f t="shared" si="28"/>
        <v>8341659.3777777785</v>
      </c>
      <c r="P32" s="110">
        <f t="shared" si="28"/>
        <v>8255486.416666667</v>
      </c>
      <c r="Q32" s="110">
        <f t="shared" si="28"/>
        <v>7000126.0888888882</v>
      </c>
      <c r="R32" s="110">
        <f t="shared" si="28"/>
        <v>6926891.361111111</v>
      </c>
      <c r="S32" s="110">
        <f t="shared" si="28"/>
        <v>6831926.1333333328</v>
      </c>
      <c r="T32" s="110">
        <f t="shared" si="28"/>
        <v>6758296.3055555541</v>
      </c>
      <c r="U32" s="110">
        <f t="shared" si="28"/>
        <v>6663726.1777777774</v>
      </c>
      <c r="V32" s="110">
        <f t="shared" si="28"/>
        <v>6589701.2500000009</v>
      </c>
      <c r="W32" s="110">
        <f t="shared" si="28"/>
        <v>6495526.222222222</v>
      </c>
      <c r="X32" s="110">
        <f t="shared" si="28"/>
        <v>6336808.666666666</v>
      </c>
      <c r="Y32" s="110">
        <f t="shared" si="28"/>
        <v>6159126.3111111121</v>
      </c>
      <c r="Z32" s="110">
        <f t="shared" si="28"/>
        <v>5999618.555555555</v>
      </c>
      <c r="AA32" s="110">
        <f t="shared" si="28"/>
        <v>5822726.3999999994</v>
      </c>
      <c r="AB32" s="110">
        <f t="shared" si="28"/>
        <v>5662428.444444444</v>
      </c>
      <c r="AC32" s="110">
        <f t="shared" si="28"/>
        <v>5486326.4888888886</v>
      </c>
      <c r="AD32" s="110">
        <f t="shared" si="28"/>
        <v>5325238.333333334</v>
      </c>
      <c r="AE32" s="110">
        <f t="shared" si="28"/>
        <v>5149926.5777777769</v>
      </c>
      <c r="AF32" s="110">
        <f t="shared" si="28"/>
        <v>4988048.2222222229</v>
      </c>
      <c r="AG32" s="110">
        <f t="shared" si="28"/>
        <v>4813526.666666667</v>
      </c>
      <c r="AH32" s="110">
        <f t="shared" si="28"/>
        <v>4566560.583333334</v>
      </c>
      <c r="AI32" s="110">
        <f t="shared" si="28"/>
        <v>4308926.8</v>
      </c>
      <c r="AJ32" s="110">
        <f t="shared" si="28"/>
        <v>4060775.416666667</v>
      </c>
      <c r="AK32" s="110">
        <f t="shared" si="28"/>
        <v>3804326.9333333336</v>
      </c>
      <c r="AL32" s="110">
        <f t="shared" si="28"/>
        <v>3554990.25</v>
      </c>
      <c r="AM32" s="110">
        <f t="shared" si="28"/>
        <v>3299727.0666666664</v>
      </c>
      <c r="AN32" s="110">
        <f t="shared" si="28"/>
        <v>3049205.083333333</v>
      </c>
      <c r="AO32" s="110">
        <f t="shared" si="28"/>
        <v>2795127.1999999997</v>
      </c>
      <c r="AP32" s="110">
        <f t="shared" si="28"/>
        <v>2543419.916666667</v>
      </c>
      <c r="AQ32" s="110">
        <f t="shared" si="28"/>
        <v>2290527.3333333335</v>
      </c>
    </row>
    <row r="33" spans="1:43" ht="15" thickTop="1" x14ac:dyDescent="0.35"/>
    <row r="34" spans="1:43" s="59" customFormat="1" ht="16.5" customHeight="1" x14ac:dyDescent="0.35">
      <c r="A34" s="58" t="s">
        <v>306</v>
      </c>
    </row>
    <row r="35" spans="1:43" x14ac:dyDescent="0.35">
      <c r="B35" t="s">
        <v>78</v>
      </c>
      <c r="C35" s="24">
        <v>1</v>
      </c>
      <c r="D35" s="24">
        <v>1</v>
      </c>
      <c r="E35" s="24">
        <v>1</v>
      </c>
      <c r="F35" s="24">
        <v>1</v>
      </c>
      <c r="G35" s="24">
        <v>1</v>
      </c>
      <c r="H35" s="24">
        <v>1</v>
      </c>
      <c r="I35" s="24">
        <v>1</v>
      </c>
      <c r="J35" s="24">
        <v>1</v>
      </c>
      <c r="K35" s="24">
        <v>1</v>
      </c>
      <c r="L35" s="24">
        <v>1</v>
      </c>
      <c r="M35" s="24">
        <v>1</v>
      </c>
      <c r="N35" s="107">
        <v>1</v>
      </c>
      <c r="O35" s="107">
        <v>1</v>
      </c>
      <c r="P35" s="107">
        <v>1</v>
      </c>
      <c r="Q35" s="107">
        <v>1</v>
      </c>
      <c r="R35" s="107">
        <v>1</v>
      </c>
      <c r="S35" s="107">
        <v>1</v>
      </c>
      <c r="T35" s="107">
        <v>1</v>
      </c>
      <c r="U35" s="107">
        <v>1</v>
      </c>
      <c r="V35" s="107">
        <v>1</v>
      </c>
      <c r="W35" s="107">
        <v>1</v>
      </c>
      <c r="X35" s="107">
        <v>1</v>
      </c>
      <c r="Y35" s="107">
        <v>1</v>
      </c>
      <c r="Z35" s="107">
        <v>1</v>
      </c>
      <c r="AA35" s="107">
        <v>1</v>
      </c>
      <c r="AB35" s="107">
        <v>1</v>
      </c>
      <c r="AC35" s="107">
        <v>1</v>
      </c>
      <c r="AD35" s="107">
        <v>1</v>
      </c>
      <c r="AE35" s="107">
        <v>1</v>
      </c>
      <c r="AF35" s="107">
        <v>1</v>
      </c>
      <c r="AG35" s="107">
        <v>1</v>
      </c>
      <c r="AH35" s="107">
        <v>1</v>
      </c>
      <c r="AI35" s="107">
        <v>1</v>
      </c>
      <c r="AJ35" s="107">
        <v>1</v>
      </c>
      <c r="AK35" s="107">
        <v>1</v>
      </c>
      <c r="AL35" s="107">
        <v>1</v>
      </c>
      <c r="AM35" s="107">
        <v>1</v>
      </c>
      <c r="AN35" s="107">
        <v>1</v>
      </c>
      <c r="AO35" s="107">
        <v>1</v>
      </c>
      <c r="AP35" s="107">
        <v>1</v>
      </c>
      <c r="AQ35" s="107">
        <v>1</v>
      </c>
    </row>
    <row r="36" spans="1:43" x14ac:dyDescent="0.35">
      <c r="B36" t="s">
        <v>79</v>
      </c>
      <c r="C36" s="24">
        <v>1</v>
      </c>
      <c r="D36" s="24">
        <v>1</v>
      </c>
      <c r="E36" s="24">
        <v>1</v>
      </c>
      <c r="F36" s="24">
        <v>0.9</v>
      </c>
      <c r="G36" s="24">
        <v>0.9</v>
      </c>
      <c r="H36" s="24">
        <v>0.9</v>
      </c>
      <c r="I36" s="24">
        <v>0.9</v>
      </c>
      <c r="J36" s="24">
        <v>0.9</v>
      </c>
      <c r="K36" s="24">
        <v>0.9</v>
      </c>
      <c r="L36" s="24">
        <v>1</v>
      </c>
      <c r="M36" s="24">
        <v>0.95</v>
      </c>
      <c r="N36" s="107">
        <v>0.9</v>
      </c>
      <c r="O36" s="107">
        <v>0.9</v>
      </c>
      <c r="P36" s="107">
        <v>0.9</v>
      </c>
      <c r="Q36" s="107">
        <v>0.9</v>
      </c>
      <c r="R36" s="107">
        <v>0.9</v>
      </c>
      <c r="S36" s="107">
        <v>0.9</v>
      </c>
      <c r="T36" s="107">
        <v>0.9</v>
      </c>
      <c r="U36" s="107">
        <v>0.9</v>
      </c>
      <c r="V36" s="107">
        <v>0.9</v>
      </c>
      <c r="W36" s="107">
        <v>0.9</v>
      </c>
      <c r="X36" s="107">
        <v>0.9</v>
      </c>
      <c r="Y36" s="107">
        <v>0.9</v>
      </c>
      <c r="Z36" s="107">
        <v>0.9</v>
      </c>
      <c r="AA36" s="107">
        <v>0.9</v>
      </c>
      <c r="AB36" s="107">
        <v>0.9</v>
      </c>
      <c r="AC36" s="107">
        <v>0.9</v>
      </c>
      <c r="AD36" s="107">
        <v>0.9</v>
      </c>
      <c r="AE36" s="107">
        <v>0.9</v>
      </c>
      <c r="AF36" s="107">
        <v>0.9</v>
      </c>
      <c r="AG36" s="107">
        <v>0.9</v>
      </c>
      <c r="AH36" s="107">
        <v>0.9</v>
      </c>
      <c r="AI36" s="107">
        <v>0.9</v>
      </c>
      <c r="AJ36" s="107">
        <v>0.9</v>
      </c>
      <c r="AK36" s="107">
        <v>0.9</v>
      </c>
      <c r="AL36" s="107">
        <v>0.9</v>
      </c>
      <c r="AM36" s="107">
        <v>0.9</v>
      </c>
      <c r="AN36" s="107">
        <v>0.9</v>
      </c>
      <c r="AO36" s="107">
        <v>0.9</v>
      </c>
      <c r="AP36" s="107">
        <v>0.9</v>
      </c>
      <c r="AQ36" s="107">
        <v>0.9</v>
      </c>
    </row>
    <row r="37" spans="1:43" x14ac:dyDescent="0.35">
      <c r="B37" t="s">
        <v>80</v>
      </c>
      <c r="C37" s="24">
        <v>0.5</v>
      </c>
      <c r="D37" s="24">
        <v>0.5</v>
      </c>
      <c r="E37" s="24">
        <v>0.8</v>
      </c>
      <c r="F37" s="24">
        <v>0.9</v>
      </c>
      <c r="G37" s="24">
        <v>1</v>
      </c>
      <c r="H37" s="24">
        <v>1</v>
      </c>
      <c r="I37" s="24">
        <v>1</v>
      </c>
      <c r="J37" s="24">
        <v>1</v>
      </c>
      <c r="K37" s="24">
        <v>1</v>
      </c>
      <c r="L37" s="24">
        <v>1</v>
      </c>
      <c r="M37" s="24">
        <v>1</v>
      </c>
      <c r="N37" s="107">
        <v>0.8</v>
      </c>
      <c r="O37" s="107">
        <v>0.8</v>
      </c>
      <c r="P37" s="107">
        <v>0.8</v>
      </c>
      <c r="Q37" s="107">
        <v>0.8</v>
      </c>
      <c r="R37" s="107">
        <v>0.8</v>
      </c>
      <c r="S37" s="107">
        <v>0.8</v>
      </c>
      <c r="T37" s="107">
        <v>0.8</v>
      </c>
      <c r="U37" s="107">
        <v>0.8</v>
      </c>
      <c r="V37" s="107">
        <v>0.8</v>
      </c>
      <c r="W37" s="107">
        <v>0.4</v>
      </c>
      <c r="X37" s="107">
        <v>0.4</v>
      </c>
      <c r="Y37" s="107">
        <v>0.4</v>
      </c>
      <c r="Z37" s="107">
        <v>0.4</v>
      </c>
      <c r="AA37" s="107">
        <v>0.4</v>
      </c>
      <c r="AB37" s="107">
        <v>0.4</v>
      </c>
      <c r="AC37" s="107">
        <v>0.4</v>
      </c>
      <c r="AD37" s="107">
        <v>0.4</v>
      </c>
      <c r="AE37" s="107">
        <v>0.4</v>
      </c>
      <c r="AF37" s="107">
        <v>0.4</v>
      </c>
      <c r="AG37" s="107">
        <v>0</v>
      </c>
      <c r="AH37" s="107">
        <v>0</v>
      </c>
      <c r="AI37" s="107">
        <v>0</v>
      </c>
      <c r="AJ37" s="107">
        <v>0</v>
      </c>
      <c r="AK37" s="107">
        <v>0</v>
      </c>
      <c r="AL37" s="107">
        <v>0</v>
      </c>
      <c r="AM37" s="107">
        <v>0</v>
      </c>
      <c r="AN37" s="107">
        <v>0</v>
      </c>
      <c r="AO37" s="107">
        <v>0</v>
      </c>
      <c r="AP37" s="107">
        <v>0</v>
      </c>
      <c r="AQ37" s="107">
        <v>0</v>
      </c>
    </row>
    <row r="38" spans="1:43" x14ac:dyDescent="0.35">
      <c r="B38" t="s">
        <v>81</v>
      </c>
      <c r="C38" s="24">
        <v>0</v>
      </c>
      <c r="D38" s="24">
        <v>0</v>
      </c>
      <c r="E38" s="24">
        <v>0</v>
      </c>
      <c r="F38" s="24">
        <v>0</v>
      </c>
      <c r="G38" s="24">
        <v>0</v>
      </c>
      <c r="H38" s="24">
        <v>0</v>
      </c>
      <c r="I38" s="24">
        <v>0</v>
      </c>
      <c r="J38" s="24">
        <v>0</v>
      </c>
      <c r="K38" s="24">
        <v>0</v>
      </c>
      <c r="L38" s="24">
        <v>0</v>
      </c>
      <c r="M38" s="24">
        <v>0</v>
      </c>
      <c r="N38" s="107">
        <v>0</v>
      </c>
      <c r="O38" s="107">
        <v>0</v>
      </c>
      <c r="P38" s="107">
        <v>0</v>
      </c>
      <c r="Q38" s="107">
        <v>0</v>
      </c>
      <c r="R38" s="107">
        <v>0</v>
      </c>
      <c r="S38" s="107">
        <v>0</v>
      </c>
      <c r="T38" s="107">
        <v>0</v>
      </c>
      <c r="U38" s="107">
        <v>0</v>
      </c>
      <c r="V38" s="107">
        <v>0</v>
      </c>
      <c r="W38" s="107">
        <v>0</v>
      </c>
      <c r="X38" s="107">
        <v>0</v>
      </c>
      <c r="Y38" s="107">
        <v>0</v>
      </c>
      <c r="Z38" s="107">
        <v>0</v>
      </c>
      <c r="AA38" s="107">
        <v>0</v>
      </c>
      <c r="AB38" s="107">
        <v>0</v>
      </c>
      <c r="AC38" s="107">
        <v>0</v>
      </c>
      <c r="AD38" s="107">
        <v>0</v>
      </c>
      <c r="AE38" s="107">
        <v>0</v>
      </c>
      <c r="AF38" s="107">
        <v>0</v>
      </c>
      <c r="AG38" s="107">
        <v>0</v>
      </c>
      <c r="AH38" s="107">
        <v>0</v>
      </c>
      <c r="AI38" s="107">
        <v>0</v>
      </c>
      <c r="AJ38" s="107">
        <v>0</v>
      </c>
      <c r="AK38" s="107">
        <v>0</v>
      </c>
      <c r="AL38" s="107">
        <v>0</v>
      </c>
      <c r="AM38" s="107">
        <v>0</v>
      </c>
      <c r="AN38" s="107">
        <v>0</v>
      </c>
      <c r="AO38" s="107">
        <v>0</v>
      </c>
      <c r="AP38" s="107">
        <v>0</v>
      </c>
      <c r="AQ38" s="107">
        <v>0</v>
      </c>
    </row>
    <row r="39" spans="1:43" x14ac:dyDescent="0.35">
      <c r="B39" t="s">
        <v>82</v>
      </c>
      <c r="C39" s="24">
        <v>1</v>
      </c>
      <c r="D39" s="24">
        <v>1</v>
      </c>
      <c r="E39" s="24">
        <v>1</v>
      </c>
      <c r="F39" s="24">
        <v>1</v>
      </c>
      <c r="G39" s="24">
        <v>1</v>
      </c>
      <c r="H39" s="24">
        <v>1</v>
      </c>
      <c r="I39" s="24">
        <v>1</v>
      </c>
      <c r="J39" s="24">
        <v>1</v>
      </c>
      <c r="K39" s="24">
        <v>1</v>
      </c>
      <c r="L39" s="24">
        <v>1</v>
      </c>
      <c r="M39" s="24">
        <v>1</v>
      </c>
      <c r="N39" s="107">
        <v>1</v>
      </c>
      <c r="O39" s="107">
        <v>1</v>
      </c>
      <c r="P39" s="107">
        <v>1</v>
      </c>
      <c r="Q39" s="107">
        <v>1</v>
      </c>
      <c r="R39" s="107">
        <v>1</v>
      </c>
      <c r="S39" s="107">
        <v>1</v>
      </c>
      <c r="T39" s="107">
        <v>1</v>
      </c>
      <c r="U39" s="107">
        <v>1</v>
      </c>
      <c r="V39" s="107">
        <v>1</v>
      </c>
      <c r="W39" s="107">
        <v>1</v>
      </c>
      <c r="X39" s="107">
        <v>1</v>
      </c>
      <c r="Y39" s="107">
        <v>1</v>
      </c>
      <c r="Z39" s="107">
        <v>1</v>
      </c>
      <c r="AA39" s="107">
        <v>1</v>
      </c>
      <c r="AB39" s="107">
        <v>1</v>
      </c>
      <c r="AC39" s="107">
        <v>1</v>
      </c>
      <c r="AD39" s="107">
        <v>1</v>
      </c>
      <c r="AE39" s="107">
        <v>1</v>
      </c>
      <c r="AF39" s="107">
        <v>1</v>
      </c>
      <c r="AG39" s="107">
        <v>1</v>
      </c>
      <c r="AH39" s="107">
        <v>1</v>
      </c>
      <c r="AI39" s="107">
        <v>1</v>
      </c>
      <c r="AJ39" s="107">
        <v>1</v>
      </c>
      <c r="AK39" s="107">
        <v>1</v>
      </c>
      <c r="AL39" s="107">
        <v>1</v>
      </c>
      <c r="AM39" s="107">
        <v>1</v>
      </c>
      <c r="AN39" s="107">
        <v>1</v>
      </c>
      <c r="AO39" s="107">
        <v>1</v>
      </c>
      <c r="AP39" s="107">
        <v>1</v>
      </c>
      <c r="AQ39" s="107">
        <v>1</v>
      </c>
    </row>
    <row r="40" spans="1:43" x14ac:dyDescent="0.35">
      <c r="B40" t="s">
        <v>83</v>
      </c>
      <c r="C40" s="24">
        <v>1</v>
      </c>
      <c r="D40" s="24">
        <v>1</v>
      </c>
      <c r="E40" s="24">
        <v>1</v>
      </c>
      <c r="F40" s="24">
        <v>1</v>
      </c>
      <c r="G40" s="24">
        <v>1</v>
      </c>
      <c r="H40" s="24">
        <v>1</v>
      </c>
      <c r="I40" s="24">
        <v>1</v>
      </c>
      <c r="J40" s="24">
        <v>1</v>
      </c>
      <c r="K40" s="24">
        <v>1</v>
      </c>
      <c r="L40" s="24">
        <v>1</v>
      </c>
      <c r="M40" s="24">
        <v>1</v>
      </c>
      <c r="N40" s="107">
        <v>1</v>
      </c>
      <c r="O40" s="107">
        <v>1</v>
      </c>
      <c r="P40" s="107">
        <v>1</v>
      </c>
      <c r="Q40" s="107">
        <v>1</v>
      </c>
      <c r="R40" s="107">
        <v>1</v>
      </c>
      <c r="S40" s="107">
        <v>1</v>
      </c>
      <c r="T40" s="107">
        <v>1</v>
      </c>
      <c r="U40" s="107">
        <v>1</v>
      </c>
      <c r="V40" s="107">
        <v>1</v>
      </c>
      <c r="W40" s="107">
        <v>1</v>
      </c>
      <c r="X40" s="107">
        <v>1</v>
      </c>
      <c r="Y40" s="107">
        <v>1</v>
      </c>
      <c r="Z40" s="107">
        <v>1</v>
      </c>
      <c r="AA40" s="107">
        <v>1</v>
      </c>
      <c r="AB40" s="107">
        <v>1</v>
      </c>
      <c r="AC40" s="107">
        <v>1</v>
      </c>
      <c r="AD40" s="107">
        <v>1</v>
      </c>
      <c r="AE40" s="107">
        <v>1</v>
      </c>
      <c r="AF40" s="107">
        <v>1</v>
      </c>
      <c r="AG40" s="107">
        <v>1</v>
      </c>
      <c r="AH40" s="107">
        <v>1</v>
      </c>
      <c r="AI40" s="107">
        <v>1</v>
      </c>
      <c r="AJ40" s="107">
        <v>1</v>
      </c>
      <c r="AK40" s="107">
        <v>1</v>
      </c>
      <c r="AL40" s="107">
        <v>1</v>
      </c>
      <c r="AM40" s="107">
        <v>1</v>
      </c>
      <c r="AN40" s="107">
        <v>1</v>
      </c>
      <c r="AO40" s="107">
        <v>1</v>
      </c>
      <c r="AP40" s="107">
        <v>1</v>
      </c>
      <c r="AQ40" s="107">
        <v>1</v>
      </c>
    </row>
    <row r="41" spans="1:43" x14ac:dyDescent="0.35">
      <c r="B41" t="s">
        <v>84</v>
      </c>
      <c r="C41" s="24">
        <v>1</v>
      </c>
      <c r="D41" s="24">
        <v>1</v>
      </c>
      <c r="E41" s="24">
        <v>1</v>
      </c>
      <c r="F41" s="24">
        <v>1</v>
      </c>
      <c r="G41" s="24">
        <v>1</v>
      </c>
      <c r="H41" s="24">
        <v>1</v>
      </c>
      <c r="I41" s="24">
        <v>1</v>
      </c>
      <c r="J41" s="24">
        <v>1</v>
      </c>
      <c r="K41" s="24">
        <v>1</v>
      </c>
      <c r="L41" s="24">
        <v>1</v>
      </c>
      <c r="M41" s="24">
        <v>1</v>
      </c>
      <c r="N41" s="107">
        <v>1</v>
      </c>
      <c r="O41" s="107">
        <v>1</v>
      </c>
      <c r="P41" s="107">
        <v>1</v>
      </c>
      <c r="Q41" s="107">
        <v>1</v>
      </c>
      <c r="R41" s="107">
        <v>1</v>
      </c>
      <c r="S41" s="107">
        <v>1</v>
      </c>
      <c r="T41" s="107">
        <v>1</v>
      </c>
      <c r="U41" s="107">
        <v>1</v>
      </c>
      <c r="V41" s="107">
        <v>1</v>
      </c>
      <c r="W41" s="107">
        <v>1</v>
      </c>
      <c r="X41" s="107">
        <v>1</v>
      </c>
      <c r="Y41" s="107">
        <v>1</v>
      </c>
      <c r="Z41" s="107">
        <v>1</v>
      </c>
      <c r="AA41" s="107">
        <v>1</v>
      </c>
      <c r="AB41" s="107">
        <v>1</v>
      </c>
      <c r="AC41" s="107">
        <v>1</v>
      </c>
      <c r="AD41" s="107">
        <v>1</v>
      </c>
      <c r="AE41" s="107">
        <v>1</v>
      </c>
      <c r="AF41" s="107">
        <v>1</v>
      </c>
      <c r="AG41" s="107">
        <v>1</v>
      </c>
      <c r="AH41" s="107">
        <v>1</v>
      </c>
      <c r="AI41" s="107">
        <v>1</v>
      </c>
      <c r="AJ41" s="107">
        <v>1</v>
      </c>
      <c r="AK41" s="107">
        <v>1</v>
      </c>
      <c r="AL41" s="107">
        <v>1</v>
      </c>
      <c r="AM41" s="107">
        <v>1</v>
      </c>
      <c r="AN41" s="107">
        <v>1</v>
      </c>
      <c r="AO41" s="107">
        <v>1</v>
      </c>
      <c r="AP41" s="107">
        <v>1</v>
      </c>
      <c r="AQ41" s="107">
        <v>1</v>
      </c>
    </row>
    <row r="42" spans="1:43" x14ac:dyDescent="0.35">
      <c r="B42" t="s">
        <v>85</v>
      </c>
      <c r="C42" s="24">
        <v>1</v>
      </c>
      <c r="D42" s="24">
        <v>1</v>
      </c>
      <c r="E42" s="24">
        <v>1</v>
      </c>
      <c r="F42" s="24">
        <v>1</v>
      </c>
      <c r="G42" s="24">
        <v>1</v>
      </c>
      <c r="H42" s="24">
        <v>1</v>
      </c>
      <c r="I42" s="24">
        <v>1</v>
      </c>
      <c r="J42" s="24">
        <v>1</v>
      </c>
      <c r="K42" s="24">
        <v>1</v>
      </c>
      <c r="L42" s="24">
        <v>1</v>
      </c>
      <c r="M42" s="24">
        <v>1</v>
      </c>
      <c r="N42" s="107">
        <v>1</v>
      </c>
      <c r="O42" s="107">
        <v>1</v>
      </c>
      <c r="P42" s="107">
        <v>1</v>
      </c>
      <c r="Q42" s="107">
        <v>1</v>
      </c>
      <c r="R42" s="107">
        <v>1</v>
      </c>
      <c r="S42" s="107">
        <v>1</v>
      </c>
      <c r="T42" s="107">
        <v>1</v>
      </c>
      <c r="U42" s="107">
        <v>1</v>
      </c>
      <c r="V42" s="107">
        <v>1</v>
      </c>
      <c r="W42" s="107">
        <v>1</v>
      </c>
      <c r="X42" s="107">
        <v>1</v>
      </c>
      <c r="Y42" s="107">
        <v>1</v>
      </c>
      <c r="Z42" s="107">
        <v>1</v>
      </c>
      <c r="AA42" s="107">
        <v>1</v>
      </c>
      <c r="AB42" s="107">
        <v>1</v>
      </c>
      <c r="AC42" s="107">
        <v>1</v>
      </c>
      <c r="AD42" s="107">
        <v>1</v>
      </c>
      <c r="AE42" s="107">
        <v>1</v>
      </c>
      <c r="AF42" s="107">
        <v>1</v>
      </c>
      <c r="AG42" s="107">
        <v>1</v>
      </c>
      <c r="AH42" s="107">
        <v>1</v>
      </c>
      <c r="AI42" s="107">
        <v>1</v>
      </c>
      <c r="AJ42" s="107">
        <v>1</v>
      </c>
      <c r="AK42" s="107">
        <v>1</v>
      </c>
      <c r="AL42" s="107">
        <v>1</v>
      </c>
      <c r="AM42" s="107">
        <v>1</v>
      </c>
      <c r="AN42" s="107">
        <v>1</v>
      </c>
      <c r="AO42" s="107">
        <v>1</v>
      </c>
      <c r="AP42" s="107">
        <v>1</v>
      </c>
      <c r="AQ42" s="107">
        <v>1</v>
      </c>
    </row>
    <row r="43" spans="1:43" x14ac:dyDescent="0.35">
      <c r="B43" t="s">
        <v>86</v>
      </c>
      <c r="C43" s="24">
        <v>1</v>
      </c>
      <c r="D43" s="24">
        <v>1</v>
      </c>
      <c r="E43" s="24">
        <v>1</v>
      </c>
      <c r="F43" s="24">
        <v>1</v>
      </c>
      <c r="G43" s="24">
        <v>1</v>
      </c>
      <c r="H43" s="24">
        <v>1</v>
      </c>
      <c r="I43" s="24">
        <v>1</v>
      </c>
      <c r="J43" s="24">
        <v>1</v>
      </c>
      <c r="K43" s="24">
        <v>1</v>
      </c>
      <c r="L43" s="24">
        <v>1</v>
      </c>
      <c r="M43" s="24">
        <v>1</v>
      </c>
      <c r="N43" s="107">
        <v>1</v>
      </c>
      <c r="O43" s="107">
        <v>1</v>
      </c>
      <c r="P43" s="107">
        <v>1</v>
      </c>
      <c r="Q43" s="107">
        <v>1</v>
      </c>
      <c r="R43" s="107">
        <v>1</v>
      </c>
      <c r="S43" s="107">
        <v>1</v>
      </c>
      <c r="T43" s="107">
        <v>1</v>
      </c>
      <c r="U43" s="107">
        <v>1</v>
      </c>
      <c r="V43" s="107">
        <v>1</v>
      </c>
      <c r="W43" s="107">
        <v>1</v>
      </c>
      <c r="X43" s="107">
        <v>1</v>
      </c>
      <c r="Y43" s="107">
        <v>1</v>
      </c>
      <c r="Z43" s="107">
        <v>1</v>
      </c>
      <c r="AA43" s="107">
        <v>1</v>
      </c>
      <c r="AB43" s="107">
        <v>1</v>
      </c>
      <c r="AC43" s="107">
        <v>1</v>
      </c>
      <c r="AD43" s="107">
        <v>1</v>
      </c>
      <c r="AE43" s="107">
        <v>1</v>
      </c>
      <c r="AF43" s="107">
        <v>1</v>
      </c>
      <c r="AG43" s="107">
        <v>1</v>
      </c>
      <c r="AH43" s="107">
        <v>1</v>
      </c>
      <c r="AI43" s="107">
        <v>1</v>
      </c>
      <c r="AJ43" s="107">
        <v>1</v>
      </c>
      <c r="AK43" s="107">
        <v>1</v>
      </c>
      <c r="AL43" s="107">
        <v>1</v>
      </c>
      <c r="AM43" s="107">
        <v>1</v>
      </c>
      <c r="AN43" s="107">
        <v>1</v>
      </c>
      <c r="AO43" s="107">
        <v>1</v>
      </c>
      <c r="AP43" s="107">
        <v>1</v>
      </c>
      <c r="AQ43" s="107">
        <v>1</v>
      </c>
    </row>
    <row r="44" spans="1:43" x14ac:dyDescent="0.35">
      <c r="B44" t="s">
        <v>87</v>
      </c>
      <c r="C44" s="24">
        <v>1</v>
      </c>
      <c r="D44" s="24">
        <v>1</v>
      </c>
      <c r="E44" s="24">
        <v>1</v>
      </c>
      <c r="F44" s="24">
        <v>0.9</v>
      </c>
      <c r="G44" s="24">
        <v>0.9</v>
      </c>
      <c r="H44" s="24">
        <v>0.9</v>
      </c>
      <c r="I44" s="24">
        <v>0.9</v>
      </c>
      <c r="J44" s="24">
        <v>0.9</v>
      </c>
      <c r="K44" s="24">
        <v>0.9</v>
      </c>
      <c r="L44" s="24">
        <v>0.9</v>
      </c>
      <c r="M44" s="24">
        <v>0.9</v>
      </c>
      <c r="N44" s="107">
        <v>0.82</v>
      </c>
      <c r="O44" s="107">
        <v>0.74</v>
      </c>
      <c r="P44" s="107">
        <v>0.74</v>
      </c>
      <c r="Q44" s="107">
        <v>0.74</v>
      </c>
      <c r="R44" s="107">
        <v>0.74</v>
      </c>
      <c r="S44" s="107">
        <v>0.74</v>
      </c>
      <c r="T44" s="107">
        <v>0.74</v>
      </c>
      <c r="U44" s="107">
        <v>0.74</v>
      </c>
      <c r="V44" s="107">
        <v>0.74</v>
      </c>
      <c r="W44" s="107">
        <v>0.74</v>
      </c>
      <c r="X44" s="107">
        <v>0.74</v>
      </c>
      <c r="Y44" s="107">
        <v>0.74</v>
      </c>
      <c r="Z44" s="107">
        <v>0.74</v>
      </c>
      <c r="AA44" s="107">
        <v>0.74</v>
      </c>
      <c r="AB44" s="107">
        <v>0.74</v>
      </c>
      <c r="AC44" s="107">
        <v>0.74</v>
      </c>
      <c r="AD44" s="107">
        <v>0.74</v>
      </c>
      <c r="AE44" s="107">
        <v>0.74</v>
      </c>
      <c r="AF44" s="107">
        <v>0.74</v>
      </c>
      <c r="AG44" s="107">
        <v>0.74</v>
      </c>
      <c r="AH44" s="107">
        <v>0.74</v>
      </c>
      <c r="AI44" s="107">
        <v>0.74</v>
      </c>
      <c r="AJ44" s="107">
        <v>0.74</v>
      </c>
      <c r="AK44" s="107">
        <v>0.74</v>
      </c>
      <c r="AL44" s="107">
        <v>0.74</v>
      </c>
      <c r="AM44" s="107">
        <v>0.74</v>
      </c>
      <c r="AN44" s="107">
        <v>0.74</v>
      </c>
      <c r="AO44" s="107">
        <v>0.74</v>
      </c>
      <c r="AP44" s="107">
        <v>0.74</v>
      </c>
      <c r="AQ44" s="107">
        <v>0.74</v>
      </c>
    </row>
    <row r="45" spans="1:43" x14ac:dyDescent="0.35">
      <c r="B45" t="s">
        <v>88</v>
      </c>
      <c r="C45" s="24">
        <v>1</v>
      </c>
      <c r="D45" s="24">
        <v>1</v>
      </c>
      <c r="E45" s="24">
        <v>1</v>
      </c>
      <c r="F45" s="24">
        <v>1</v>
      </c>
      <c r="G45" s="24">
        <v>1</v>
      </c>
      <c r="H45" s="24">
        <v>1</v>
      </c>
      <c r="I45" s="24">
        <v>1</v>
      </c>
      <c r="J45" s="24">
        <v>1</v>
      </c>
      <c r="K45" s="24">
        <v>1</v>
      </c>
      <c r="L45" s="24">
        <v>1</v>
      </c>
      <c r="M45" s="24">
        <v>1</v>
      </c>
      <c r="N45" s="107">
        <v>1</v>
      </c>
      <c r="O45" s="107">
        <v>1</v>
      </c>
      <c r="P45" s="107">
        <v>1</v>
      </c>
      <c r="Q45" s="107">
        <v>1</v>
      </c>
      <c r="R45" s="107">
        <v>1</v>
      </c>
      <c r="S45" s="107">
        <v>1</v>
      </c>
      <c r="T45" s="107">
        <v>1</v>
      </c>
      <c r="U45" s="107">
        <v>1</v>
      </c>
      <c r="V45" s="107">
        <v>1</v>
      </c>
      <c r="W45" s="107">
        <v>1</v>
      </c>
      <c r="X45" s="107">
        <v>1</v>
      </c>
      <c r="Y45" s="107">
        <v>1</v>
      </c>
      <c r="Z45" s="107">
        <v>1</v>
      </c>
      <c r="AA45" s="107">
        <v>1</v>
      </c>
      <c r="AB45" s="107">
        <v>1</v>
      </c>
      <c r="AC45" s="107">
        <v>1</v>
      </c>
      <c r="AD45" s="107">
        <v>1</v>
      </c>
      <c r="AE45" s="107">
        <v>1</v>
      </c>
      <c r="AF45" s="107">
        <v>1</v>
      </c>
      <c r="AG45" s="107">
        <v>1</v>
      </c>
      <c r="AH45" s="107">
        <v>1</v>
      </c>
      <c r="AI45" s="107">
        <v>1</v>
      </c>
      <c r="AJ45" s="107">
        <v>1</v>
      </c>
      <c r="AK45" s="107">
        <v>1</v>
      </c>
      <c r="AL45" s="107">
        <v>1</v>
      </c>
      <c r="AM45" s="107">
        <v>1</v>
      </c>
      <c r="AN45" s="107">
        <v>1</v>
      </c>
      <c r="AO45" s="107">
        <v>1</v>
      </c>
      <c r="AP45" s="107">
        <v>1</v>
      </c>
      <c r="AQ45" s="107">
        <v>1</v>
      </c>
    </row>
    <row r="46" spans="1:43" x14ac:dyDescent="0.35">
      <c r="B46" t="s">
        <v>89</v>
      </c>
      <c r="C46" s="24">
        <v>1</v>
      </c>
      <c r="D46" s="24">
        <v>1</v>
      </c>
      <c r="E46" s="24">
        <v>1</v>
      </c>
      <c r="F46" s="24">
        <v>1</v>
      </c>
      <c r="G46" s="24">
        <v>1</v>
      </c>
      <c r="H46" s="24">
        <v>1</v>
      </c>
      <c r="I46" s="24">
        <v>1</v>
      </c>
      <c r="J46" s="24">
        <v>1</v>
      </c>
      <c r="K46" s="24">
        <v>1</v>
      </c>
      <c r="L46" s="24">
        <v>1</v>
      </c>
      <c r="M46" s="24">
        <v>1</v>
      </c>
      <c r="N46" s="107">
        <v>1</v>
      </c>
      <c r="O46" s="107">
        <v>1</v>
      </c>
      <c r="P46" s="107">
        <v>1</v>
      </c>
      <c r="Q46" s="107">
        <v>1</v>
      </c>
      <c r="R46" s="107">
        <v>1</v>
      </c>
      <c r="S46" s="107">
        <v>1</v>
      </c>
      <c r="T46" s="107">
        <v>1</v>
      </c>
      <c r="U46" s="107">
        <v>1</v>
      </c>
      <c r="V46" s="107">
        <v>1</v>
      </c>
      <c r="W46" s="107">
        <v>1</v>
      </c>
      <c r="X46" s="107">
        <v>1</v>
      </c>
      <c r="Y46" s="107">
        <v>1</v>
      </c>
      <c r="Z46" s="107">
        <v>1</v>
      </c>
      <c r="AA46" s="107">
        <v>1</v>
      </c>
      <c r="AB46" s="107">
        <v>1</v>
      </c>
      <c r="AC46" s="107">
        <v>1</v>
      </c>
      <c r="AD46" s="107">
        <v>1</v>
      </c>
      <c r="AE46" s="107">
        <v>1</v>
      </c>
      <c r="AF46" s="107">
        <v>1</v>
      </c>
      <c r="AG46" s="107">
        <v>1</v>
      </c>
      <c r="AH46" s="107">
        <v>1</v>
      </c>
      <c r="AI46" s="107">
        <v>1</v>
      </c>
      <c r="AJ46" s="107">
        <v>1</v>
      </c>
      <c r="AK46" s="107">
        <v>1</v>
      </c>
      <c r="AL46" s="107">
        <v>1</v>
      </c>
      <c r="AM46" s="107">
        <v>1</v>
      </c>
      <c r="AN46" s="107">
        <v>1</v>
      </c>
      <c r="AO46" s="107">
        <v>1</v>
      </c>
      <c r="AP46" s="107">
        <v>1</v>
      </c>
      <c r="AQ46" s="107">
        <v>1</v>
      </c>
    </row>
    <row r="48" spans="1:43" s="59" customFormat="1" x14ac:dyDescent="0.35">
      <c r="A48" s="58" t="s">
        <v>315</v>
      </c>
    </row>
    <row r="49" spans="1:43" x14ac:dyDescent="0.35">
      <c r="B49" t="s">
        <v>78</v>
      </c>
      <c r="D49" s="6">
        <f t="shared" ref="D49:S60" si="29">D20*D35</f>
        <v>2050946.0000000002</v>
      </c>
      <c r="E49" s="6">
        <f t="shared" si="29"/>
        <v>2082812</v>
      </c>
      <c r="F49" s="6">
        <f t="shared" si="29"/>
        <v>2140436</v>
      </c>
      <c r="G49" s="6">
        <f t="shared" si="29"/>
        <v>2266638</v>
      </c>
      <c r="H49" s="6">
        <f t="shared" si="29"/>
        <v>2231336</v>
      </c>
      <c r="I49" s="6">
        <f t="shared" si="29"/>
        <v>2120840</v>
      </c>
      <c r="J49" s="6">
        <f t="shared" si="29"/>
        <v>2166049.253731343</v>
      </c>
      <c r="K49" s="6">
        <f t="shared" si="29"/>
        <v>2170983.1325301207</v>
      </c>
      <c r="L49" s="6">
        <f t="shared" si="29"/>
        <v>2142270</v>
      </c>
      <c r="M49" s="6">
        <f>M20*M35</f>
        <v>2053372</v>
      </c>
      <c r="N49" s="6">
        <f t="shared" si="29"/>
        <v>2118467</v>
      </c>
      <c r="O49" s="6">
        <f t="shared" si="29"/>
        <v>2094664</v>
      </c>
      <c r="P49" s="6">
        <f t="shared" si="29"/>
        <v>2070861</v>
      </c>
      <c r="Q49" s="6">
        <f t="shared" ref="Q49:AQ49" si="30">Q20*Q35 - $B$78</f>
        <v>2047058</v>
      </c>
      <c r="R49" s="6">
        <f t="shared" si="30"/>
        <v>2023255</v>
      </c>
      <c r="S49" s="6">
        <f t="shared" si="30"/>
        <v>1999452</v>
      </c>
      <c r="T49" s="6">
        <f t="shared" si="30"/>
        <v>1975649</v>
      </c>
      <c r="U49" s="6">
        <f t="shared" si="30"/>
        <v>1951846</v>
      </c>
      <c r="V49" s="6">
        <f t="shared" si="30"/>
        <v>1928043.0000000002</v>
      </c>
      <c r="W49" s="6">
        <f t="shared" si="30"/>
        <v>1904240</v>
      </c>
      <c r="X49" s="6">
        <f t="shared" si="30"/>
        <v>1856634</v>
      </c>
      <c r="Y49" s="6">
        <f t="shared" si="30"/>
        <v>1809028</v>
      </c>
      <c r="Z49" s="6">
        <f t="shared" si="30"/>
        <v>1761422</v>
      </c>
      <c r="AA49" s="6">
        <f t="shared" si="30"/>
        <v>1713816</v>
      </c>
      <c r="AB49" s="6">
        <f t="shared" si="30"/>
        <v>1666210</v>
      </c>
      <c r="AC49" s="6">
        <f t="shared" si="30"/>
        <v>1618604</v>
      </c>
      <c r="AD49" s="6">
        <f t="shared" si="30"/>
        <v>1570998</v>
      </c>
      <c r="AE49" s="6">
        <f t="shared" si="30"/>
        <v>1523392</v>
      </c>
      <c r="AF49" s="6">
        <f t="shared" si="30"/>
        <v>1475786</v>
      </c>
      <c r="AG49" s="6">
        <f t="shared" si="30"/>
        <v>1428180</v>
      </c>
      <c r="AH49" s="6">
        <f t="shared" si="30"/>
        <v>1356771</v>
      </c>
      <c r="AI49" s="6">
        <f t="shared" si="30"/>
        <v>1285362</v>
      </c>
      <c r="AJ49" s="6">
        <f t="shared" si="30"/>
        <v>1213953</v>
      </c>
      <c r="AK49" s="6">
        <f t="shared" si="30"/>
        <v>1142544</v>
      </c>
      <c r="AL49" s="6">
        <f t="shared" si="30"/>
        <v>1071135</v>
      </c>
      <c r="AM49" s="6">
        <f t="shared" si="30"/>
        <v>999726</v>
      </c>
      <c r="AN49" s="6">
        <f t="shared" si="30"/>
        <v>928317</v>
      </c>
      <c r="AO49" s="6">
        <f t="shared" si="30"/>
        <v>856908</v>
      </c>
      <c r="AP49" s="6">
        <f t="shared" si="30"/>
        <v>785499</v>
      </c>
      <c r="AQ49" s="6">
        <f t="shared" si="30"/>
        <v>714090</v>
      </c>
    </row>
    <row r="50" spans="1:43" x14ac:dyDescent="0.35">
      <c r="B50" t="s">
        <v>79</v>
      </c>
      <c r="D50" s="6">
        <f t="shared" si="29"/>
        <v>875362</v>
      </c>
      <c r="E50" s="6">
        <f t="shared" si="29"/>
        <v>602488</v>
      </c>
      <c r="F50" s="6">
        <f t="shared" si="29"/>
        <v>2743509.6</v>
      </c>
      <c r="G50" s="6">
        <f t="shared" si="29"/>
        <v>1360776.6</v>
      </c>
      <c r="H50" s="6">
        <f t="shared" si="29"/>
        <v>1390870.8</v>
      </c>
      <c r="I50" s="6">
        <f t="shared" si="29"/>
        <v>1415350.8</v>
      </c>
      <c r="J50" s="6">
        <f t="shared" si="29"/>
        <v>1395556.1194029851</v>
      </c>
      <c r="K50" s="6">
        <f t="shared" si="29"/>
        <v>1436265.5421686748</v>
      </c>
      <c r="L50" s="6">
        <f t="shared" si="29"/>
        <v>1697437</v>
      </c>
      <c r="M50" s="6">
        <f>M21*M36</f>
        <v>1480354.5999999999</v>
      </c>
      <c r="N50" s="6">
        <f t="shared" si="29"/>
        <v>679102.92999999993</v>
      </c>
      <c r="O50" s="6">
        <f t="shared" si="29"/>
        <v>671472.56</v>
      </c>
      <c r="P50" s="6">
        <f t="shared" si="29"/>
        <v>663842.19000000006</v>
      </c>
      <c r="Q50" s="6">
        <f t="shared" si="29"/>
        <v>656211.81999999995</v>
      </c>
      <c r="R50" s="6">
        <f t="shared" si="29"/>
        <v>648581.44999999995</v>
      </c>
      <c r="S50" s="6">
        <f t="shared" si="29"/>
        <v>640951.07999999996</v>
      </c>
      <c r="T50" s="6">
        <f t="shared" ref="T50:AQ60" si="31">T21*T36</f>
        <v>633320.71</v>
      </c>
      <c r="U50" s="6">
        <f t="shared" si="31"/>
        <v>625690.34</v>
      </c>
      <c r="V50" s="6">
        <f t="shared" si="31"/>
        <v>618059.97000000009</v>
      </c>
      <c r="W50" s="6">
        <f t="shared" si="31"/>
        <v>610429.6</v>
      </c>
      <c r="X50" s="6">
        <f t="shared" si="31"/>
        <v>595168.8600000001</v>
      </c>
      <c r="Y50" s="6">
        <f t="shared" si="31"/>
        <v>579908.12</v>
      </c>
      <c r="Z50" s="6">
        <f t="shared" si="31"/>
        <v>564647.38</v>
      </c>
      <c r="AA50" s="6">
        <f t="shared" si="31"/>
        <v>549386.64</v>
      </c>
      <c r="AB50" s="6">
        <f t="shared" si="31"/>
        <v>534125.89999999991</v>
      </c>
      <c r="AC50" s="6">
        <f t="shared" si="31"/>
        <v>518865.16000000009</v>
      </c>
      <c r="AD50" s="6">
        <f t="shared" si="31"/>
        <v>503604.42000000004</v>
      </c>
      <c r="AE50" s="6">
        <f t="shared" si="31"/>
        <v>488343.68000000005</v>
      </c>
      <c r="AF50" s="6">
        <f t="shared" si="31"/>
        <v>473082.94</v>
      </c>
      <c r="AG50" s="6">
        <f t="shared" si="31"/>
        <v>457822.2</v>
      </c>
      <c r="AH50" s="6">
        <f t="shared" si="31"/>
        <v>434931.08999999997</v>
      </c>
      <c r="AI50" s="6">
        <f t="shared" si="31"/>
        <v>412039.98000000004</v>
      </c>
      <c r="AJ50" s="6">
        <f t="shared" si="31"/>
        <v>389148.87000000005</v>
      </c>
      <c r="AK50" s="6">
        <f t="shared" si="31"/>
        <v>366257.76</v>
      </c>
      <c r="AL50" s="6">
        <f t="shared" si="31"/>
        <v>343366.65</v>
      </c>
      <c r="AM50" s="6">
        <f t="shared" si="31"/>
        <v>320475.53999999998</v>
      </c>
      <c r="AN50" s="6">
        <f t="shared" si="31"/>
        <v>297584.43000000005</v>
      </c>
      <c r="AO50" s="6">
        <f t="shared" si="31"/>
        <v>274693.32</v>
      </c>
      <c r="AP50" s="6">
        <f t="shared" si="31"/>
        <v>251802.21000000002</v>
      </c>
      <c r="AQ50" s="6">
        <f t="shared" si="31"/>
        <v>228911.1</v>
      </c>
    </row>
    <row r="51" spans="1:43" x14ac:dyDescent="0.35">
      <c r="B51" t="s">
        <v>80</v>
      </c>
      <c r="D51" s="6">
        <f t="shared" si="29"/>
        <v>294153</v>
      </c>
      <c r="E51" s="6">
        <f t="shared" si="29"/>
        <v>624520</v>
      </c>
      <c r="F51" s="6">
        <f>F22*F37</f>
        <v>899467.20000000007</v>
      </c>
      <c r="G51" s="6">
        <f t="shared" si="29"/>
        <v>1554864</v>
      </c>
      <c r="H51" s="6">
        <f t="shared" si="29"/>
        <v>1311702</v>
      </c>
      <c r="I51" s="6">
        <f t="shared" si="29"/>
        <v>1540066</v>
      </c>
      <c r="J51" s="6">
        <f t="shared" si="29"/>
        <v>1370210.4477611938</v>
      </c>
      <c r="K51" s="6">
        <f t="shared" si="29"/>
        <v>1138807.2289156627</v>
      </c>
      <c r="L51" s="6">
        <f t="shared" si="29"/>
        <v>1318490</v>
      </c>
      <c r="M51" s="6">
        <f t="shared" si="29"/>
        <v>1181995</v>
      </c>
      <c r="N51" s="6">
        <f t="shared" si="29"/>
        <v>1043072.0888888888</v>
      </c>
      <c r="O51" s="6">
        <f t="shared" si="29"/>
        <v>1031352.1777777777</v>
      </c>
      <c r="P51" s="6">
        <f t="shared" si="29"/>
        <v>1019632.2666666666</v>
      </c>
      <c r="Q51" s="6">
        <f>Q22*Q37</f>
        <v>1007912.3555555554</v>
      </c>
      <c r="R51" s="6">
        <f t="shared" si="29"/>
        <v>996192.4444444445</v>
      </c>
      <c r="S51" s="6">
        <f>S22*S37</f>
        <v>984472.53333333321</v>
      </c>
      <c r="T51" s="6">
        <f t="shared" si="31"/>
        <v>972752.62222222204</v>
      </c>
      <c r="U51" s="6">
        <f t="shared" si="31"/>
        <v>961032.7111111111</v>
      </c>
      <c r="V51" s="6">
        <f t="shared" si="31"/>
        <v>949312.8</v>
      </c>
      <c r="W51" s="6">
        <f t="shared" si="31"/>
        <v>468796.44444444444</v>
      </c>
      <c r="X51" s="6">
        <f t="shared" si="31"/>
        <v>457076.53333333333</v>
      </c>
      <c r="Y51" s="6">
        <f t="shared" si="31"/>
        <v>445356.62222222221</v>
      </c>
      <c r="Z51" s="6">
        <f t="shared" si="31"/>
        <v>433636.7111111111</v>
      </c>
      <c r="AA51" s="6">
        <f t="shared" si="31"/>
        <v>421916.79999999993</v>
      </c>
      <c r="AB51" s="6">
        <f t="shared" si="31"/>
        <v>410196.88888888882</v>
      </c>
      <c r="AC51" s="6">
        <f t="shared" si="31"/>
        <v>398476.97777777776</v>
      </c>
      <c r="AD51" s="6">
        <f t="shared" si="31"/>
        <v>386757.06666666665</v>
      </c>
      <c r="AE51" s="6">
        <f t="shared" si="31"/>
        <v>375037.1555555556</v>
      </c>
      <c r="AF51" s="6">
        <f t="shared" si="31"/>
        <v>363317.24444444443</v>
      </c>
      <c r="AG51" s="6">
        <f t="shared" si="31"/>
        <v>0</v>
      </c>
      <c r="AH51" s="6">
        <f t="shared" si="31"/>
        <v>0</v>
      </c>
      <c r="AI51" s="6">
        <f t="shared" si="31"/>
        <v>0</v>
      </c>
      <c r="AJ51" s="6">
        <f t="shared" si="31"/>
        <v>0</v>
      </c>
      <c r="AK51" s="6">
        <f t="shared" si="31"/>
        <v>0</v>
      </c>
      <c r="AL51" s="6">
        <f t="shared" si="31"/>
        <v>0</v>
      </c>
      <c r="AM51" s="6">
        <f t="shared" si="31"/>
        <v>0</v>
      </c>
      <c r="AN51" s="6">
        <f t="shared" si="31"/>
        <v>0</v>
      </c>
      <c r="AO51" s="6">
        <f t="shared" si="31"/>
        <v>0</v>
      </c>
      <c r="AP51" s="6">
        <f t="shared" si="31"/>
        <v>0</v>
      </c>
      <c r="AQ51" s="6">
        <f t="shared" si="31"/>
        <v>0</v>
      </c>
    </row>
    <row r="52" spans="1:43" x14ac:dyDescent="0.35">
      <c r="B52" t="s">
        <v>81</v>
      </c>
      <c r="D52" s="6">
        <f t="shared" si="29"/>
        <v>0</v>
      </c>
      <c r="E52" s="6">
        <f t="shared" si="29"/>
        <v>0</v>
      </c>
      <c r="F52" s="6">
        <f t="shared" si="29"/>
        <v>0</v>
      </c>
      <c r="G52" s="6">
        <f t="shared" si="29"/>
        <v>0</v>
      </c>
      <c r="H52" s="6">
        <f t="shared" si="29"/>
        <v>0</v>
      </c>
      <c r="I52" s="6">
        <f t="shared" si="29"/>
        <v>0</v>
      </c>
      <c r="J52" s="6">
        <f t="shared" si="29"/>
        <v>0</v>
      </c>
      <c r="K52" s="6">
        <f t="shared" si="29"/>
        <v>0</v>
      </c>
      <c r="L52" s="6">
        <f t="shared" si="29"/>
        <v>0</v>
      </c>
      <c r="M52" s="6">
        <f t="shared" si="29"/>
        <v>0</v>
      </c>
      <c r="N52" s="6">
        <f t="shared" si="29"/>
        <v>0</v>
      </c>
      <c r="O52" s="6">
        <f t="shared" si="29"/>
        <v>0</v>
      </c>
      <c r="P52" s="6">
        <f t="shared" si="29"/>
        <v>0</v>
      </c>
      <c r="Q52" s="6">
        <f t="shared" si="29"/>
        <v>0</v>
      </c>
      <c r="R52" s="6">
        <f t="shared" si="29"/>
        <v>0</v>
      </c>
      <c r="S52" s="6">
        <f t="shared" si="29"/>
        <v>0</v>
      </c>
      <c r="T52" s="6">
        <f t="shared" si="31"/>
        <v>0</v>
      </c>
      <c r="U52" s="6">
        <f t="shared" si="31"/>
        <v>0</v>
      </c>
      <c r="V52" s="6">
        <f t="shared" si="31"/>
        <v>0</v>
      </c>
      <c r="W52" s="6">
        <f>W23*W38</f>
        <v>0</v>
      </c>
      <c r="X52" s="6">
        <f t="shared" si="31"/>
        <v>0</v>
      </c>
      <c r="Y52" s="6">
        <f t="shared" si="31"/>
        <v>0</v>
      </c>
      <c r="Z52" s="6">
        <f t="shared" si="31"/>
        <v>0</v>
      </c>
      <c r="AA52" s="6">
        <f t="shared" si="31"/>
        <v>0</v>
      </c>
      <c r="AB52" s="6">
        <f t="shared" si="31"/>
        <v>0</v>
      </c>
      <c r="AC52" s="6">
        <f t="shared" si="31"/>
        <v>0</v>
      </c>
      <c r="AD52" s="6">
        <f t="shared" si="31"/>
        <v>0</v>
      </c>
      <c r="AE52" s="6">
        <f t="shared" si="31"/>
        <v>0</v>
      </c>
      <c r="AF52" s="6">
        <f t="shared" si="31"/>
        <v>0</v>
      </c>
      <c r="AG52" s="6">
        <f t="shared" si="31"/>
        <v>0</v>
      </c>
      <c r="AH52" s="6">
        <f t="shared" si="31"/>
        <v>0</v>
      </c>
      <c r="AI52" s="6">
        <f t="shared" si="31"/>
        <v>0</v>
      </c>
      <c r="AJ52" s="6">
        <f t="shared" si="31"/>
        <v>0</v>
      </c>
      <c r="AK52" s="6">
        <f t="shared" si="31"/>
        <v>0</v>
      </c>
      <c r="AL52" s="6">
        <f t="shared" si="31"/>
        <v>0</v>
      </c>
      <c r="AM52" s="6">
        <f t="shared" si="31"/>
        <v>0</v>
      </c>
      <c r="AN52" s="6">
        <f t="shared" si="31"/>
        <v>0</v>
      </c>
      <c r="AO52" s="6">
        <f t="shared" si="31"/>
        <v>0</v>
      </c>
      <c r="AP52" s="6">
        <f t="shared" si="31"/>
        <v>0</v>
      </c>
      <c r="AQ52" s="6">
        <f t="shared" si="31"/>
        <v>0</v>
      </c>
    </row>
    <row r="53" spans="1:43" x14ac:dyDescent="0.35">
      <c r="B53" t="s">
        <v>82</v>
      </c>
      <c r="D53" s="6">
        <f t="shared" si="29"/>
        <v>1080448</v>
      </c>
      <c r="E53" s="6">
        <f t="shared" si="29"/>
        <v>1126974</v>
      </c>
      <c r="F53" s="6">
        <f t="shared" si="29"/>
        <v>1194816</v>
      </c>
      <c r="G53" s="6">
        <f t="shared" si="29"/>
        <v>1296520</v>
      </c>
      <c r="H53" s="6">
        <f t="shared" si="29"/>
        <v>1342968</v>
      </c>
      <c r="I53" s="6">
        <f t="shared" si="29"/>
        <v>1098248</v>
      </c>
      <c r="J53" s="6">
        <f t="shared" si="29"/>
        <v>966774.62686567171</v>
      </c>
      <c r="K53" s="6">
        <f t="shared" si="29"/>
        <v>884862.65060240962</v>
      </c>
      <c r="L53" s="6">
        <f t="shared" si="29"/>
        <v>867222</v>
      </c>
      <c r="M53" s="6">
        <f t="shared" si="29"/>
        <v>790640</v>
      </c>
      <c r="N53" s="6">
        <f t="shared" si="29"/>
        <v>857586.20000000007</v>
      </c>
      <c r="O53" s="6">
        <f t="shared" si="29"/>
        <v>847950.4</v>
      </c>
      <c r="P53" s="6">
        <f t="shared" si="29"/>
        <v>838314.6</v>
      </c>
      <c r="Q53" s="6">
        <f t="shared" si="29"/>
        <v>828678.79999999993</v>
      </c>
      <c r="R53" s="6">
        <f t="shared" si="29"/>
        <v>819043</v>
      </c>
      <c r="S53" s="6">
        <f t="shared" si="29"/>
        <v>809407.2</v>
      </c>
      <c r="T53" s="6">
        <f t="shared" si="31"/>
        <v>799771.39999999991</v>
      </c>
      <c r="U53" s="6">
        <f t="shared" si="31"/>
        <v>790135.6</v>
      </c>
      <c r="V53" s="6">
        <f t="shared" si="31"/>
        <v>780499.8</v>
      </c>
      <c r="W53" s="6">
        <f t="shared" si="31"/>
        <v>770864</v>
      </c>
      <c r="X53" s="6">
        <f t="shared" si="31"/>
        <v>751592.4</v>
      </c>
      <c r="Y53" s="6">
        <f t="shared" si="31"/>
        <v>732320.8</v>
      </c>
      <c r="Z53" s="6">
        <f t="shared" si="31"/>
        <v>713049.2</v>
      </c>
      <c r="AA53" s="6">
        <f t="shared" si="31"/>
        <v>693777.6</v>
      </c>
      <c r="AB53" s="6">
        <f t="shared" si="31"/>
        <v>674506</v>
      </c>
      <c r="AC53" s="6">
        <f t="shared" si="31"/>
        <v>655234.4</v>
      </c>
      <c r="AD53" s="6">
        <f t="shared" si="31"/>
        <v>635962.80000000005</v>
      </c>
      <c r="AE53" s="6">
        <f t="shared" si="31"/>
        <v>616691.20000000007</v>
      </c>
      <c r="AF53" s="6">
        <f t="shared" si="31"/>
        <v>597419.6</v>
      </c>
      <c r="AG53" s="6">
        <f t="shared" si="31"/>
        <v>578148</v>
      </c>
      <c r="AH53" s="6">
        <f t="shared" si="31"/>
        <v>549240.6</v>
      </c>
      <c r="AI53" s="6">
        <f t="shared" si="31"/>
        <v>520333.2</v>
      </c>
      <c r="AJ53" s="6">
        <f t="shared" si="31"/>
        <v>491425.8</v>
      </c>
      <c r="AK53" s="6">
        <f t="shared" si="31"/>
        <v>462518.39999999997</v>
      </c>
      <c r="AL53" s="6">
        <f t="shared" si="31"/>
        <v>433611</v>
      </c>
      <c r="AM53" s="6">
        <f t="shared" si="31"/>
        <v>404703.6</v>
      </c>
      <c r="AN53" s="6">
        <f t="shared" si="31"/>
        <v>375796.2</v>
      </c>
      <c r="AO53" s="6">
        <f t="shared" si="31"/>
        <v>346888.8</v>
      </c>
      <c r="AP53" s="6">
        <f t="shared" si="31"/>
        <v>317981.40000000002</v>
      </c>
      <c r="AQ53" s="6">
        <f t="shared" si="31"/>
        <v>289074</v>
      </c>
    </row>
    <row r="54" spans="1:43" x14ac:dyDescent="0.35">
      <c r="B54" t="s">
        <v>83</v>
      </c>
      <c r="D54" s="6">
        <f t="shared" si="29"/>
        <v>239455.99999999997</v>
      </c>
      <c r="E54" s="6">
        <f t="shared" si="29"/>
        <v>286130</v>
      </c>
      <c r="F54" s="6">
        <f t="shared" si="29"/>
        <v>328722</v>
      </c>
      <c r="G54" s="6">
        <f t="shared" si="29"/>
        <v>396938</v>
      </c>
      <c r="H54" s="6">
        <f t="shared" si="29"/>
        <v>347812</v>
      </c>
      <c r="I54" s="6">
        <f t="shared" si="29"/>
        <v>319360</v>
      </c>
      <c r="J54" s="6">
        <f t="shared" si="29"/>
        <v>371732.8358208955</v>
      </c>
      <c r="K54" s="6">
        <f t="shared" si="29"/>
        <v>392281.92771084339</v>
      </c>
      <c r="L54" s="6">
        <f t="shared" si="29"/>
        <v>330233</v>
      </c>
      <c r="M54" s="6">
        <f t="shared" si="29"/>
        <v>349257</v>
      </c>
      <c r="N54" s="6">
        <f t="shared" si="29"/>
        <v>326563.74444444443</v>
      </c>
      <c r="O54" s="6">
        <f t="shared" si="29"/>
        <v>322894.48888888891</v>
      </c>
      <c r="P54" s="6">
        <f t="shared" si="29"/>
        <v>319225.23333333334</v>
      </c>
      <c r="Q54" s="6">
        <f t="shared" si="29"/>
        <v>315555.97777777776</v>
      </c>
      <c r="R54" s="6">
        <f t="shared" si="29"/>
        <v>311886.72222222225</v>
      </c>
      <c r="S54" s="6">
        <f t="shared" si="29"/>
        <v>308217.46666666667</v>
      </c>
      <c r="T54" s="6">
        <f t="shared" si="31"/>
        <v>304548.2111111111</v>
      </c>
      <c r="U54" s="6">
        <f t="shared" si="31"/>
        <v>300878.95555555553</v>
      </c>
      <c r="V54" s="6">
        <f t="shared" si="31"/>
        <v>297209.7</v>
      </c>
      <c r="W54" s="6">
        <f t="shared" si="31"/>
        <v>293540.44444444444</v>
      </c>
      <c r="X54" s="6">
        <f t="shared" si="31"/>
        <v>286201.93333333335</v>
      </c>
      <c r="Y54" s="6">
        <f t="shared" si="31"/>
        <v>278863.4222222222</v>
      </c>
      <c r="Z54" s="6">
        <f t="shared" si="31"/>
        <v>271524.91111111111</v>
      </c>
      <c r="AA54" s="6">
        <f t="shared" si="31"/>
        <v>264186.40000000002</v>
      </c>
      <c r="AB54" s="6">
        <f t="shared" si="31"/>
        <v>256847.88888888888</v>
      </c>
      <c r="AC54" s="6">
        <f t="shared" si="31"/>
        <v>249509.37777777779</v>
      </c>
      <c r="AD54" s="6">
        <f t="shared" si="31"/>
        <v>242170.86666666667</v>
      </c>
      <c r="AE54" s="6">
        <f t="shared" si="31"/>
        <v>234832.35555555555</v>
      </c>
      <c r="AF54" s="6">
        <f t="shared" si="31"/>
        <v>227493.84444444446</v>
      </c>
      <c r="AG54" s="6">
        <f t="shared" si="31"/>
        <v>220155.33333333334</v>
      </c>
      <c r="AH54" s="6">
        <f t="shared" si="31"/>
        <v>209147.56666666665</v>
      </c>
      <c r="AI54" s="6">
        <f t="shared" si="31"/>
        <v>198139.80000000002</v>
      </c>
      <c r="AJ54" s="6">
        <f t="shared" si="31"/>
        <v>187132.03333333333</v>
      </c>
      <c r="AK54" s="6">
        <f t="shared" si="31"/>
        <v>176124.26666666666</v>
      </c>
      <c r="AL54" s="6">
        <f t="shared" si="31"/>
        <v>165116.5</v>
      </c>
      <c r="AM54" s="6">
        <f t="shared" si="31"/>
        <v>154108.73333333334</v>
      </c>
      <c r="AN54" s="6">
        <f t="shared" si="31"/>
        <v>143100.96666666667</v>
      </c>
      <c r="AO54" s="6">
        <f t="shared" si="31"/>
        <v>132093.20000000001</v>
      </c>
      <c r="AP54" s="6">
        <f t="shared" si="31"/>
        <v>121085.43333333333</v>
      </c>
      <c r="AQ54" s="6">
        <f t="shared" si="31"/>
        <v>110077.66666666667</v>
      </c>
    </row>
    <row r="55" spans="1:43" x14ac:dyDescent="0.35">
      <c r="B55" t="s">
        <v>84</v>
      </c>
      <c r="D55" s="6">
        <f t="shared" si="29"/>
        <v>44712</v>
      </c>
      <c r="E55" s="6">
        <f t="shared" si="29"/>
        <v>52360</v>
      </c>
      <c r="F55" s="6">
        <f t="shared" si="29"/>
        <v>57524.000000000007</v>
      </c>
      <c r="G55" s="6">
        <f t="shared" si="29"/>
        <v>53878</v>
      </c>
      <c r="H55" s="6">
        <f t="shared" si="29"/>
        <v>62634</v>
      </c>
      <c r="I55" s="6">
        <f t="shared" si="29"/>
        <v>64282</v>
      </c>
      <c r="J55" s="6">
        <f t="shared" si="29"/>
        <v>65150.746268656716</v>
      </c>
      <c r="K55" s="6">
        <f t="shared" si="29"/>
        <v>61040.963855421694</v>
      </c>
      <c r="L55" s="6">
        <f t="shared" si="29"/>
        <v>57190</v>
      </c>
      <c r="M55" s="6">
        <f t="shared" si="29"/>
        <v>59209</v>
      </c>
      <c r="N55" s="6">
        <f t="shared" si="29"/>
        <v>56236.833333333336</v>
      </c>
      <c r="O55" s="6">
        <f t="shared" si="29"/>
        <v>55283.666666666664</v>
      </c>
      <c r="P55" s="6">
        <f t="shared" si="29"/>
        <v>54330.5</v>
      </c>
      <c r="Q55" s="6">
        <f t="shared" si="29"/>
        <v>53377.333333333343</v>
      </c>
      <c r="R55" s="6">
        <f t="shared" si="29"/>
        <v>52424.166666666672</v>
      </c>
      <c r="S55" s="6">
        <f t="shared" si="29"/>
        <v>51471.000000000007</v>
      </c>
      <c r="T55" s="6">
        <f t="shared" si="31"/>
        <v>50517.833333333336</v>
      </c>
      <c r="U55" s="6">
        <f t="shared" si="31"/>
        <v>49564.666666666672</v>
      </c>
      <c r="V55" s="6">
        <f t="shared" si="31"/>
        <v>48611.5</v>
      </c>
      <c r="W55" s="6">
        <f t="shared" si="31"/>
        <v>47658.333333333336</v>
      </c>
      <c r="X55" s="6">
        <f t="shared" si="31"/>
        <v>45752</v>
      </c>
      <c r="Y55" s="6">
        <f t="shared" si="31"/>
        <v>43845.666666666672</v>
      </c>
      <c r="Z55" s="6">
        <f t="shared" si="31"/>
        <v>41939.333333333336</v>
      </c>
      <c r="AA55" s="6">
        <f t="shared" si="31"/>
        <v>40033</v>
      </c>
      <c r="AB55" s="6">
        <f t="shared" si="31"/>
        <v>38126.666666666672</v>
      </c>
      <c r="AC55" s="6">
        <f t="shared" si="31"/>
        <v>36220.333333333336</v>
      </c>
      <c r="AD55" s="6">
        <f t="shared" si="31"/>
        <v>34314</v>
      </c>
      <c r="AE55" s="6">
        <f t="shared" si="31"/>
        <v>32407.666666666672</v>
      </c>
      <c r="AF55" s="6">
        <f t="shared" si="31"/>
        <v>30501.333333333336</v>
      </c>
      <c r="AG55" s="6">
        <f t="shared" si="31"/>
        <v>28595</v>
      </c>
      <c r="AH55" s="6">
        <f t="shared" si="31"/>
        <v>25735.500000000004</v>
      </c>
      <c r="AI55" s="6">
        <f t="shared" si="31"/>
        <v>22876</v>
      </c>
      <c r="AJ55" s="6">
        <f t="shared" si="31"/>
        <v>20016.5</v>
      </c>
      <c r="AK55" s="6">
        <f t="shared" si="31"/>
        <v>17157</v>
      </c>
      <c r="AL55" s="6">
        <f t="shared" si="31"/>
        <v>14297.5</v>
      </c>
      <c r="AM55" s="6">
        <f t="shared" si="31"/>
        <v>11438</v>
      </c>
      <c r="AN55" s="6">
        <f t="shared" si="31"/>
        <v>8578.5</v>
      </c>
      <c r="AO55" s="6">
        <f t="shared" si="31"/>
        <v>5719</v>
      </c>
      <c r="AP55" s="6">
        <f t="shared" si="31"/>
        <v>2859.5</v>
      </c>
      <c r="AQ55" s="6">
        <f t="shared" si="31"/>
        <v>0</v>
      </c>
    </row>
    <row r="56" spans="1:43" x14ac:dyDescent="0.35">
      <c r="B56" t="s">
        <v>85</v>
      </c>
      <c r="D56" s="6">
        <f t="shared" si="29"/>
        <v>126526</v>
      </c>
      <c r="E56" s="6">
        <f t="shared" si="29"/>
        <v>103578</v>
      </c>
      <c r="F56" s="6">
        <f t="shared" si="29"/>
        <v>105448.00000000001</v>
      </c>
      <c r="G56" s="6">
        <f t="shared" si="29"/>
        <v>119494</v>
      </c>
      <c r="H56" s="6">
        <f t="shared" si="29"/>
        <v>121324</v>
      </c>
      <c r="I56" s="6">
        <f t="shared" si="29"/>
        <v>122374</v>
      </c>
      <c r="J56" s="6">
        <f t="shared" si="29"/>
        <v>115540.29850746268</v>
      </c>
      <c r="K56" s="6">
        <f t="shared" si="29"/>
        <v>113991.56626506026</v>
      </c>
      <c r="L56" s="6">
        <f t="shared" si="29"/>
        <v>112871</v>
      </c>
      <c r="M56" s="6">
        <f t="shared" si="29"/>
        <v>111924</v>
      </c>
      <c r="N56" s="6">
        <f t="shared" si="29"/>
        <v>110989.81666666667</v>
      </c>
      <c r="O56" s="6">
        <f t="shared" si="29"/>
        <v>109108.63333333333</v>
      </c>
      <c r="P56" s="6">
        <f t="shared" si="29"/>
        <v>107227.45</v>
      </c>
      <c r="Q56" s="6">
        <f t="shared" si="29"/>
        <v>105346.26666666668</v>
      </c>
      <c r="R56" s="6">
        <f t="shared" si="29"/>
        <v>103465.08333333334</v>
      </c>
      <c r="S56" s="6">
        <f t="shared" si="29"/>
        <v>101583.90000000001</v>
      </c>
      <c r="T56" s="6">
        <f t="shared" si="31"/>
        <v>99702.716666666674</v>
      </c>
      <c r="U56" s="6">
        <f t="shared" si="31"/>
        <v>97821.53333333334</v>
      </c>
      <c r="V56" s="6">
        <f t="shared" si="31"/>
        <v>95940.35</v>
      </c>
      <c r="W56" s="6">
        <f t="shared" si="31"/>
        <v>94059.166666666672</v>
      </c>
      <c r="X56" s="6">
        <f t="shared" si="31"/>
        <v>90296.8</v>
      </c>
      <c r="Y56" s="6">
        <f t="shared" si="31"/>
        <v>86534.433333333334</v>
      </c>
      <c r="Z56" s="6">
        <f t="shared" si="31"/>
        <v>82772.066666666666</v>
      </c>
      <c r="AA56" s="6">
        <f t="shared" si="31"/>
        <v>79009.7</v>
      </c>
      <c r="AB56" s="6">
        <f t="shared" si="31"/>
        <v>75247.333333333343</v>
      </c>
      <c r="AC56" s="6">
        <f t="shared" si="31"/>
        <v>71484.966666666674</v>
      </c>
      <c r="AD56" s="6">
        <f t="shared" si="31"/>
        <v>67722.600000000006</v>
      </c>
      <c r="AE56" s="6">
        <f t="shared" si="31"/>
        <v>63960.233333333344</v>
      </c>
      <c r="AF56" s="6">
        <f t="shared" si="31"/>
        <v>60197.866666666669</v>
      </c>
      <c r="AG56" s="6">
        <f t="shared" si="31"/>
        <v>56435.5</v>
      </c>
      <c r="AH56" s="6">
        <f t="shared" si="31"/>
        <v>50791.950000000004</v>
      </c>
      <c r="AI56" s="6">
        <f t="shared" si="31"/>
        <v>45148.4</v>
      </c>
      <c r="AJ56" s="6">
        <f t="shared" si="31"/>
        <v>39504.85</v>
      </c>
      <c r="AK56" s="6">
        <f t="shared" si="31"/>
        <v>33861.300000000003</v>
      </c>
      <c r="AL56" s="6">
        <f t="shared" si="31"/>
        <v>28217.75</v>
      </c>
      <c r="AM56" s="6">
        <f t="shared" si="31"/>
        <v>22574.2</v>
      </c>
      <c r="AN56" s="6">
        <f t="shared" si="31"/>
        <v>16930.650000000001</v>
      </c>
      <c r="AO56" s="6">
        <f t="shared" si="31"/>
        <v>11287.1</v>
      </c>
      <c r="AP56" s="6">
        <f t="shared" si="31"/>
        <v>5643.55</v>
      </c>
      <c r="AQ56" s="6">
        <f t="shared" si="31"/>
        <v>0</v>
      </c>
    </row>
    <row r="57" spans="1:43" x14ac:dyDescent="0.35">
      <c r="B57" t="s">
        <v>86</v>
      </c>
      <c r="D57" s="6">
        <f t="shared" si="29"/>
        <v>93898.000000000015</v>
      </c>
      <c r="E57" s="6">
        <f t="shared" si="29"/>
        <v>93854</v>
      </c>
      <c r="F57" s="6">
        <f t="shared" si="29"/>
        <v>93734</v>
      </c>
      <c r="G57" s="6">
        <f t="shared" si="29"/>
        <v>106740</v>
      </c>
      <c r="H57" s="6">
        <f t="shared" si="29"/>
        <v>114176</v>
      </c>
      <c r="I57" s="6">
        <f t="shared" si="29"/>
        <v>107548.00000000001</v>
      </c>
      <c r="J57" s="6">
        <f t="shared" si="29"/>
        <v>102328.35820895522</v>
      </c>
      <c r="K57" s="6">
        <f t="shared" si="29"/>
        <v>110893.97590361447</v>
      </c>
      <c r="L57" s="6">
        <f t="shared" si="29"/>
        <v>112534.00000000001</v>
      </c>
      <c r="M57" s="6">
        <f t="shared" si="29"/>
        <v>95950.000000000015</v>
      </c>
      <c r="N57" s="6">
        <f t="shared" si="29"/>
        <v>110658.43333333333</v>
      </c>
      <c r="O57" s="6">
        <f t="shared" si="29"/>
        <v>108782.86666666667</v>
      </c>
      <c r="P57" s="6">
        <f t="shared" si="29"/>
        <v>106907.3</v>
      </c>
      <c r="Q57" s="6">
        <f t="shared" si="29"/>
        <v>105031.73333333335</v>
      </c>
      <c r="R57" s="6">
        <f t="shared" si="29"/>
        <v>103156.16666666669</v>
      </c>
      <c r="S57" s="6">
        <f t="shared" si="29"/>
        <v>101280.60000000002</v>
      </c>
      <c r="T57" s="6">
        <f t="shared" si="31"/>
        <v>99405.033333333355</v>
      </c>
      <c r="U57" s="6">
        <f t="shared" si="31"/>
        <v>97529.466666666674</v>
      </c>
      <c r="V57" s="6">
        <f t="shared" si="31"/>
        <v>95653.900000000009</v>
      </c>
      <c r="W57" s="6">
        <f t="shared" si="31"/>
        <v>93778.333333333343</v>
      </c>
      <c r="X57" s="6">
        <f t="shared" si="31"/>
        <v>90027.200000000012</v>
      </c>
      <c r="Y57" s="6">
        <f t="shared" si="31"/>
        <v>86276.06666666668</v>
      </c>
      <c r="Z57" s="6">
        <f t="shared" si="31"/>
        <v>82524.933333333349</v>
      </c>
      <c r="AA57" s="6">
        <f t="shared" si="31"/>
        <v>78773.8</v>
      </c>
      <c r="AB57" s="6">
        <f t="shared" si="31"/>
        <v>75022.666666666672</v>
      </c>
      <c r="AC57" s="6">
        <f t="shared" si="31"/>
        <v>71271.53333333334</v>
      </c>
      <c r="AD57" s="6">
        <f t="shared" si="31"/>
        <v>67520.400000000009</v>
      </c>
      <c r="AE57" s="6">
        <f t="shared" si="31"/>
        <v>63769.266666666677</v>
      </c>
      <c r="AF57" s="6">
        <f t="shared" si="31"/>
        <v>60018.133333333339</v>
      </c>
      <c r="AG57" s="6">
        <f t="shared" si="31"/>
        <v>56267.000000000007</v>
      </c>
      <c r="AH57" s="6">
        <f t="shared" si="31"/>
        <v>50640.30000000001</v>
      </c>
      <c r="AI57" s="6">
        <f t="shared" si="31"/>
        <v>45013.600000000006</v>
      </c>
      <c r="AJ57" s="6">
        <f t="shared" si="31"/>
        <v>39386.9</v>
      </c>
      <c r="AK57" s="6">
        <f t="shared" si="31"/>
        <v>33760.200000000004</v>
      </c>
      <c r="AL57" s="6">
        <f t="shared" si="31"/>
        <v>28133.500000000004</v>
      </c>
      <c r="AM57" s="6">
        <f t="shared" si="31"/>
        <v>22506.800000000003</v>
      </c>
      <c r="AN57" s="6">
        <f t="shared" si="31"/>
        <v>16880.100000000002</v>
      </c>
      <c r="AO57" s="6">
        <f t="shared" si="31"/>
        <v>11253.400000000001</v>
      </c>
      <c r="AP57" s="6">
        <f t="shared" si="31"/>
        <v>5626.7000000000007</v>
      </c>
      <c r="AQ57" s="6">
        <f t="shared" si="31"/>
        <v>0</v>
      </c>
    </row>
    <row r="58" spans="1:43" x14ac:dyDescent="0.35">
      <c r="B58" t="s">
        <v>87</v>
      </c>
      <c r="D58" s="6">
        <f t="shared" si="29"/>
        <v>1593548</v>
      </c>
      <c r="E58" s="6">
        <f t="shared" si="29"/>
        <v>1543256</v>
      </c>
      <c r="F58" s="6">
        <f t="shared" si="29"/>
        <v>1274837.4000000001</v>
      </c>
      <c r="G58" s="6">
        <f t="shared" si="29"/>
        <v>1270760.4000000001</v>
      </c>
      <c r="H58" s="6">
        <f t="shared" si="29"/>
        <v>1272708</v>
      </c>
      <c r="I58" s="6">
        <f t="shared" si="29"/>
        <v>1293345</v>
      </c>
      <c r="J58" s="6">
        <f t="shared" si="29"/>
        <v>1278628.6567164178</v>
      </c>
      <c r="K58" s="6">
        <f t="shared" si="29"/>
        <v>1270315.3012048195</v>
      </c>
      <c r="L58" s="6">
        <f t="shared" si="29"/>
        <v>1270447.2</v>
      </c>
      <c r="M58" s="6">
        <f t="shared" si="29"/>
        <v>1166742.9000000001</v>
      </c>
      <c r="N58" s="6">
        <f t="shared" si="29"/>
        <v>1144657.2426666664</v>
      </c>
      <c r="O58" s="6">
        <f t="shared" si="29"/>
        <v>1021376.8106666667</v>
      </c>
      <c r="P58" s="6">
        <f t="shared" si="29"/>
        <v>1009770.2559999999</v>
      </c>
      <c r="Q58" s="6">
        <f t="shared" si="29"/>
        <v>998163.70133333316</v>
      </c>
      <c r="R58" s="6">
        <f t="shared" si="29"/>
        <v>986557.14666666661</v>
      </c>
      <c r="S58" s="6">
        <f t="shared" si="29"/>
        <v>974950.59199999983</v>
      </c>
      <c r="T58" s="6">
        <f t="shared" si="31"/>
        <v>963344.03733333328</v>
      </c>
      <c r="U58" s="6">
        <f t="shared" si="31"/>
        <v>951737.4826666665</v>
      </c>
      <c r="V58" s="6">
        <f t="shared" si="31"/>
        <v>940130.92799999996</v>
      </c>
      <c r="W58" s="6">
        <f t="shared" si="31"/>
        <v>928524.37333333341</v>
      </c>
      <c r="X58" s="6">
        <f t="shared" si="31"/>
        <v>905311.26400000008</v>
      </c>
      <c r="Y58" s="6">
        <f t="shared" si="31"/>
        <v>882098.15466666652</v>
      </c>
      <c r="Z58" s="6">
        <f t="shared" si="31"/>
        <v>858885.0453333332</v>
      </c>
      <c r="AA58" s="6">
        <f t="shared" si="31"/>
        <v>835671.93599999987</v>
      </c>
      <c r="AB58" s="6">
        <f t="shared" si="31"/>
        <v>812458.82666666654</v>
      </c>
      <c r="AC58" s="6">
        <f t="shared" si="31"/>
        <v>789245.71733333333</v>
      </c>
      <c r="AD58" s="6">
        <f t="shared" si="31"/>
        <v>766032.60800000001</v>
      </c>
      <c r="AE58" s="6">
        <f t="shared" si="31"/>
        <v>742819.49866666668</v>
      </c>
      <c r="AF58" s="6">
        <f t="shared" si="31"/>
        <v>719606.38933333335</v>
      </c>
      <c r="AG58" s="6">
        <f t="shared" si="31"/>
        <v>696393.27999999991</v>
      </c>
      <c r="AH58" s="6">
        <f t="shared" si="31"/>
        <v>661573.61599999992</v>
      </c>
      <c r="AI58" s="6">
        <f t="shared" si="31"/>
        <v>626753.95200000005</v>
      </c>
      <c r="AJ58" s="6">
        <f t="shared" si="31"/>
        <v>591934.28799999994</v>
      </c>
      <c r="AK58" s="6">
        <f t="shared" si="31"/>
        <v>557114.62399999995</v>
      </c>
      <c r="AL58" s="6">
        <f t="shared" si="31"/>
        <v>522294.96</v>
      </c>
      <c r="AM58" s="6">
        <f t="shared" si="31"/>
        <v>487475.29599999991</v>
      </c>
      <c r="AN58" s="6">
        <f t="shared" si="31"/>
        <v>452655.63200000004</v>
      </c>
      <c r="AO58" s="6">
        <f t="shared" si="31"/>
        <v>417835.96799999994</v>
      </c>
      <c r="AP58" s="6">
        <f t="shared" si="31"/>
        <v>383016.304</v>
      </c>
      <c r="AQ58" s="6">
        <f t="shared" si="31"/>
        <v>348196.63999999996</v>
      </c>
    </row>
    <row r="59" spans="1:43" x14ac:dyDescent="0.35">
      <c r="B59" t="s">
        <v>88</v>
      </c>
      <c r="D59" s="6">
        <f t="shared" si="29"/>
        <v>38668</v>
      </c>
      <c r="E59" s="6">
        <f t="shared" si="29"/>
        <v>39882</v>
      </c>
      <c r="F59" s="6">
        <f t="shared" si="29"/>
        <v>40676</v>
      </c>
      <c r="G59" s="6">
        <f t="shared" si="29"/>
        <v>41372</v>
      </c>
      <c r="H59" s="6">
        <f t="shared" si="29"/>
        <v>43196</v>
      </c>
      <c r="I59" s="6">
        <f t="shared" si="29"/>
        <v>43062</v>
      </c>
      <c r="J59" s="6">
        <f t="shared" si="29"/>
        <v>40737.313432835814</v>
      </c>
      <c r="K59" s="6">
        <f t="shared" si="29"/>
        <v>40597.590361445786</v>
      </c>
      <c r="L59" s="6">
        <f t="shared" si="29"/>
        <v>38722</v>
      </c>
      <c r="M59" s="6">
        <f t="shared" si="29"/>
        <v>36377</v>
      </c>
      <c r="N59" s="6">
        <f t="shared" si="29"/>
        <v>38291.755555555559</v>
      </c>
      <c r="O59" s="6">
        <f t="shared" si="29"/>
        <v>37861.511111111111</v>
      </c>
      <c r="P59" s="6">
        <f t="shared" si="29"/>
        <v>37431.26666666667</v>
      </c>
      <c r="Q59" s="6">
        <f t="shared" si="29"/>
        <v>37001.022222222222</v>
      </c>
      <c r="R59" s="6">
        <f t="shared" si="29"/>
        <v>36570.777777777781</v>
      </c>
      <c r="S59" s="6">
        <f t="shared" si="29"/>
        <v>36140.533333333333</v>
      </c>
      <c r="T59" s="6">
        <f t="shared" si="31"/>
        <v>35710.288888888885</v>
      </c>
      <c r="U59" s="6">
        <f t="shared" si="31"/>
        <v>35280.044444444444</v>
      </c>
      <c r="V59" s="6">
        <f t="shared" si="31"/>
        <v>34849.800000000003</v>
      </c>
      <c r="W59" s="6">
        <f t="shared" si="31"/>
        <v>34419.555555555555</v>
      </c>
      <c r="X59" s="6">
        <f t="shared" si="31"/>
        <v>33559.066666666666</v>
      </c>
      <c r="Y59" s="6">
        <f t="shared" si="31"/>
        <v>32698.57777777778</v>
      </c>
      <c r="Z59" s="6">
        <f t="shared" si="31"/>
        <v>31838.088888888888</v>
      </c>
      <c r="AA59" s="6">
        <f t="shared" si="31"/>
        <v>30977.599999999999</v>
      </c>
      <c r="AB59" s="6">
        <f t="shared" si="31"/>
        <v>30117.111111111109</v>
      </c>
      <c r="AC59" s="6">
        <f t="shared" si="31"/>
        <v>29256.622222222224</v>
      </c>
      <c r="AD59" s="6">
        <f t="shared" si="31"/>
        <v>28396.133333333335</v>
      </c>
      <c r="AE59" s="6">
        <f t="shared" si="31"/>
        <v>27535.644444444446</v>
      </c>
      <c r="AF59" s="6">
        <f t="shared" si="31"/>
        <v>26675.155555555557</v>
      </c>
      <c r="AG59" s="6">
        <f t="shared" si="31"/>
        <v>25814.666666666668</v>
      </c>
      <c r="AH59" s="6">
        <f t="shared" si="31"/>
        <v>24523.933333333331</v>
      </c>
      <c r="AI59" s="6">
        <f t="shared" si="31"/>
        <v>23233.200000000001</v>
      </c>
      <c r="AJ59" s="6">
        <f t="shared" si="31"/>
        <v>21942.466666666667</v>
      </c>
      <c r="AK59" s="6">
        <f t="shared" si="31"/>
        <v>20651.733333333334</v>
      </c>
      <c r="AL59" s="6">
        <f t="shared" si="31"/>
        <v>19361</v>
      </c>
      <c r="AM59" s="6">
        <f t="shared" si="31"/>
        <v>18070.266666666666</v>
      </c>
      <c r="AN59" s="6">
        <f t="shared" si="31"/>
        <v>16779.533333333333</v>
      </c>
      <c r="AO59" s="6">
        <f t="shared" si="31"/>
        <v>15488.8</v>
      </c>
      <c r="AP59" s="6">
        <f t="shared" si="31"/>
        <v>14198.066666666668</v>
      </c>
      <c r="AQ59" s="6">
        <f t="shared" si="31"/>
        <v>12907.333333333334</v>
      </c>
    </row>
    <row r="60" spans="1:43" x14ac:dyDescent="0.35">
      <c r="B60" t="s">
        <v>89</v>
      </c>
      <c r="D60" s="6">
        <f t="shared" si="29"/>
        <v>201516</v>
      </c>
      <c r="E60" s="6">
        <f t="shared" si="29"/>
        <v>202694.00000000003</v>
      </c>
      <c r="F60" s="6">
        <f t="shared" si="29"/>
        <v>209980</v>
      </c>
      <c r="G60" s="6">
        <f t="shared" si="29"/>
        <v>202896</v>
      </c>
      <c r="H60" s="6">
        <f t="shared" si="29"/>
        <v>204046</v>
      </c>
      <c r="I60" s="6">
        <f t="shared" si="29"/>
        <v>189340</v>
      </c>
      <c r="J60" s="6">
        <f t="shared" si="29"/>
        <v>197943.28358208956</v>
      </c>
      <c r="K60" s="6">
        <f t="shared" si="29"/>
        <v>204806.02409638558</v>
      </c>
      <c r="L60" s="6">
        <f t="shared" si="29"/>
        <v>194202</v>
      </c>
      <c r="M60" s="6">
        <f>M31*M46</f>
        <v>182349</v>
      </c>
      <c r="N60" s="6">
        <f t="shared" si="29"/>
        <v>190965.3</v>
      </c>
      <c r="O60" s="6">
        <f t="shared" si="29"/>
        <v>176270.69999999998</v>
      </c>
      <c r="P60" s="6">
        <f t="shared" si="29"/>
        <v>184491.9</v>
      </c>
      <c r="Q60" s="6">
        <f t="shared" si="29"/>
        <v>170192.40000000002</v>
      </c>
      <c r="R60" s="6">
        <f t="shared" si="29"/>
        <v>178018.5</v>
      </c>
      <c r="S60" s="6">
        <f t="shared" si="29"/>
        <v>164114.1</v>
      </c>
      <c r="T60" s="6">
        <f t="shared" si="31"/>
        <v>171545.1</v>
      </c>
      <c r="U60" s="6">
        <f t="shared" si="31"/>
        <v>158035.80000000002</v>
      </c>
      <c r="V60" s="6">
        <f t="shared" si="31"/>
        <v>165071.70000000001</v>
      </c>
      <c r="W60" s="6">
        <f t="shared" si="31"/>
        <v>151957.5</v>
      </c>
      <c r="X60" s="6">
        <f t="shared" si="31"/>
        <v>155361.60000000001</v>
      </c>
      <c r="Y60" s="6">
        <f t="shared" si="31"/>
        <v>139800.9</v>
      </c>
      <c r="Z60" s="6">
        <f t="shared" si="31"/>
        <v>142414.79999999999</v>
      </c>
      <c r="AA60" s="6">
        <f t="shared" si="31"/>
        <v>127644.29999999999</v>
      </c>
      <c r="AB60" s="6">
        <f t="shared" si="31"/>
        <v>129468</v>
      </c>
      <c r="AC60" s="6">
        <f t="shared" si="31"/>
        <v>115487.7</v>
      </c>
      <c r="AD60" s="6">
        <f t="shared" si="31"/>
        <v>116521.2</v>
      </c>
      <c r="AE60" s="6">
        <f t="shared" si="31"/>
        <v>103331.1</v>
      </c>
      <c r="AF60" s="6">
        <f t="shared" si="31"/>
        <v>103574.40000000001</v>
      </c>
      <c r="AG60" s="6">
        <f t="shared" si="31"/>
        <v>91174.5</v>
      </c>
      <c r="AH60" s="6">
        <f t="shared" si="31"/>
        <v>87390.900000000009</v>
      </c>
      <c r="AI60" s="6">
        <f t="shared" si="31"/>
        <v>72939.599999999991</v>
      </c>
      <c r="AJ60" s="6">
        <f t="shared" ref="AJ60:AQ60" si="32">AJ31*AJ46</f>
        <v>67970.7</v>
      </c>
      <c r="AK60" s="6">
        <f t="shared" si="32"/>
        <v>54704.7</v>
      </c>
      <c r="AL60" s="6">
        <f t="shared" si="32"/>
        <v>48550.5</v>
      </c>
      <c r="AM60" s="6">
        <f t="shared" si="32"/>
        <v>36469.799999999996</v>
      </c>
      <c r="AN60" s="6">
        <f t="shared" si="32"/>
        <v>29130.3</v>
      </c>
      <c r="AO60" s="6">
        <f t="shared" si="32"/>
        <v>18234.899999999998</v>
      </c>
      <c r="AP60" s="6">
        <f t="shared" si="32"/>
        <v>9710.1</v>
      </c>
      <c r="AQ60" s="6">
        <f t="shared" si="32"/>
        <v>0</v>
      </c>
    </row>
    <row r="61" spans="1:43" s="2" customFormat="1" ht="17.149999999999999" customHeight="1" x14ac:dyDescent="0.35">
      <c r="C61" s="2">
        <v>2010</v>
      </c>
      <c r="D61" s="2">
        <v>2011</v>
      </c>
      <c r="E61" s="2">
        <v>2012</v>
      </c>
      <c r="F61" s="2">
        <v>2013</v>
      </c>
      <c r="G61" s="2">
        <v>2014</v>
      </c>
      <c r="H61" s="2">
        <v>2015</v>
      </c>
      <c r="I61" s="2">
        <v>2016</v>
      </c>
      <c r="J61" s="2">
        <v>2017</v>
      </c>
      <c r="K61" s="2">
        <v>2018</v>
      </c>
      <c r="L61" s="2">
        <v>2019</v>
      </c>
      <c r="M61" s="2">
        <v>2020</v>
      </c>
    </row>
    <row r="62" spans="1:43" s="115" customFormat="1" x14ac:dyDescent="0.35">
      <c r="A62" s="114" t="s">
        <v>318</v>
      </c>
      <c r="B62" s="115" t="s">
        <v>90</v>
      </c>
      <c r="D62" s="116">
        <f t="shared" ref="D62:AQ62" si="33">SUM(D49:D60)</f>
        <v>6639233</v>
      </c>
      <c r="E62" s="116">
        <f t="shared" si="33"/>
        <v>6758548</v>
      </c>
      <c r="F62" s="116">
        <f t="shared" si="33"/>
        <v>9089150.1999999993</v>
      </c>
      <c r="G62" s="116">
        <f t="shared" si="33"/>
        <v>8670877</v>
      </c>
      <c r="H62" s="116">
        <f t="shared" si="33"/>
        <v>8442772.8000000007</v>
      </c>
      <c r="I62" s="116">
        <f t="shared" si="33"/>
        <v>8313815.7999999998</v>
      </c>
      <c r="J62" s="116">
        <f t="shared" si="33"/>
        <v>8070651.940298507</v>
      </c>
      <c r="K62" s="116">
        <f t="shared" si="33"/>
        <v>7824845.9036144586</v>
      </c>
      <c r="L62" s="116">
        <f t="shared" si="33"/>
        <v>8141618.2000000002</v>
      </c>
      <c r="M62" s="116">
        <f t="shared" si="33"/>
        <v>7508170.5</v>
      </c>
      <c r="N62" s="117">
        <f t="shared" si="33"/>
        <v>6676591.3448888874</v>
      </c>
      <c r="O62" s="117">
        <f t="shared" si="33"/>
        <v>6477017.8151111118</v>
      </c>
      <c r="P62" s="117">
        <f t="shared" si="33"/>
        <v>6412033.9626666671</v>
      </c>
      <c r="Q62" s="117">
        <f t="shared" si="33"/>
        <v>6324529.4102222212</v>
      </c>
      <c r="R62" s="117">
        <f t="shared" si="33"/>
        <v>6259150.4577777786</v>
      </c>
      <c r="S62" s="117">
        <f t="shared" si="33"/>
        <v>6172041.0053333333</v>
      </c>
      <c r="T62" s="117">
        <f t="shared" si="33"/>
        <v>6106266.9528888874</v>
      </c>
      <c r="U62" s="117">
        <f t="shared" si="33"/>
        <v>6019552.6004444445</v>
      </c>
      <c r="V62" s="117">
        <f t="shared" si="33"/>
        <v>5953383.4480000008</v>
      </c>
      <c r="W62" s="117">
        <f t="shared" si="33"/>
        <v>5398267.7511111116</v>
      </c>
      <c r="X62" s="117">
        <f t="shared" si="33"/>
        <v>5266981.657333333</v>
      </c>
      <c r="Y62" s="117">
        <f t="shared" si="33"/>
        <v>5116730.7635555556</v>
      </c>
      <c r="Z62" s="117">
        <f t="shared" si="33"/>
        <v>4984654.4697777778</v>
      </c>
      <c r="AA62" s="117">
        <f t="shared" si="33"/>
        <v>4835193.7759999996</v>
      </c>
      <c r="AB62" s="117">
        <f t="shared" si="33"/>
        <v>4702327.2822222216</v>
      </c>
      <c r="AC62" s="117">
        <f t="shared" si="33"/>
        <v>4553656.7884444445</v>
      </c>
      <c r="AD62" s="117">
        <f t="shared" si="33"/>
        <v>4420000.0946666673</v>
      </c>
      <c r="AE62" s="117">
        <f t="shared" si="33"/>
        <v>4272119.8008888885</v>
      </c>
      <c r="AF62" s="117">
        <f t="shared" si="33"/>
        <v>4137672.9071111111</v>
      </c>
      <c r="AG62" s="117">
        <f t="shared" si="33"/>
        <v>3638985.48</v>
      </c>
      <c r="AH62" s="117">
        <f t="shared" si="33"/>
        <v>3450746.4559999998</v>
      </c>
      <c r="AI62" s="117">
        <f t="shared" si="33"/>
        <v>3251839.7320000003</v>
      </c>
      <c r="AJ62" s="117">
        <f t="shared" si="33"/>
        <v>3062415.4080000008</v>
      </c>
      <c r="AK62" s="117">
        <f t="shared" si="33"/>
        <v>2864693.9840000002</v>
      </c>
      <c r="AL62" s="117">
        <f t="shared" si="33"/>
        <v>2674084.36</v>
      </c>
      <c r="AM62" s="117">
        <f t="shared" si="33"/>
        <v>2477548.236</v>
      </c>
      <c r="AN62" s="117">
        <f t="shared" si="33"/>
        <v>2285753.3119999999</v>
      </c>
      <c r="AO62" s="117">
        <f t="shared" si="33"/>
        <v>2090402.4879999999</v>
      </c>
      <c r="AP62" s="117">
        <f t="shared" si="33"/>
        <v>1897422.264</v>
      </c>
      <c r="AQ62" s="117">
        <f t="shared" si="33"/>
        <v>1703256.74</v>
      </c>
    </row>
    <row r="63" spans="1:43" s="112" customFormat="1" ht="15" thickBot="1" x14ac:dyDescent="0.4">
      <c r="B63" s="112" t="s">
        <v>92</v>
      </c>
      <c r="D63" s="113">
        <f t="shared" ref="D63:L63" si="34">D62/1000000</f>
        <v>6.6392329999999999</v>
      </c>
      <c r="E63" s="113">
        <f t="shared" si="34"/>
        <v>6.7585480000000002</v>
      </c>
      <c r="F63" s="113">
        <f t="shared" si="34"/>
        <v>9.0891501999999988</v>
      </c>
      <c r="G63" s="113">
        <f t="shared" si="34"/>
        <v>8.6708770000000008</v>
      </c>
      <c r="H63" s="113">
        <f t="shared" si="34"/>
        <v>8.4427728000000002</v>
      </c>
      <c r="I63" s="113">
        <f t="shared" si="34"/>
        <v>8.3138158000000004</v>
      </c>
      <c r="J63" s="113">
        <f t="shared" si="34"/>
        <v>8.0706519402985073</v>
      </c>
      <c r="K63" s="113">
        <f t="shared" si="34"/>
        <v>7.8248459036144586</v>
      </c>
      <c r="L63" s="113">
        <f t="shared" si="34"/>
        <v>8.1416181999999999</v>
      </c>
      <c r="M63" s="113">
        <f>M62/1000000</f>
        <v>7.5081705000000003</v>
      </c>
      <c r="N63" s="128">
        <f>N62/1000000</f>
        <v>6.6765913448888874</v>
      </c>
      <c r="O63" s="128">
        <f t="shared" ref="O63:AQ63" si="35">O62/1000000</f>
        <v>6.477017815111112</v>
      </c>
      <c r="P63" s="141">
        <f t="shared" si="35"/>
        <v>6.4120339626666674</v>
      </c>
      <c r="Q63" s="141">
        <f t="shared" si="35"/>
        <v>6.3245294102222216</v>
      </c>
      <c r="R63" s="141">
        <f t="shared" si="35"/>
        <v>6.2591504577777783</v>
      </c>
      <c r="S63" s="141">
        <f t="shared" si="35"/>
        <v>6.172041005333333</v>
      </c>
      <c r="T63" s="141">
        <f t="shared" si="35"/>
        <v>6.1062669528888875</v>
      </c>
      <c r="U63" s="128">
        <f t="shared" si="35"/>
        <v>6.0195526004444444</v>
      </c>
      <c r="V63" s="128">
        <f t="shared" si="35"/>
        <v>5.9533834480000012</v>
      </c>
      <c r="W63" s="128">
        <f t="shared" si="35"/>
        <v>5.3982677511111117</v>
      </c>
      <c r="X63" s="128">
        <f t="shared" si="35"/>
        <v>5.266981657333333</v>
      </c>
      <c r="Y63" s="128">
        <f t="shared" si="35"/>
        <v>5.1167307635555552</v>
      </c>
      <c r="Z63" s="128">
        <f t="shared" si="35"/>
        <v>4.9846544697777775</v>
      </c>
      <c r="AA63" s="128">
        <f t="shared" si="35"/>
        <v>4.8351937759999997</v>
      </c>
      <c r="AB63" s="128">
        <f t="shared" si="35"/>
        <v>4.702327282222222</v>
      </c>
      <c r="AC63" s="128">
        <f t="shared" si="35"/>
        <v>4.5536567884444441</v>
      </c>
      <c r="AD63" s="128">
        <f t="shared" si="35"/>
        <v>4.4200000946666673</v>
      </c>
      <c r="AE63" s="128">
        <f t="shared" si="35"/>
        <v>4.2721198008888885</v>
      </c>
      <c r="AF63" s="128">
        <f t="shared" si="35"/>
        <v>4.1376729071111109</v>
      </c>
      <c r="AG63" s="128">
        <f t="shared" si="35"/>
        <v>3.6389854800000001</v>
      </c>
      <c r="AH63" s="128">
        <f t="shared" si="35"/>
        <v>3.4507464559999996</v>
      </c>
      <c r="AI63" s="128">
        <f t="shared" si="35"/>
        <v>3.2518397320000001</v>
      </c>
      <c r="AJ63" s="128">
        <f t="shared" si="35"/>
        <v>3.0624154080000006</v>
      </c>
      <c r="AK63" s="128">
        <f t="shared" si="35"/>
        <v>2.8646939840000001</v>
      </c>
      <c r="AL63" s="128">
        <f t="shared" si="35"/>
        <v>2.6740843599999997</v>
      </c>
      <c r="AM63" s="128">
        <f t="shared" si="35"/>
        <v>2.4775482360000001</v>
      </c>
      <c r="AN63" s="128">
        <f t="shared" si="35"/>
        <v>2.2857533119999998</v>
      </c>
      <c r="AO63" s="128">
        <f t="shared" si="35"/>
        <v>2.0904024880000001</v>
      </c>
      <c r="AP63" s="128">
        <f t="shared" si="35"/>
        <v>1.897422264</v>
      </c>
      <c r="AQ63" s="128">
        <f t="shared" si="35"/>
        <v>1.70325674</v>
      </c>
    </row>
    <row r="64" spans="1:43" ht="15" thickTop="1" x14ac:dyDescent="0.35"/>
    <row r="67" spans="1:4" x14ac:dyDescent="0.35">
      <c r="A67" t="s">
        <v>93</v>
      </c>
    </row>
    <row r="68" spans="1:4" x14ac:dyDescent="0.35">
      <c r="A68" t="s">
        <v>94</v>
      </c>
    </row>
    <row r="69" spans="1:4" x14ac:dyDescent="0.35">
      <c r="A69" t="s">
        <v>305</v>
      </c>
    </row>
    <row r="70" spans="1:4" x14ac:dyDescent="0.35">
      <c r="A70" t="s">
        <v>95</v>
      </c>
    </row>
    <row r="71" spans="1:4" x14ac:dyDescent="0.35">
      <c r="A71" t="s">
        <v>304</v>
      </c>
    </row>
    <row r="72" spans="1:4" x14ac:dyDescent="0.35">
      <c r="A72" t="s">
        <v>96</v>
      </c>
      <c r="C72">
        <v>934400</v>
      </c>
      <c r="D72" t="s">
        <v>97</v>
      </c>
    </row>
    <row r="73" spans="1:4" x14ac:dyDescent="0.35">
      <c r="A73" t="s">
        <v>98</v>
      </c>
    </row>
  </sheetData>
  <pageMargins left="0.7" right="0.7" top="0.75" bottom="0.75" header="0.3" footer="0.3"/>
  <pageSetup paperSize="9" orientation="portrait" r:id="rId1"/>
  <headerFooter>
    <oddHeader>&amp;C&amp;"Calibri"&amp;10&amp;K000000[STAFF IN-CONFIDENCE]&amp;1#</oddHeader>
    <oddFooter>&amp;C&amp;1#&amp;"Calibri"&amp;10&amp;K000000[STAFF IN-CONFIDENCE]</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68F9-E156-4708-A49B-E89AA49D4EDB}">
  <sheetPr>
    <tabColor theme="9"/>
  </sheetPr>
  <dimension ref="A1:Y54"/>
  <sheetViews>
    <sheetView zoomScale="70" zoomScaleNormal="70" workbookViewId="0"/>
  </sheetViews>
  <sheetFormatPr defaultColWidth="8.7265625" defaultRowHeight="14.5" x14ac:dyDescent="0.35"/>
  <cols>
    <col min="1" max="1" width="12.26953125" customWidth="1"/>
    <col min="2" max="2" width="33.54296875" customWidth="1"/>
    <col min="3" max="3" width="18.1796875" customWidth="1"/>
    <col min="4" max="13" width="16.453125" customWidth="1"/>
    <col min="14" max="14" width="13.81640625" customWidth="1"/>
    <col min="15" max="15" width="13.26953125" bestFit="1" customWidth="1"/>
    <col min="16" max="16" width="13.81640625" customWidth="1"/>
  </cols>
  <sheetData>
    <row r="1" spans="1:24" s="59" customFormat="1" x14ac:dyDescent="0.35">
      <c r="A1" s="58" t="s">
        <v>99</v>
      </c>
    </row>
    <row r="2" spans="1:24" x14ac:dyDescent="0.35">
      <c r="A2" s="2"/>
      <c r="E2" s="136"/>
    </row>
    <row r="3" spans="1:24" x14ac:dyDescent="0.35">
      <c r="B3" s="2" t="s">
        <v>100</v>
      </c>
      <c r="D3" s="7">
        <f>('Privately held units'!I14/1000)</f>
        <v>144104.636</v>
      </c>
      <c r="E3" s="139">
        <f>D3/1000</f>
        <v>144.104636</v>
      </c>
      <c r="F3" s="16">
        <f>ROUND((D3/1000),1)</f>
        <v>144.1</v>
      </c>
      <c r="G3">
        <v>144.1</v>
      </c>
    </row>
    <row r="4" spans="1:24" x14ac:dyDescent="0.35">
      <c r="E4" s="139">
        <f t="shared" ref="E4:E22" si="0">D4/1000</f>
        <v>0</v>
      </c>
      <c r="F4" s="16">
        <f t="shared" ref="F4:F23" si="1">ROUND((D4/1000),1)</f>
        <v>0</v>
      </c>
      <c r="G4">
        <v>0</v>
      </c>
      <c r="M4" s="15"/>
    </row>
    <row r="5" spans="1:24" x14ac:dyDescent="0.35">
      <c r="B5" s="2" t="s">
        <v>101</v>
      </c>
      <c r="C5" t="s">
        <v>340</v>
      </c>
      <c r="D5" s="6">
        <f>'Hedging profile'!I39</f>
        <v>39423.015064138264</v>
      </c>
      <c r="E5" s="139">
        <f t="shared" si="0"/>
        <v>39.423015064138262</v>
      </c>
      <c r="F5" s="16">
        <f t="shared" si="1"/>
        <v>39.4</v>
      </c>
      <c r="G5">
        <v>39.4</v>
      </c>
      <c r="K5" s="6"/>
      <c r="L5" s="6"/>
      <c r="M5" s="15"/>
      <c r="R5" s="12"/>
    </row>
    <row r="6" spans="1:24" x14ac:dyDescent="0.35">
      <c r="C6" s="136" t="s">
        <v>320</v>
      </c>
      <c r="D6" s="60">
        <f>'Hedging profile'!I44</f>
        <v>30223.368901739512</v>
      </c>
      <c r="E6" s="139">
        <f t="shared" si="0"/>
        <v>30.223368901739512</v>
      </c>
      <c r="F6" s="16">
        <f t="shared" si="1"/>
        <v>30.2</v>
      </c>
      <c r="G6">
        <v>30.2</v>
      </c>
      <c r="K6" s="12"/>
      <c r="L6" s="12"/>
      <c r="M6" s="15"/>
      <c r="R6" s="12"/>
    </row>
    <row r="7" spans="1:24" x14ac:dyDescent="0.35">
      <c r="C7" t="s">
        <v>341</v>
      </c>
      <c r="D7" s="6">
        <f>'Hedging profile'!I49</f>
        <v>20893.064946139202</v>
      </c>
      <c r="E7" s="139">
        <f t="shared" si="0"/>
        <v>20.893064946139202</v>
      </c>
      <c r="F7" s="16">
        <f t="shared" si="1"/>
        <v>20.9</v>
      </c>
      <c r="G7">
        <v>20.9</v>
      </c>
      <c r="K7" s="12"/>
    </row>
    <row r="8" spans="1:24" x14ac:dyDescent="0.35">
      <c r="D8" s="15"/>
      <c r="E8" s="139">
        <f t="shared" si="0"/>
        <v>0</v>
      </c>
      <c r="F8" s="16">
        <f t="shared" si="1"/>
        <v>0</v>
      </c>
      <c r="G8">
        <v>0</v>
      </c>
      <c r="K8" s="6"/>
      <c r="L8" s="6"/>
      <c r="S8" s="6"/>
      <c r="T8" s="6"/>
      <c r="U8" s="6"/>
      <c r="V8" s="6"/>
      <c r="W8" s="6"/>
      <c r="X8" s="6"/>
    </row>
    <row r="9" spans="1:24" x14ac:dyDescent="0.35">
      <c r="B9" s="2" t="s">
        <v>102</v>
      </c>
      <c r="C9" t="s">
        <v>342</v>
      </c>
      <c r="D9" s="25">
        <v>58000</v>
      </c>
      <c r="E9" s="139">
        <f t="shared" si="0"/>
        <v>58</v>
      </c>
      <c r="F9" s="16">
        <f t="shared" si="1"/>
        <v>58</v>
      </c>
      <c r="G9">
        <v>58</v>
      </c>
      <c r="K9" s="6"/>
      <c r="L9" s="6"/>
      <c r="S9" s="6"/>
      <c r="T9" s="6"/>
      <c r="U9" s="6"/>
      <c r="V9" s="6"/>
      <c r="W9" s="6"/>
      <c r="X9" s="6"/>
    </row>
    <row r="10" spans="1:24" x14ac:dyDescent="0.35">
      <c r="C10" s="136" t="s">
        <v>320</v>
      </c>
      <c r="D10" s="137">
        <v>52200</v>
      </c>
      <c r="E10" s="139">
        <f t="shared" si="0"/>
        <v>52.2</v>
      </c>
      <c r="F10" s="16">
        <f t="shared" si="1"/>
        <v>52.2</v>
      </c>
      <c r="G10">
        <v>52.2</v>
      </c>
      <c r="K10" s="6"/>
      <c r="L10" s="6"/>
    </row>
    <row r="11" spans="1:24" x14ac:dyDescent="0.35">
      <c r="C11" t="s">
        <v>343</v>
      </c>
      <c r="D11" s="25">
        <v>46400</v>
      </c>
      <c r="E11" s="139">
        <f t="shared" si="0"/>
        <v>46.4</v>
      </c>
      <c r="F11" s="16">
        <f t="shared" si="1"/>
        <v>46.4</v>
      </c>
      <c r="G11" s="6">
        <v>46.4</v>
      </c>
      <c r="H11" s="6"/>
      <c r="I11" s="6"/>
      <c r="J11" s="6"/>
      <c r="K11" s="6"/>
      <c r="L11" s="6"/>
    </row>
    <row r="12" spans="1:24" x14ac:dyDescent="0.35">
      <c r="E12" s="139">
        <f t="shared" si="0"/>
        <v>0</v>
      </c>
      <c r="F12" s="16">
        <f t="shared" si="1"/>
        <v>0</v>
      </c>
      <c r="G12" s="6">
        <v>0</v>
      </c>
      <c r="H12" s="6"/>
      <c r="I12" s="6"/>
      <c r="J12" s="6"/>
      <c r="K12" s="6"/>
      <c r="L12" s="6"/>
    </row>
    <row r="13" spans="1:24" x14ac:dyDescent="0.35">
      <c r="B13" s="2" t="s">
        <v>103</v>
      </c>
      <c r="C13" t="s">
        <v>324</v>
      </c>
      <c r="D13" s="4">
        <f>'P90 trends'!H49</f>
        <v>0.90977610280234922</v>
      </c>
      <c r="E13" s="139">
        <f t="shared" si="0"/>
        <v>9.0977610280234926E-4</v>
      </c>
      <c r="F13" s="16">
        <f t="shared" si="1"/>
        <v>0</v>
      </c>
      <c r="G13" s="6">
        <v>0</v>
      </c>
      <c r="H13" s="9"/>
      <c r="I13" s="14"/>
      <c r="J13" s="9"/>
      <c r="K13" s="6"/>
      <c r="L13" s="6"/>
    </row>
    <row r="14" spans="1:24" x14ac:dyDescent="0.35">
      <c r="C14" s="136" t="s">
        <v>320</v>
      </c>
      <c r="D14" s="31">
        <f>'P90 trends'!H61</f>
        <v>0.85640836447399915</v>
      </c>
      <c r="E14" s="139">
        <f t="shared" si="0"/>
        <v>8.5640836447399918E-4</v>
      </c>
      <c r="F14" s="16">
        <f t="shared" si="1"/>
        <v>0</v>
      </c>
      <c r="G14" s="6">
        <v>0</v>
      </c>
      <c r="H14" s="9"/>
      <c r="I14" s="14"/>
      <c r="J14" s="9"/>
      <c r="K14" s="6"/>
      <c r="L14" s="6"/>
    </row>
    <row r="15" spans="1:24" x14ac:dyDescent="0.35">
      <c r="C15" t="s">
        <v>325</v>
      </c>
      <c r="D15" s="4">
        <f>'P90 trends'!E49</f>
        <v>0.72289022137867553</v>
      </c>
      <c r="E15" s="139">
        <f t="shared" si="0"/>
        <v>7.2289022137867549E-4</v>
      </c>
      <c r="F15" s="16">
        <f t="shared" si="1"/>
        <v>0</v>
      </c>
      <c r="G15" s="6">
        <v>0</v>
      </c>
      <c r="H15" s="9"/>
      <c r="I15" s="14"/>
      <c r="J15" s="9"/>
      <c r="K15" s="6"/>
      <c r="L15" s="6"/>
    </row>
    <row r="16" spans="1:24" x14ac:dyDescent="0.35">
      <c r="D16" s="6"/>
      <c r="E16" s="139">
        <f t="shared" si="0"/>
        <v>0</v>
      </c>
      <c r="F16" s="16">
        <f t="shared" si="1"/>
        <v>0</v>
      </c>
      <c r="G16" s="6">
        <v>0</v>
      </c>
      <c r="H16" s="9"/>
      <c r="I16" s="55"/>
      <c r="J16" s="9"/>
      <c r="K16" s="6"/>
      <c r="L16" s="6"/>
    </row>
    <row r="17" spans="1:25" x14ac:dyDescent="0.35">
      <c r="B17" s="2" t="s">
        <v>104</v>
      </c>
      <c r="C17" t="s">
        <v>326</v>
      </c>
      <c r="D17" s="18">
        <f>'Privately held units'!D14/1000</f>
        <v>16162.191999999999</v>
      </c>
      <c r="E17" s="139">
        <f t="shared" si="0"/>
        <v>16.162191999999997</v>
      </c>
      <c r="F17" s="16">
        <f t="shared" si="1"/>
        <v>16.2</v>
      </c>
      <c r="G17" s="6">
        <v>16.2</v>
      </c>
      <c r="H17" s="9"/>
      <c r="I17" s="127"/>
      <c r="J17" s="9"/>
      <c r="K17" s="6"/>
      <c r="L17" s="6"/>
      <c r="P17" s="6"/>
      <c r="Q17" s="6"/>
      <c r="R17" s="6"/>
      <c r="S17" s="6"/>
      <c r="T17" s="6"/>
      <c r="U17" s="6"/>
      <c r="V17" s="6"/>
      <c r="W17" s="6"/>
      <c r="X17" s="6"/>
    </row>
    <row r="18" spans="1:25" x14ac:dyDescent="0.35">
      <c r="C18" t="s">
        <v>327</v>
      </c>
      <c r="D18" s="6">
        <f>$D$17*D13</f>
        <v>14703.976050503305</v>
      </c>
      <c r="E18" s="139">
        <f t="shared" si="0"/>
        <v>14.703976050503304</v>
      </c>
      <c r="F18" s="16">
        <f t="shared" si="1"/>
        <v>14.7</v>
      </c>
      <c r="G18" s="6">
        <v>14.7</v>
      </c>
      <c r="H18" s="9"/>
      <c r="I18" s="127"/>
      <c r="J18" s="55"/>
      <c r="K18" s="9"/>
      <c r="L18" s="6"/>
      <c r="M18" s="6"/>
      <c r="Q18" s="6"/>
      <c r="R18" s="6"/>
      <c r="S18" s="6"/>
      <c r="T18" s="6"/>
      <c r="U18" s="6"/>
      <c r="V18" s="6"/>
      <c r="W18" s="6"/>
      <c r="X18" s="6"/>
      <c r="Y18" s="6"/>
    </row>
    <row r="19" spans="1:25" x14ac:dyDescent="0.35">
      <c r="C19" s="136" t="s">
        <v>320</v>
      </c>
      <c r="D19" s="60">
        <f>$D$17*D14</f>
        <v>13841.436417034753</v>
      </c>
      <c r="E19" s="139">
        <f t="shared" si="0"/>
        <v>13.841436417034753</v>
      </c>
      <c r="F19" s="16">
        <f t="shared" si="1"/>
        <v>13.8</v>
      </c>
      <c r="G19" s="6">
        <v>13.8</v>
      </c>
      <c r="H19" s="9"/>
      <c r="I19" s="127"/>
      <c r="J19" s="55"/>
      <c r="K19" s="9"/>
      <c r="L19" s="6"/>
      <c r="M19" s="6"/>
    </row>
    <row r="20" spans="1:25" x14ac:dyDescent="0.35">
      <c r="C20" t="s">
        <v>328</v>
      </c>
      <c r="D20" s="6">
        <f>$D$17*D15</f>
        <v>11683.490552844658</v>
      </c>
      <c r="E20" s="139">
        <f t="shared" si="0"/>
        <v>11.683490552844658</v>
      </c>
      <c r="F20" s="16">
        <f t="shared" si="1"/>
        <v>11.7</v>
      </c>
      <c r="G20" s="6">
        <v>11.7</v>
      </c>
      <c r="H20" s="9"/>
      <c r="I20" s="127"/>
      <c r="J20" s="9"/>
      <c r="K20" s="9"/>
      <c r="L20" s="6"/>
      <c r="M20" s="6"/>
    </row>
    <row r="21" spans="1:25" x14ac:dyDescent="0.35">
      <c r="D21" s="6"/>
      <c r="E21" s="139">
        <f t="shared" si="0"/>
        <v>0</v>
      </c>
      <c r="F21" s="16">
        <f t="shared" si="1"/>
        <v>0</v>
      </c>
      <c r="G21" s="6">
        <v>0</v>
      </c>
      <c r="H21" s="9"/>
      <c r="I21" s="14"/>
      <c r="J21" s="9"/>
      <c r="K21" s="6"/>
      <c r="L21" s="6"/>
    </row>
    <row r="22" spans="1:25" x14ac:dyDescent="0.35">
      <c r="B22" s="2" t="s">
        <v>105</v>
      </c>
      <c r="D22" s="25">
        <v>1300</v>
      </c>
      <c r="E22" s="139">
        <f t="shared" si="0"/>
        <v>1.3</v>
      </c>
      <c r="F22" s="16">
        <f t="shared" si="1"/>
        <v>1.3</v>
      </c>
      <c r="G22" s="6">
        <v>1.3</v>
      </c>
      <c r="H22" s="9"/>
      <c r="I22" s="14"/>
      <c r="J22" s="9"/>
      <c r="K22" s="6"/>
      <c r="L22" s="6"/>
      <c r="P22" s="6"/>
      <c r="Q22" s="6"/>
      <c r="R22" s="6"/>
      <c r="S22" s="6"/>
      <c r="T22" s="6"/>
      <c r="U22" s="6"/>
      <c r="V22" s="6"/>
      <c r="W22" s="6"/>
      <c r="X22" s="6"/>
    </row>
    <row r="23" spans="1:25" x14ac:dyDescent="0.35">
      <c r="D23" s="6"/>
      <c r="E23" s="31"/>
      <c r="F23" s="16">
        <f t="shared" si="1"/>
        <v>0</v>
      </c>
      <c r="G23" s="6">
        <v>0</v>
      </c>
      <c r="H23" s="14"/>
      <c r="I23" s="14"/>
      <c r="J23" s="14"/>
      <c r="K23" s="6"/>
      <c r="L23" s="6"/>
      <c r="P23" s="6"/>
      <c r="Q23" s="6"/>
      <c r="R23" s="6"/>
      <c r="S23" s="6"/>
      <c r="T23" s="6"/>
      <c r="U23" s="6"/>
      <c r="V23" s="6"/>
      <c r="W23" s="6"/>
      <c r="X23" s="6"/>
    </row>
    <row r="24" spans="1:25" x14ac:dyDescent="0.35">
      <c r="B24" s="2" t="s">
        <v>106</v>
      </c>
      <c r="C24" t="s">
        <v>338</v>
      </c>
      <c r="D24" s="12">
        <f>$D$3-D7-D11-D20+$D$22</f>
        <v>66428.080501016142</v>
      </c>
      <c r="E24" s="15">
        <f>$E$3-E7-E11-E20+$E$22</f>
        <v>66.42808050101614</v>
      </c>
      <c r="F24" s="15">
        <f>$E$3-F7-F11-F20+$E$22</f>
        <v>66.404635999999982</v>
      </c>
      <c r="G24" s="15">
        <f>$E$3-G7-G11-G20+$E$22</f>
        <v>66.404635999999982</v>
      </c>
      <c r="H24" s="15"/>
      <c r="L24" s="2"/>
      <c r="P24" s="6"/>
      <c r="Q24" s="6"/>
      <c r="R24" s="6"/>
      <c r="S24" s="6"/>
      <c r="T24" s="6"/>
      <c r="U24" s="6"/>
      <c r="V24" s="6"/>
      <c r="W24" s="6"/>
      <c r="X24" s="6"/>
    </row>
    <row r="25" spans="1:25" x14ac:dyDescent="0.35">
      <c r="C25" s="136" t="s">
        <v>323</v>
      </c>
      <c r="D25" s="142">
        <f>$D$3-D6-D10-D19+$D$22</f>
        <v>49139.830681225736</v>
      </c>
      <c r="E25" s="15">
        <f>$E$3-E6-E10-E19+$E$22</f>
        <v>49.139830681225718</v>
      </c>
      <c r="F25" s="15">
        <f>$E$3-F6-F10-F19+$E$22</f>
        <v>49.204635999999994</v>
      </c>
      <c r="G25" s="15">
        <f>$E$3-G6-G10-G19+$E$22</f>
        <v>49.204635999999994</v>
      </c>
      <c r="H25" s="15"/>
      <c r="I25" s="2"/>
      <c r="J25" s="2"/>
      <c r="K25" s="2"/>
      <c r="L25" s="6"/>
      <c r="M25" s="6"/>
    </row>
    <row r="26" spans="1:25" x14ac:dyDescent="0.35">
      <c r="C26" t="s">
        <v>339</v>
      </c>
      <c r="D26" s="12">
        <f>$D$3-D5-D9-D18+$D$22</f>
        <v>33277.64488535843</v>
      </c>
      <c r="E26" s="15">
        <f>$E$3-E5-E9-E18+$E$22</f>
        <v>33.277644885358427</v>
      </c>
      <c r="F26" s="15">
        <f>$E$3-F5-F9-F18+$E$22</f>
        <v>33.304635999999988</v>
      </c>
      <c r="G26" s="15">
        <f>$E$3-G5-G9-G18+$E$22</f>
        <v>33.304635999999988</v>
      </c>
      <c r="H26" s="15"/>
      <c r="I26" s="2"/>
      <c r="J26" s="2"/>
      <c r="K26" s="2"/>
      <c r="L26" s="6"/>
      <c r="M26" s="6"/>
    </row>
    <row r="27" spans="1:25" x14ac:dyDescent="0.35">
      <c r="D27" s="2"/>
      <c r="E27" s="2"/>
      <c r="F27" s="2"/>
      <c r="G27" s="2"/>
      <c r="H27" s="2"/>
      <c r="I27" s="2"/>
      <c r="J27" s="2"/>
      <c r="K27" s="2"/>
      <c r="L27" s="6"/>
      <c r="M27" s="6"/>
    </row>
    <row r="28" spans="1:25" s="59" customFormat="1" x14ac:dyDescent="0.35">
      <c r="A28" s="58" t="s">
        <v>107</v>
      </c>
      <c r="D28" s="58"/>
      <c r="E28" s="58"/>
      <c r="F28" s="58"/>
      <c r="G28" s="58"/>
      <c r="H28" s="58"/>
      <c r="I28" s="58"/>
      <c r="J28" s="58"/>
      <c r="K28" s="58"/>
      <c r="L28" s="90"/>
      <c r="M28" s="90"/>
    </row>
    <row r="29" spans="1:25" x14ac:dyDescent="0.35">
      <c r="D29" s="2">
        <v>2023</v>
      </c>
      <c r="E29" s="2">
        <v>2024</v>
      </c>
      <c r="F29" s="2">
        <v>2025</v>
      </c>
      <c r="G29" s="2">
        <v>2026</v>
      </c>
      <c r="H29" s="2">
        <v>2027</v>
      </c>
      <c r="I29" s="2">
        <v>2028</v>
      </c>
      <c r="J29" s="2">
        <v>2029</v>
      </c>
      <c r="K29" s="2">
        <v>2030</v>
      </c>
      <c r="L29" s="2">
        <v>2031</v>
      </c>
      <c r="M29" t="s">
        <v>108</v>
      </c>
    </row>
    <row r="30" spans="1:25" x14ac:dyDescent="0.35">
      <c r="D30" s="2"/>
      <c r="E30" s="2"/>
      <c r="F30" s="2"/>
      <c r="G30" s="2"/>
      <c r="H30" s="2"/>
      <c r="I30" s="2"/>
      <c r="J30" s="2"/>
      <c r="K30" s="2"/>
    </row>
    <row r="31" spans="1:25" x14ac:dyDescent="0.35">
      <c r="B31" s="2" t="s">
        <v>345</v>
      </c>
      <c r="D31" s="23">
        <f>100%/8</f>
        <v>0.125</v>
      </c>
      <c r="E31" s="23">
        <f t="shared" ref="E31:K31" si="2">100%/8</f>
        <v>0.125</v>
      </c>
      <c r="F31" s="23">
        <f t="shared" si="2"/>
        <v>0.125</v>
      </c>
      <c r="G31" s="23">
        <f t="shared" si="2"/>
        <v>0.125</v>
      </c>
      <c r="H31" s="23">
        <f t="shared" si="2"/>
        <v>0.125</v>
      </c>
      <c r="I31" s="23">
        <f t="shared" si="2"/>
        <v>0.125</v>
      </c>
      <c r="J31" s="23">
        <f t="shared" si="2"/>
        <v>0.125</v>
      </c>
      <c r="K31" s="23">
        <f t="shared" si="2"/>
        <v>0.125</v>
      </c>
      <c r="L31" s="6">
        <v>0</v>
      </c>
    </row>
    <row r="32" spans="1:25" x14ac:dyDescent="0.35">
      <c r="C32" t="s">
        <v>338</v>
      </c>
      <c r="D32" s="6">
        <f>'5. Surplus reduction volume'!$D$24*'5. Surplus reduction volume'!D31</f>
        <v>8303.5100626270178</v>
      </c>
      <c r="E32" s="6">
        <f>'5. Surplus reduction volume'!$D$24*'5. Surplus reduction volume'!E31</f>
        <v>8303.5100626270178</v>
      </c>
      <c r="F32" s="6">
        <f>'5. Surplus reduction volume'!$D$24*'5. Surplus reduction volume'!F31</f>
        <v>8303.5100626270178</v>
      </c>
      <c r="G32" s="6">
        <f>'5. Surplus reduction volume'!$D$24*'5. Surplus reduction volume'!G31</f>
        <v>8303.5100626270178</v>
      </c>
      <c r="H32" s="6">
        <f>'5. Surplus reduction volume'!$D$24*'5. Surplus reduction volume'!H31</f>
        <v>8303.5100626270178</v>
      </c>
      <c r="I32" s="6">
        <f>'5. Surplus reduction volume'!$D$24*'5. Surplus reduction volume'!I31</f>
        <v>8303.5100626270178</v>
      </c>
      <c r="J32" s="6">
        <f>'5. Surplus reduction volume'!$D$24*'5. Surplus reduction volume'!J31</f>
        <v>8303.5100626270178</v>
      </c>
      <c r="K32" s="6">
        <f>'5. Surplus reduction volume'!$D$24*'5. Surplus reduction volume'!K31</f>
        <v>8303.5100626270178</v>
      </c>
      <c r="L32" s="6">
        <v>0</v>
      </c>
      <c r="M32" s="12">
        <f>SUM(D32:H32)</f>
        <v>41517.550313135085</v>
      </c>
    </row>
    <row r="33" spans="2:13" x14ac:dyDescent="0.35">
      <c r="C33" s="136" t="s">
        <v>323</v>
      </c>
      <c r="D33" s="6">
        <f>'5. Surplus reduction volume'!$D$25*'5. Surplus reduction volume'!D31</f>
        <v>6142.478835153217</v>
      </c>
      <c r="E33" s="6">
        <f>'5. Surplus reduction volume'!$D$25*'5. Surplus reduction volume'!E31</f>
        <v>6142.478835153217</v>
      </c>
      <c r="F33" s="6">
        <f>'5. Surplus reduction volume'!$D$25*'5. Surplus reduction volume'!F31</f>
        <v>6142.478835153217</v>
      </c>
      <c r="G33" s="6">
        <f>'5. Surplus reduction volume'!$D$25*'5. Surplus reduction volume'!G31</f>
        <v>6142.478835153217</v>
      </c>
      <c r="H33" s="6">
        <f>'5. Surplus reduction volume'!$D$25*'5. Surplus reduction volume'!H31</f>
        <v>6142.478835153217</v>
      </c>
      <c r="I33" s="6">
        <f>'5. Surplus reduction volume'!$D$25*'5. Surplus reduction volume'!I31</f>
        <v>6142.478835153217</v>
      </c>
      <c r="J33" s="6">
        <f>'5. Surplus reduction volume'!$D$25*'5. Surplus reduction volume'!J31</f>
        <v>6142.478835153217</v>
      </c>
      <c r="K33" s="6">
        <f>'5. Surplus reduction volume'!$D$25*'5. Surplus reduction volume'!K31</f>
        <v>6142.478835153217</v>
      </c>
      <c r="L33" s="6">
        <v>0</v>
      </c>
      <c r="M33" s="12">
        <f t="shared" ref="M33:M49" si="3">SUM(D33:H33)</f>
        <v>30712.394175766087</v>
      </c>
    </row>
    <row r="34" spans="2:13" x14ac:dyDescent="0.35">
      <c r="C34" t="s">
        <v>339</v>
      </c>
      <c r="D34" s="6">
        <f>'5. Surplus reduction volume'!$D$26*'5. Surplus reduction volume'!D31</f>
        <v>4159.7056106698037</v>
      </c>
      <c r="E34" s="6">
        <f>'5. Surplus reduction volume'!$D$26*'5. Surplus reduction volume'!E31</f>
        <v>4159.7056106698037</v>
      </c>
      <c r="F34" s="6">
        <f>'5. Surplus reduction volume'!$D$26*'5. Surplus reduction volume'!F31</f>
        <v>4159.7056106698037</v>
      </c>
      <c r="G34" s="6">
        <f>'5. Surplus reduction volume'!$D$26*'5. Surplus reduction volume'!G31</f>
        <v>4159.7056106698037</v>
      </c>
      <c r="H34" s="6">
        <f>'5. Surplus reduction volume'!$D$26*'5. Surplus reduction volume'!H31</f>
        <v>4159.7056106698037</v>
      </c>
      <c r="I34" s="6">
        <f>'5. Surplus reduction volume'!$D$26*'5. Surplus reduction volume'!I31</f>
        <v>4159.7056106698037</v>
      </c>
      <c r="J34" s="6">
        <f>'5. Surplus reduction volume'!$D$26*'5. Surplus reduction volume'!J31</f>
        <v>4159.7056106698037</v>
      </c>
      <c r="K34" s="6">
        <f>'5. Surplus reduction volume'!$D$26*'5. Surplus reduction volume'!K31</f>
        <v>4159.7056106698037</v>
      </c>
      <c r="L34" s="6">
        <v>0</v>
      </c>
      <c r="M34" s="12">
        <f t="shared" si="3"/>
        <v>20798.528053349019</v>
      </c>
    </row>
    <row r="35" spans="2:13" x14ac:dyDescent="0.35">
      <c r="D35" s="6"/>
      <c r="E35" s="6"/>
      <c r="F35" s="6"/>
      <c r="G35" s="6"/>
      <c r="H35" s="6"/>
      <c r="I35" s="6"/>
      <c r="J35" s="6"/>
      <c r="K35" s="6"/>
      <c r="L35" s="6"/>
      <c r="M35" s="12"/>
    </row>
    <row r="36" spans="2:13" x14ac:dyDescent="0.35">
      <c r="D36" s="22">
        <f>100%/5</f>
        <v>0.2</v>
      </c>
      <c r="E36" s="22">
        <f>100%/5</f>
        <v>0.2</v>
      </c>
      <c r="F36" s="22">
        <f>100%/5</f>
        <v>0.2</v>
      </c>
      <c r="G36" s="22">
        <f>100%/5</f>
        <v>0.2</v>
      </c>
      <c r="H36" s="22">
        <f>100%/5</f>
        <v>0.2</v>
      </c>
      <c r="I36" s="22">
        <v>0</v>
      </c>
      <c r="J36" s="22">
        <v>0</v>
      </c>
      <c r="K36" s="22">
        <v>0</v>
      </c>
      <c r="L36" s="6">
        <v>0</v>
      </c>
      <c r="M36" s="12"/>
    </row>
    <row r="37" spans="2:13" x14ac:dyDescent="0.35">
      <c r="B37" s="2" t="s">
        <v>346</v>
      </c>
      <c r="C37" t="s">
        <v>338</v>
      </c>
      <c r="D37" s="6">
        <f>'5. Surplus reduction volume'!$D$24*'5. Surplus reduction volume'!D36</f>
        <v>13285.61610020323</v>
      </c>
      <c r="E37" s="6">
        <f>'5. Surplus reduction volume'!$D$24*'5. Surplus reduction volume'!E36</f>
        <v>13285.61610020323</v>
      </c>
      <c r="F37" s="6">
        <f>'5. Surplus reduction volume'!$D$24*'5. Surplus reduction volume'!F36</f>
        <v>13285.61610020323</v>
      </c>
      <c r="G37" s="6">
        <f>'5. Surplus reduction volume'!$D$24*'5. Surplus reduction volume'!G36</f>
        <v>13285.61610020323</v>
      </c>
      <c r="H37" s="6">
        <f>'5. Surplus reduction volume'!$D$24*'5. Surplus reduction volume'!H36</f>
        <v>13285.61610020323</v>
      </c>
      <c r="I37" s="6">
        <f>'5. Surplus reduction volume'!$D$24*'5. Surplus reduction volume'!I36</f>
        <v>0</v>
      </c>
      <c r="J37" s="6">
        <f>'5. Surplus reduction volume'!$D$24*'5. Surplus reduction volume'!J36</f>
        <v>0</v>
      </c>
      <c r="K37" s="6">
        <f>'5. Surplus reduction volume'!$D$24*'5. Surplus reduction volume'!K36</f>
        <v>0</v>
      </c>
      <c r="L37" s="6">
        <v>0</v>
      </c>
      <c r="M37" s="12">
        <f t="shared" si="3"/>
        <v>66428.080501016142</v>
      </c>
    </row>
    <row r="38" spans="2:13" x14ac:dyDescent="0.35">
      <c r="C38" s="136" t="s">
        <v>323</v>
      </c>
      <c r="D38" s="6">
        <f>'5. Surplus reduction volume'!$D$25*'5. Surplus reduction volume'!D36</f>
        <v>9827.9661362451479</v>
      </c>
      <c r="E38" s="6">
        <f>'5. Surplus reduction volume'!$D$25*'5. Surplus reduction volume'!E36</f>
        <v>9827.9661362451479</v>
      </c>
      <c r="F38" s="6">
        <f>'5. Surplus reduction volume'!$D$25*'5. Surplus reduction volume'!F36</f>
        <v>9827.9661362451479</v>
      </c>
      <c r="G38" s="6">
        <f>'5. Surplus reduction volume'!$D$25*'5. Surplus reduction volume'!G36</f>
        <v>9827.9661362451479</v>
      </c>
      <c r="H38" s="6">
        <f>'5. Surplus reduction volume'!$D$25*'5. Surplus reduction volume'!H36</f>
        <v>9827.9661362451479</v>
      </c>
      <c r="I38" s="6">
        <f>'5. Surplus reduction volume'!$D$25*'5. Surplus reduction volume'!I36</f>
        <v>0</v>
      </c>
      <c r="J38" s="6">
        <f>'5. Surplus reduction volume'!$D$25*'5. Surplus reduction volume'!J36</f>
        <v>0</v>
      </c>
      <c r="K38" s="6">
        <f>'5. Surplus reduction volume'!$D$25*'5. Surplus reduction volume'!K36</f>
        <v>0</v>
      </c>
      <c r="L38" s="6">
        <v>0</v>
      </c>
      <c r="M38" s="12">
        <f t="shared" si="3"/>
        <v>49139.830681225736</v>
      </c>
    </row>
    <row r="39" spans="2:13" x14ac:dyDescent="0.35">
      <c r="C39" t="s">
        <v>339</v>
      </c>
      <c r="D39" s="6">
        <f>'5. Surplus reduction volume'!$D$26*'5. Surplus reduction volume'!D36</f>
        <v>6655.5289770716863</v>
      </c>
      <c r="E39" s="6">
        <f>'5. Surplus reduction volume'!$D$26*'5. Surplus reduction volume'!E36</f>
        <v>6655.5289770716863</v>
      </c>
      <c r="F39" s="6">
        <f>'5. Surplus reduction volume'!$D$26*'5. Surplus reduction volume'!F36</f>
        <v>6655.5289770716863</v>
      </c>
      <c r="G39" s="6">
        <f>'5. Surplus reduction volume'!$D$26*'5. Surplus reduction volume'!G36</f>
        <v>6655.5289770716863</v>
      </c>
      <c r="H39" s="6">
        <f>'5. Surplus reduction volume'!$D$26*'5. Surplus reduction volume'!H36</f>
        <v>6655.5289770716863</v>
      </c>
      <c r="I39" s="6">
        <f>'5. Surplus reduction volume'!$D$26*'5. Surplus reduction volume'!I36</f>
        <v>0</v>
      </c>
      <c r="J39" s="6">
        <f>'5. Surplus reduction volume'!$D$26*'5. Surplus reduction volume'!J36</f>
        <v>0</v>
      </c>
      <c r="K39" s="6">
        <f>'5. Surplus reduction volume'!$D$26*'5. Surplus reduction volume'!K36</f>
        <v>0</v>
      </c>
      <c r="L39" s="6">
        <v>0</v>
      </c>
      <c r="M39" s="12">
        <f t="shared" si="3"/>
        <v>33277.64488535843</v>
      </c>
    </row>
    <row r="40" spans="2:13" x14ac:dyDescent="0.35">
      <c r="L40" s="6"/>
      <c r="M40" s="12"/>
    </row>
    <row r="41" spans="2:13" x14ac:dyDescent="0.35">
      <c r="B41" s="2" t="s">
        <v>347</v>
      </c>
      <c r="C41" s="11"/>
      <c r="D41" s="23">
        <f>'2. Allocate emissions budget'!E42/SUM('2. Allocate emissions budget'!$E$42:$L$42)</f>
        <v>0.16332496178946115</v>
      </c>
      <c r="E41" s="23">
        <f>'2. Allocate emissions budget'!F42/SUM('2. Allocate emissions budget'!$E$42:$L$42)</f>
        <v>0.15701533364335685</v>
      </c>
      <c r="F41" s="23">
        <f>'2. Allocate emissions budget'!G42/SUM('2. Allocate emissions budget'!$E$42:$L$42)</f>
        <v>0.14500274004252905</v>
      </c>
      <c r="G41" s="23">
        <f>'2. Allocate emissions budget'!H42/SUM('2. Allocate emissions budget'!$E$42:$L$42)</f>
        <v>0.1322480468694486</v>
      </c>
      <c r="H41" s="23">
        <f>'2. Allocate emissions budget'!I42/SUM('2. Allocate emissions budget'!$E$42:$L$42)</f>
        <v>0.1196759101889327</v>
      </c>
      <c r="I41" s="23">
        <f>'2. Allocate emissions budget'!J42/SUM('2. Allocate emissions budget'!$E$42:$L$42)</f>
        <v>0.10551732702868022</v>
      </c>
      <c r="J41" s="23">
        <f>'2. Allocate emissions budget'!K42/SUM('2. Allocate emissions budget'!$E$42:$L$42)</f>
        <v>9.4933718218518301E-2</v>
      </c>
      <c r="K41" s="23">
        <f>'2. Allocate emissions budget'!L42/SUM('2. Allocate emissions budget'!$E$42:$L$42)</f>
        <v>8.2281962219073246E-2</v>
      </c>
      <c r="L41" s="6">
        <v>0</v>
      </c>
      <c r="M41" s="12"/>
    </row>
    <row r="42" spans="2:13" x14ac:dyDescent="0.35">
      <c r="C42" t="s">
        <v>338</v>
      </c>
      <c r="D42" s="6">
        <f>'5. Surplus reduction volume'!$D$24*'5. Surplus reduction volume'!D41</f>
        <v>10849.363709575711</v>
      </c>
      <c r="E42" s="6">
        <f>'5. Surplus reduction volume'!$D$24*'5. Surplus reduction volume'!E41</f>
        <v>10430.227223154818</v>
      </c>
      <c r="F42" s="6">
        <f>'5. Surplus reduction volume'!$D$24*'5. Surplus reduction volume'!F41</f>
        <v>9632.2536884130368</v>
      </c>
      <c r="G42" s="6">
        <f>'5. Surplus reduction volume'!$D$24*'5. Surplus reduction volume'!G41</f>
        <v>8784.9839035458881</v>
      </c>
      <c r="H42" s="6">
        <f>'5. Surplus reduction volume'!$D$24*'5. Surplus reduction volume'!H41</f>
        <v>7949.8409960627996</v>
      </c>
      <c r="I42" s="6">
        <f>'5. Surplus reduction volume'!$D$24*'5. Surplus reduction volume'!I41</f>
        <v>7009.3134941132157</v>
      </c>
      <c r="J42" s="6">
        <f>'5. Surplus reduction volume'!$D$24*'5. Surplus reduction volume'!J41</f>
        <v>6306.2646760805164</v>
      </c>
      <c r="K42" s="6">
        <f>'5. Surplus reduction volume'!$D$24*'5. Surplus reduction volume'!K41</f>
        <v>5465.8328100701665</v>
      </c>
      <c r="L42" s="6">
        <v>0</v>
      </c>
      <c r="M42" s="12">
        <f t="shared" si="3"/>
        <v>47646.66952075225</v>
      </c>
    </row>
    <row r="43" spans="2:13" s="74" customFormat="1" ht="15" thickBot="1" x14ac:dyDescent="0.4">
      <c r="B43" s="74" t="s">
        <v>109</v>
      </c>
      <c r="C43" s="138" t="s">
        <v>323</v>
      </c>
      <c r="D43" s="140">
        <f>'5. Surplus reduction volume'!$D$25*'5. Surplus reduction volume'!D41</f>
        <v>8025.760968351784</v>
      </c>
      <c r="E43" s="140">
        <f>'5. Surplus reduction volume'!$D$25*'5. Surplus reduction volume'!E41</f>
        <v>7715.7069095907227</v>
      </c>
      <c r="F43" s="140">
        <f>'5. Surplus reduction volume'!$D$25*'5. Surplus reduction volume'!F41</f>
        <v>7125.4100940036687</v>
      </c>
      <c r="G43" s="140">
        <f>'5. Surplus reduction volume'!$D$25*'5. Surplus reduction volume'!G41</f>
        <v>6498.6466310875094</v>
      </c>
      <c r="H43" s="140">
        <f>'5. Surplus reduction volume'!$D$25*'5. Surplus reduction volume'!H41</f>
        <v>5880.8539633057308</v>
      </c>
      <c r="I43" s="75">
        <f>'5. Surplus reduction volume'!$D$25*'5. Surplus reduction volume'!I41</f>
        <v>5185.1035841248695</v>
      </c>
      <c r="J43" s="75">
        <f>'5. Surplus reduction volume'!$D$25*'5. Surplus reduction volume'!J41</f>
        <v>4665.026839197184</v>
      </c>
      <c r="K43" s="75">
        <f>'5. Surplus reduction volume'!$D$25*'5. Surplus reduction volume'!K41</f>
        <v>4043.3216915642724</v>
      </c>
      <c r="L43" s="6">
        <v>0</v>
      </c>
      <c r="M43" s="97">
        <f t="shared" si="3"/>
        <v>35246.378566339416</v>
      </c>
    </row>
    <row r="44" spans="2:13" ht="15" thickTop="1" x14ac:dyDescent="0.35">
      <c r="C44" t="s">
        <v>339</v>
      </c>
      <c r="D44" s="6">
        <f>'5. Surplus reduction volume'!$D$26*'5. Surplus reduction volume'!D41</f>
        <v>5435.070079344423</v>
      </c>
      <c r="E44" s="6">
        <f>'5. Surplus reduction volume'!$D$26*'5. Surplus reduction volume'!E41</f>
        <v>5225.1005145397012</v>
      </c>
      <c r="F44" s="6">
        <f>'5. Surplus reduction volume'!$D$26*'5. Surplus reduction volume'!F41</f>
        <v>4825.3496905392249</v>
      </c>
      <c r="G44" s="6">
        <f>'5. Surplus reduction volume'!$D$26*'5. Surplus reduction volume'!G41</f>
        <v>4400.9035405037484</v>
      </c>
      <c r="H44" s="6">
        <f>'5. Surplus reduction volume'!$D$26*'5. Surplus reduction volume'!H41</f>
        <v>3982.532440599351</v>
      </c>
      <c r="I44" s="6">
        <f>'5. Surplus reduction volume'!$D$26*'5. Surplus reduction volume'!I41</f>
        <v>3511.368138112653</v>
      </c>
      <c r="J44" s="6">
        <f>'5. Surplus reduction volume'!$D$26*'5. Surplus reduction volume'!J41</f>
        <v>3159.1705625225341</v>
      </c>
      <c r="K44" s="6">
        <f>'5. Surplus reduction volume'!$D$26*'5. Surplus reduction volume'!K41</f>
        <v>2738.1499191967982</v>
      </c>
      <c r="L44" s="6">
        <v>0</v>
      </c>
      <c r="M44" s="12">
        <f t="shared" si="3"/>
        <v>23868.956265526453</v>
      </c>
    </row>
    <row r="45" spans="2:13" x14ac:dyDescent="0.35">
      <c r="D45" s="15"/>
      <c r="E45" s="15"/>
      <c r="F45" s="15"/>
      <c r="G45" s="15"/>
      <c r="H45" s="45"/>
      <c r="I45" s="45"/>
      <c r="J45" s="45"/>
      <c r="K45" s="45"/>
      <c r="L45" s="6"/>
      <c r="M45" s="12"/>
    </row>
    <row r="46" spans="2:13" x14ac:dyDescent="0.35">
      <c r="B46" s="2" t="s">
        <v>344</v>
      </c>
      <c r="D46" s="23">
        <f>2*100%/9</f>
        <v>0.22222222222222221</v>
      </c>
      <c r="E46" s="23">
        <f>D46-$D$46*1/8</f>
        <v>0.19444444444444442</v>
      </c>
      <c r="F46" s="23">
        <f t="shared" ref="F46:J46" si="4">E46-$D$46*1/8</f>
        <v>0.16666666666666663</v>
      </c>
      <c r="G46" s="23">
        <f t="shared" si="4"/>
        <v>0.13888888888888884</v>
      </c>
      <c r="H46" s="23">
        <f t="shared" si="4"/>
        <v>0.11111111111111106</v>
      </c>
      <c r="I46" s="23">
        <f t="shared" si="4"/>
        <v>8.3333333333333287E-2</v>
      </c>
      <c r="J46" s="23">
        <f t="shared" si="4"/>
        <v>5.5555555555555511E-2</v>
      </c>
      <c r="K46" s="23">
        <f>J46-$D$46*1/8</f>
        <v>2.7777777777777735E-2</v>
      </c>
      <c r="L46" s="6">
        <v>0</v>
      </c>
      <c r="M46" s="12"/>
    </row>
    <row r="47" spans="2:13" x14ac:dyDescent="0.35">
      <c r="C47" t="s">
        <v>338</v>
      </c>
      <c r="D47" s="6">
        <f>'5. Surplus reduction volume'!$D$24*'5. Surplus reduction volume'!D46</f>
        <v>14761.795666892474</v>
      </c>
      <c r="E47" s="6">
        <f>'5. Surplus reduction volume'!$D$24*'5. Surplus reduction volume'!E46</f>
        <v>12916.571208530915</v>
      </c>
      <c r="F47" s="6">
        <f>'5. Surplus reduction volume'!$D$24*'5. Surplus reduction volume'!F46</f>
        <v>11071.346750169354</v>
      </c>
      <c r="G47" s="6">
        <f>'5. Surplus reduction volume'!$D$24*'5. Surplus reduction volume'!G46</f>
        <v>9226.1222918077947</v>
      </c>
      <c r="H47" s="6">
        <f>'5. Surplus reduction volume'!$D$24*'5. Surplus reduction volume'!H46</f>
        <v>7380.8978334462345</v>
      </c>
      <c r="I47" s="6">
        <f>'5. Surplus reduction volume'!$D$24*'5. Surplus reduction volume'!I46</f>
        <v>5535.6733750846752</v>
      </c>
      <c r="J47" s="6">
        <f>'5. Surplus reduction volume'!$D$24*'5. Surplus reduction volume'!J46</f>
        <v>3690.4489167231159</v>
      </c>
      <c r="K47" s="6">
        <f>'5. Surplus reduction volume'!$D$24*'5. Surplus reduction volume'!K46</f>
        <v>1845.2244583615566</v>
      </c>
      <c r="L47" s="6">
        <v>0</v>
      </c>
      <c r="M47" s="12">
        <f t="shared" si="3"/>
        <v>55356.733750846768</v>
      </c>
    </row>
    <row r="48" spans="2:13" x14ac:dyDescent="0.35">
      <c r="C48" s="136" t="s">
        <v>323</v>
      </c>
      <c r="D48" s="6">
        <f>'5. Surplus reduction volume'!$D$25*'5. Surplus reduction volume'!D46</f>
        <v>10919.962373605718</v>
      </c>
      <c r="E48" s="6">
        <f>'5. Surplus reduction volume'!$D$25*'5. Surplus reduction volume'!E46</f>
        <v>9554.9670769050026</v>
      </c>
      <c r="F48" s="6">
        <f>'5. Surplus reduction volume'!$D$25*'5. Surplus reduction volume'!F46</f>
        <v>8189.9717802042878</v>
      </c>
      <c r="G48" s="6">
        <f>'5. Surplus reduction volume'!$D$25*'5. Surplus reduction volume'!G46</f>
        <v>6824.9764835035721</v>
      </c>
      <c r="H48" s="6">
        <f>'5. Surplus reduction volume'!$D$25*'5. Surplus reduction volume'!H46</f>
        <v>5459.9811868028573</v>
      </c>
      <c r="I48" s="6">
        <f>'5. Surplus reduction volume'!$D$25*'5. Surplus reduction volume'!I46</f>
        <v>4094.9858901021425</v>
      </c>
      <c r="J48" s="6">
        <f>'5. Surplus reduction volume'!$D$25*'5. Surplus reduction volume'!J46</f>
        <v>2729.9905934014278</v>
      </c>
      <c r="K48" s="6">
        <f>'5. Surplus reduction volume'!$D$25*'5. Surplus reduction volume'!K46</f>
        <v>1364.9952967007127</v>
      </c>
      <c r="L48" s="6">
        <v>0</v>
      </c>
      <c r="M48" s="12">
        <f t="shared" si="3"/>
        <v>40949.858901021435</v>
      </c>
    </row>
    <row r="49" spans="3:13" x14ac:dyDescent="0.35">
      <c r="C49" t="s">
        <v>339</v>
      </c>
      <c r="D49" s="6">
        <f>'5. Surplus reduction volume'!$D$26*'5. Surplus reduction volume'!D46</f>
        <v>7395.0321967463169</v>
      </c>
      <c r="E49" s="6">
        <f>'5. Surplus reduction volume'!$D$26*'5. Surplus reduction volume'!E46</f>
        <v>6470.6531721530273</v>
      </c>
      <c r="F49" s="6">
        <f>'5. Surplus reduction volume'!$D$26*'5. Surplus reduction volume'!F46</f>
        <v>5546.2741475597368</v>
      </c>
      <c r="G49" s="6">
        <f>'5. Surplus reduction volume'!$D$26*'5. Surplus reduction volume'!G46</f>
        <v>4621.8951229664472</v>
      </c>
      <c r="H49" s="6">
        <f>'5. Surplus reduction volume'!$D$26*'5. Surplus reduction volume'!H46</f>
        <v>3697.5160983731571</v>
      </c>
      <c r="I49" s="6">
        <f>'5. Surplus reduction volume'!$D$26*'5. Surplus reduction volume'!I46</f>
        <v>2773.1370737798675</v>
      </c>
      <c r="J49" s="6">
        <f>'5. Surplus reduction volume'!$D$26*'5. Surplus reduction volume'!J46</f>
        <v>1848.7580491865779</v>
      </c>
      <c r="K49" s="6">
        <f>'5. Surplus reduction volume'!$D$26*'5. Surplus reduction volume'!K46</f>
        <v>924.37902459328825</v>
      </c>
      <c r="L49" s="6">
        <v>0</v>
      </c>
      <c r="M49" s="12">
        <f t="shared" si="3"/>
        <v>27731.370737798683</v>
      </c>
    </row>
    <row r="50" spans="3:13" x14ac:dyDescent="0.35">
      <c r="L50" s="12"/>
      <c r="M50" s="12"/>
    </row>
    <row r="51" spans="3:13" x14ac:dyDescent="0.35">
      <c r="D51" s="12"/>
      <c r="E51" s="12"/>
      <c r="F51" s="12"/>
      <c r="G51" s="12"/>
      <c r="H51" s="12"/>
      <c r="I51" s="12"/>
      <c r="J51" s="12"/>
      <c r="K51" s="12"/>
      <c r="L51" s="12"/>
      <c r="M51" s="12"/>
    </row>
    <row r="52" spans="3:13" x14ac:dyDescent="0.35">
      <c r="D52" s="12"/>
      <c r="E52" s="12"/>
      <c r="F52" s="12"/>
      <c r="G52" s="12"/>
      <c r="H52" s="12"/>
      <c r="I52" s="12"/>
      <c r="J52" s="12"/>
      <c r="K52" s="12"/>
      <c r="L52" s="12"/>
      <c r="M52" s="12"/>
    </row>
    <row r="53" spans="3:13" x14ac:dyDescent="0.35">
      <c r="D53" s="12"/>
      <c r="E53" s="12"/>
      <c r="F53" s="12"/>
      <c r="G53" s="12"/>
      <c r="H53" s="12"/>
      <c r="I53" s="12"/>
      <c r="J53" s="12"/>
      <c r="K53" s="12"/>
      <c r="L53" s="12"/>
      <c r="M53" s="12"/>
    </row>
    <row r="54" spans="3:13" x14ac:dyDescent="0.35">
      <c r="D54" s="12"/>
      <c r="E54" s="12"/>
      <c r="F54" s="12"/>
      <c r="G54" s="12"/>
      <c r="H54" s="12"/>
      <c r="I54" s="12"/>
      <c r="J54" s="12"/>
      <c r="K54" s="12"/>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4B6F-846E-45CE-8CDD-810ABEE48413}">
  <sheetPr>
    <tabColor theme="9"/>
  </sheetPr>
  <dimension ref="A1:P77"/>
  <sheetViews>
    <sheetView zoomScale="70" zoomScaleNormal="70" workbookViewId="0">
      <pane ySplit="1" topLeftCell="A2" activePane="bottomLeft" state="frozen"/>
      <selection pane="bottomLeft" activeCell="A2" sqref="A2"/>
    </sheetView>
  </sheetViews>
  <sheetFormatPr defaultColWidth="8.7265625" defaultRowHeight="14.5" x14ac:dyDescent="0.35"/>
  <cols>
    <col min="1" max="1" width="8.7265625" style="34"/>
    <col min="2" max="2" width="18.453125" style="34" customWidth="1"/>
    <col min="3" max="3" width="29.54296875" style="34" customWidth="1"/>
    <col min="4" max="4" width="19.54296875" style="34" customWidth="1"/>
    <col min="5" max="5" width="10.453125" style="34" bestFit="1" customWidth="1"/>
    <col min="6" max="6" width="13.1796875" style="34" customWidth="1"/>
    <col min="7" max="8" width="16" style="34" customWidth="1"/>
    <col min="9" max="9" width="14.81640625" style="34" customWidth="1"/>
    <col min="10" max="12" width="11.453125" style="34" customWidth="1"/>
    <col min="13" max="13" width="10.26953125" style="34" bestFit="1" customWidth="1"/>
    <col min="14" max="14" width="11.1796875" style="34" customWidth="1"/>
    <col min="15" max="15" width="8.81640625" style="34" bestFit="1" customWidth="1"/>
    <col min="16" max="16" width="9.453125" style="34" bestFit="1" customWidth="1"/>
    <col min="17" max="16384" width="8.7265625" style="34"/>
  </cols>
  <sheetData>
    <row r="1" spans="1:9" x14ac:dyDescent="0.35">
      <c r="D1" s="96">
        <v>2023</v>
      </c>
      <c r="E1" s="96">
        <v>2024</v>
      </c>
      <c r="F1" s="96">
        <v>2025</v>
      </c>
      <c r="G1" s="96">
        <v>2026</v>
      </c>
      <c r="H1" s="96">
        <v>2027</v>
      </c>
      <c r="I1" s="98" t="s">
        <v>71</v>
      </c>
    </row>
    <row r="2" spans="1:9" s="87" customFormat="1" x14ac:dyDescent="0.35">
      <c r="A2" s="91" t="s">
        <v>110</v>
      </c>
      <c r="B2" s="91"/>
      <c r="D2" s="92"/>
      <c r="E2" s="92"/>
      <c r="F2" s="92"/>
      <c r="G2" s="92"/>
      <c r="H2" s="92"/>
      <c r="I2" s="91"/>
    </row>
    <row r="3" spans="1:9" customFormat="1" x14ac:dyDescent="0.35">
      <c r="B3" t="s">
        <v>321</v>
      </c>
      <c r="C3" t="s">
        <v>73</v>
      </c>
      <c r="D3" s="30">
        <v>0.75</v>
      </c>
      <c r="E3" s="30">
        <v>0</v>
      </c>
      <c r="F3" s="30">
        <v>0</v>
      </c>
      <c r="G3" s="30">
        <v>0</v>
      </c>
      <c r="H3" s="30">
        <v>0</v>
      </c>
      <c r="I3" s="4">
        <f>SUM(D3:G3)</f>
        <v>0.75</v>
      </c>
    </row>
    <row r="4" spans="1:9" customFormat="1" x14ac:dyDescent="0.35">
      <c r="C4" t="s">
        <v>111</v>
      </c>
      <c r="D4" s="30">
        <v>1</v>
      </c>
      <c r="E4" s="30">
        <v>0.75</v>
      </c>
      <c r="F4" s="30">
        <v>0.5</v>
      </c>
      <c r="G4" s="30">
        <v>0.25</v>
      </c>
      <c r="H4" s="30">
        <v>0</v>
      </c>
      <c r="I4" s="4">
        <f t="shared" ref="I4:I13" si="0">SUM(D4:G4)</f>
        <v>2.5</v>
      </c>
    </row>
    <row r="5" spans="1:9" customFormat="1" x14ac:dyDescent="0.35">
      <c r="C5" t="s">
        <v>44</v>
      </c>
      <c r="D5" s="30">
        <v>1</v>
      </c>
      <c r="E5" s="30">
        <v>0</v>
      </c>
      <c r="F5" s="30">
        <v>0</v>
      </c>
      <c r="G5" s="30">
        <v>0</v>
      </c>
      <c r="H5" s="30">
        <v>0</v>
      </c>
      <c r="I5" s="4">
        <f t="shared" si="0"/>
        <v>1</v>
      </c>
    </row>
    <row r="6" spans="1:9" customFormat="1" x14ac:dyDescent="0.35">
      <c r="D6" s="4"/>
      <c r="E6" s="4"/>
      <c r="F6" s="4"/>
      <c r="G6" s="4"/>
      <c r="H6" s="4"/>
      <c r="I6" s="4"/>
    </row>
    <row r="7" spans="1:9" customFormat="1" x14ac:dyDescent="0.35">
      <c r="B7" s="136" t="s">
        <v>320</v>
      </c>
      <c r="C7" t="s">
        <v>73</v>
      </c>
      <c r="D7" s="30">
        <v>0.5</v>
      </c>
      <c r="E7" s="30">
        <v>0</v>
      </c>
      <c r="F7" s="30">
        <v>0</v>
      </c>
      <c r="G7" s="30">
        <v>0</v>
      </c>
      <c r="H7" s="30">
        <v>0</v>
      </c>
      <c r="I7" s="4">
        <f t="shared" si="0"/>
        <v>0.5</v>
      </c>
    </row>
    <row r="8" spans="1:9" customFormat="1" x14ac:dyDescent="0.35">
      <c r="C8" t="s">
        <v>111</v>
      </c>
      <c r="D8" s="30">
        <v>1</v>
      </c>
      <c r="E8" s="30">
        <v>0.67</v>
      </c>
      <c r="F8" s="30">
        <v>0.33</v>
      </c>
      <c r="G8" s="30">
        <v>0</v>
      </c>
      <c r="H8" s="30">
        <v>0</v>
      </c>
      <c r="I8" s="4">
        <f t="shared" si="0"/>
        <v>2</v>
      </c>
    </row>
    <row r="9" spans="1:9" customFormat="1" x14ac:dyDescent="0.35">
      <c r="C9" t="s">
        <v>44</v>
      </c>
      <c r="D9" s="30">
        <v>1</v>
      </c>
      <c r="E9" s="30">
        <v>0</v>
      </c>
      <c r="F9" s="30">
        <v>0</v>
      </c>
      <c r="G9" s="30">
        <v>0</v>
      </c>
      <c r="H9" s="30">
        <v>0</v>
      </c>
      <c r="I9" s="4">
        <f t="shared" si="0"/>
        <v>1</v>
      </c>
    </row>
    <row r="10" spans="1:9" customFormat="1" x14ac:dyDescent="0.35">
      <c r="D10" s="4"/>
      <c r="E10" s="4"/>
      <c r="F10" s="4"/>
      <c r="G10" s="4"/>
      <c r="H10" s="4"/>
      <c r="I10" s="4"/>
    </row>
    <row r="11" spans="1:9" customFormat="1" x14ac:dyDescent="0.35">
      <c r="B11" t="s">
        <v>322</v>
      </c>
      <c r="C11" t="s">
        <v>73</v>
      </c>
      <c r="D11" s="30">
        <v>0.25</v>
      </c>
      <c r="E11" s="30">
        <v>0</v>
      </c>
      <c r="F11" s="30">
        <v>0</v>
      </c>
      <c r="G11" s="30">
        <v>0</v>
      </c>
      <c r="H11" s="30">
        <v>0</v>
      </c>
      <c r="I11" s="4">
        <f t="shared" si="0"/>
        <v>0.25</v>
      </c>
    </row>
    <row r="12" spans="1:9" customFormat="1" x14ac:dyDescent="0.35">
      <c r="C12" t="s">
        <v>111</v>
      </c>
      <c r="D12" s="30">
        <v>1</v>
      </c>
      <c r="E12" s="30">
        <v>0.5</v>
      </c>
      <c r="F12" s="30">
        <v>0</v>
      </c>
      <c r="G12" s="30">
        <v>0</v>
      </c>
      <c r="H12" s="30">
        <v>0</v>
      </c>
      <c r="I12" s="4">
        <f t="shared" si="0"/>
        <v>1.5</v>
      </c>
    </row>
    <row r="13" spans="1:9" customFormat="1" x14ac:dyDescent="0.35">
      <c r="C13" t="s">
        <v>44</v>
      </c>
      <c r="D13" s="30">
        <v>1</v>
      </c>
      <c r="E13" s="30">
        <v>0</v>
      </c>
      <c r="F13" s="30">
        <v>0</v>
      </c>
      <c r="G13" s="30">
        <v>0</v>
      </c>
      <c r="H13" s="30">
        <v>0</v>
      </c>
      <c r="I13" s="4">
        <f t="shared" si="0"/>
        <v>1</v>
      </c>
    </row>
    <row r="14" spans="1:9" s="17" customFormat="1" x14ac:dyDescent="0.35">
      <c r="D14" s="37"/>
      <c r="E14" s="37"/>
      <c r="F14" s="37"/>
      <c r="G14" s="37"/>
      <c r="H14" s="37"/>
      <c r="I14" s="38"/>
    </row>
    <row r="15" spans="1:9" s="87" customFormat="1" x14ac:dyDescent="0.35">
      <c r="A15" s="91" t="s">
        <v>112</v>
      </c>
      <c r="D15" s="93"/>
      <c r="E15" s="93"/>
      <c r="F15" s="93"/>
      <c r="G15" s="93"/>
      <c r="H15" s="93"/>
    </row>
    <row r="16" spans="1:9" x14ac:dyDescent="0.35">
      <c r="A16" s="33"/>
      <c r="B16" s="34" t="s">
        <v>113</v>
      </c>
      <c r="D16" s="35"/>
      <c r="E16" s="35"/>
      <c r="F16" s="35"/>
      <c r="G16" s="35"/>
      <c r="H16" s="35"/>
    </row>
    <row r="17" spans="1:16" x14ac:dyDescent="0.35">
      <c r="A17" s="33"/>
      <c r="C17" s="34" t="s">
        <v>114</v>
      </c>
      <c r="D17" s="6">
        <f>'2. Allocate emissions budget'!E76</f>
        <v>20452.655033376632</v>
      </c>
      <c r="E17" s="6">
        <f>'2. Allocate emissions budget'!F76</f>
        <v>20344.295177427801</v>
      </c>
      <c r="F17" s="6">
        <f>'2. Allocate emissions budget'!G76</f>
        <v>20194.829228157723</v>
      </c>
      <c r="G17" s="6">
        <f>'2. Allocate emissions budget'!H76</f>
        <v>19926.726607918445</v>
      </c>
      <c r="H17" s="6">
        <f>'2. Allocate emissions budget'!I76</f>
        <v>19607.38517330767</v>
      </c>
      <c r="I17" s="18">
        <f>SUM(D17:H17)</f>
        <v>100525.89122018828</v>
      </c>
    </row>
    <row r="18" spans="1:16" x14ac:dyDescent="0.35">
      <c r="A18" s="33"/>
      <c r="C18" s="34" t="s">
        <v>115</v>
      </c>
      <c r="D18" s="6">
        <f>'2. Allocate emissions budget'!E77+'2. Allocate emissions budget'!E78</f>
        <v>14709.402262994081</v>
      </c>
      <c r="E18" s="6">
        <f>'2. Allocate emissions budget'!F77+'2. Allocate emissions budget'!F78</f>
        <v>13757.421568566311</v>
      </c>
      <c r="F18" s="6">
        <f>'2. Allocate emissions budget'!G77+'2. Allocate emissions budget'!G78</f>
        <v>12771.479379867407</v>
      </c>
      <c r="G18" s="6">
        <f>'2. Allocate emissions budget'!H77+'2. Allocate emissions budget'!H78</f>
        <v>12488.809674362812</v>
      </c>
      <c r="H18" s="6">
        <f>'2. Allocate emissions budget'!I77+'2. Allocate emissions budget'!I78</f>
        <v>12135.764252359579</v>
      </c>
      <c r="I18" s="18">
        <f t="shared" ref="I18:I28" si="1">SUM(D18:H18)</f>
        <v>65862.877138150187</v>
      </c>
    </row>
    <row r="19" spans="1:16" x14ac:dyDescent="0.35">
      <c r="A19" s="33"/>
      <c r="C19" s="34" t="s">
        <v>116</v>
      </c>
      <c r="D19" s="6">
        <f>'2. Allocate emissions budget'!E79</f>
        <v>1115.874382499414</v>
      </c>
      <c r="E19" s="6">
        <f>'2. Allocate emissions budget'!F79</f>
        <v>1076.0843577361793</v>
      </c>
      <c r="F19" s="6">
        <f>'2. Allocate emissions budget'!G79</f>
        <v>1036.054120142684</v>
      </c>
      <c r="G19" s="6">
        <f>'2. Allocate emissions budget'!H79</f>
        <v>995.70752310355147</v>
      </c>
      <c r="H19" s="6">
        <f>'2. Allocate emissions budget'!I79</f>
        <v>955.70162727814841</v>
      </c>
      <c r="I19" s="18">
        <f t="shared" si="1"/>
        <v>5179.4220107599767</v>
      </c>
    </row>
    <row r="20" spans="1:16" x14ac:dyDescent="0.35">
      <c r="A20" s="33"/>
      <c r="C20" s="34" t="s">
        <v>90</v>
      </c>
      <c r="D20" s="6">
        <f>SUM(D17:D19)</f>
        <v>36277.931678870125</v>
      </c>
      <c r="E20" s="6">
        <f>SUM(E17:E19)</f>
        <v>35177.801103730293</v>
      </c>
      <c r="F20" s="6">
        <f>SUM(F17:F19)</f>
        <v>34002.362728167813</v>
      </c>
      <c r="G20" s="6">
        <f>SUM(G17:G19)</f>
        <v>33411.243805384809</v>
      </c>
      <c r="H20" s="6">
        <f>SUM(H17:H19)</f>
        <v>32698.851052945396</v>
      </c>
      <c r="I20" s="18">
        <f t="shared" si="1"/>
        <v>171568.19036909845</v>
      </c>
    </row>
    <row r="21" spans="1:16" x14ac:dyDescent="0.35">
      <c r="C21" s="54" t="s">
        <v>117</v>
      </c>
      <c r="D21" s="54">
        <f>'2. Allocate emissions budget'!E69</f>
        <v>36277.931678870133</v>
      </c>
      <c r="E21" s="54">
        <f>'2. Allocate emissions budget'!F69</f>
        <v>35177.801103730293</v>
      </c>
      <c r="F21" s="54">
        <f>'2. Allocate emissions budget'!G69</f>
        <v>34002.362728167813</v>
      </c>
      <c r="G21" s="54">
        <f>'2. Allocate emissions budget'!H69</f>
        <v>33411.243805384809</v>
      </c>
      <c r="H21" s="54">
        <f>'2. Allocate emissions budget'!I69</f>
        <v>32698.851052945396</v>
      </c>
      <c r="I21" s="6">
        <f>SUM(D21:H21)</f>
        <v>171568.19036909845</v>
      </c>
    </row>
    <row r="22" spans="1:16" x14ac:dyDescent="0.35">
      <c r="C22" s="54"/>
      <c r="D22" s="54"/>
      <c r="E22" s="54"/>
      <c r="F22" s="54"/>
      <c r="G22" s="54"/>
      <c r="H22" s="54"/>
      <c r="I22" s="18"/>
    </row>
    <row r="23" spans="1:16" x14ac:dyDescent="0.35">
      <c r="A23" s="33"/>
      <c r="B23" s="34" t="s">
        <v>118</v>
      </c>
      <c r="D23" s="6"/>
      <c r="E23" s="6"/>
      <c r="F23" s="6"/>
      <c r="G23" s="6"/>
      <c r="H23" s="6"/>
      <c r="I23" s="18">
        <f t="shared" si="1"/>
        <v>0</v>
      </c>
    </row>
    <row r="24" spans="1:16" x14ac:dyDescent="0.35">
      <c r="C24" s="34" t="s">
        <v>114</v>
      </c>
      <c r="D24" s="34">
        <f>D17-'3. Technical adjustments'!D5</f>
        <v>19652.655033376632</v>
      </c>
      <c r="E24" s="34">
        <f>E17-'3. Technical adjustments'!E5</f>
        <v>19544.295177427801</v>
      </c>
      <c r="F24" s="34">
        <f>F17-'3. Technical adjustments'!F5</f>
        <v>19394.829228157723</v>
      </c>
      <c r="G24" s="34">
        <f>G17-'3. Technical adjustments'!G5</f>
        <v>19126.726607918445</v>
      </c>
      <c r="H24" s="34">
        <f>H17-'3. Technical adjustments'!H5</f>
        <v>18807.38517330767</v>
      </c>
      <c r="I24" s="18">
        <f t="shared" si="1"/>
        <v>96525.891220188278</v>
      </c>
    </row>
    <row r="25" spans="1:16" x14ac:dyDescent="0.35">
      <c r="C25" s="34" t="s">
        <v>115</v>
      </c>
      <c r="D25" s="34">
        <f>D18-'3. Technical adjustments'!D9</f>
        <v>13940.331061114481</v>
      </c>
      <c r="E25" s="34">
        <f>E18-'3. Technical adjustments'!E9</f>
        <v>13109.892611562296</v>
      </c>
      <c r="F25" s="34">
        <f>F18-'3. Technical adjustments'!F9</f>
        <v>12232.088773105956</v>
      </c>
      <c r="G25" s="34">
        <f>G18-'3. Technical adjustments'!G9</f>
        <v>11966.106716268774</v>
      </c>
      <c r="H25" s="34">
        <f>H18-'3. Technical adjustments'!H9</f>
        <v>11637.270911763062</v>
      </c>
      <c r="I25" s="18">
        <f t="shared" si="1"/>
        <v>62885.690073814578</v>
      </c>
    </row>
    <row r="26" spans="1:16" x14ac:dyDescent="0.35">
      <c r="C26" s="34" t="s">
        <v>116</v>
      </c>
      <c r="D26" s="34">
        <f>D19</f>
        <v>1115.874382499414</v>
      </c>
      <c r="E26" s="34">
        <f>E19</f>
        <v>1076.0843577361793</v>
      </c>
      <c r="F26" s="34">
        <f>F19</f>
        <v>1036.054120142684</v>
      </c>
      <c r="G26" s="34">
        <f>G19</f>
        <v>995.70752310355147</v>
      </c>
      <c r="H26" s="34">
        <f>H19</f>
        <v>955.70162727814841</v>
      </c>
      <c r="I26" s="18">
        <f t="shared" si="1"/>
        <v>5179.4220107599767</v>
      </c>
    </row>
    <row r="27" spans="1:16" x14ac:dyDescent="0.35">
      <c r="C27" s="34" t="s">
        <v>90</v>
      </c>
      <c r="D27" s="34">
        <f>SUM(D24:D26)</f>
        <v>34708.860476990529</v>
      </c>
      <c r="E27" s="34">
        <f>SUM(E24:E26)</f>
        <v>33730.272146726275</v>
      </c>
      <c r="F27" s="34">
        <f>SUM(F24:F26)</f>
        <v>32662.972121406361</v>
      </c>
      <c r="G27" s="34">
        <f>SUM(G24:G26)</f>
        <v>32088.540847290769</v>
      </c>
      <c r="H27" s="34">
        <f>SUM(H24:H26)</f>
        <v>31400.357712348879</v>
      </c>
      <c r="I27" s="18">
        <f t="shared" si="1"/>
        <v>164591.00330476282</v>
      </c>
    </row>
    <row r="28" spans="1:16" x14ac:dyDescent="0.35">
      <c r="C28" s="54" t="s">
        <v>119</v>
      </c>
      <c r="D28" s="54">
        <f>D21-'3. Technical adjustments'!D11</f>
        <v>34708.860476990536</v>
      </c>
      <c r="E28" s="54">
        <f>E21-'3. Technical adjustments'!E11</f>
        <v>33730.272146726275</v>
      </c>
      <c r="F28" s="54">
        <f>F21-'3. Technical adjustments'!F11</f>
        <v>32662.972121406361</v>
      </c>
      <c r="G28" s="54">
        <f>G21-'3. Technical adjustments'!G11</f>
        <v>32088.540847290769</v>
      </c>
      <c r="H28" s="54">
        <f>H21-'3. Technical adjustments'!H11</f>
        <v>31400.357712348879</v>
      </c>
      <c r="I28" s="18">
        <f t="shared" si="1"/>
        <v>164591.00330476282</v>
      </c>
      <c r="M28" s="36"/>
      <c r="N28" s="47"/>
    </row>
    <row r="29" spans="1:16" x14ac:dyDescent="0.35">
      <c r="C29" s="54"/>
      <c r="D29" s="54"/>
      <c r="E29" s="54"/>
      <c r="F29" s="54"/>
      <c r="G29" s="54"/>
      <c r="H29" s="54"/>
      <c r="I29" s="54"/>
      <c r="M29" s="36"/>
      <c r="N29" s="47"/>
    </row>
    <row r="30" spans="1:16" s="87" customFormat="1" ht="15.65" customHeight="1" x14ac:dyDescent="0.35">
      <c r="A30" s="91" t="s">
        <v>120</v>
      </c>
      <c r="G30" s="94"/>
      <c r="H30" s="94"/>
      <c r="I30" s="99"/>
      <c r="P30" s="95"/>
    </row>
    <row r="31" spans="1:16" x14ac:dyDescent="0.35">
      <c r="C31" s="34" t="s">
        <v>121</v>
      </c>
      <c r="D31" s="34">
        <v>0</v>
      </c>
      <c r="E31" s="34">
        <v>0</v>
      </c>
      <c r="F31" s="34">
        <v>0</v>
      </c>
      <c r="G31" s="34">
        <v>0</v>
      </c>
      <c r="I31" s="100">
        <f t="shared" ref="I31:I33" si="2">SUM(D31:G31)</f>
        <v>0</v>
      </c>
      <c r="P31" s="48"/>
    </row>
    <row r="32" spans="1:16" x14ac:dyDescent="0.35">
      <c r="C32" s="34" t="s">
        <v>122</v>
      </c>
      <c r="D32" s="34">
        <f>('4. Industrial free allocation'!P49+'4. Industrial free allocation'!P50+'4. Industrial free allocation'!P53+'4. Industrial free allocation'!P55+('4. Industrial free allocation'!P58*0.14))/1000</f>
        <v>3768.7161258399997</v>
      </c>
      <c r="E32" s="34">
        <f>('4. Industrial free allocation'!Q49+'4. Industrial free allocation'!Q50+'4. Industrial free allocation'!Q53+'4. Industrial free allocation'!Q55+('4. Industrial free allocation'!Q58*0.14))/1000</f>
        <v>3725.0688715199994</v>
      </c>
      <c r="F32" s="34">
        <f>('4. Industrial free allocation'!R49+'4. Industrial free allocation'!R50+'4. Industrial free allocation'!R53+'4. Industrial free allocation'!R55+('4. Industrial free allocation'!R58*0.14))/1000</f>
        <v>3681.4216172000001</v>
      </c>
      <c r="G32" s="34">
        <f>('4. Industrial free allocation'!S49+'4. Industrial free allocation'!S50+'4. Industrial free allocation'!S53+'4. Industrial free allocation'!S55+('4. Industrial free allocation'!S58*0.14))/1000</f>
        <v>3637.7743628800004</v>
      </c>
      <c r="H32" s="34">
        <f>('4. Industrial free allocation'!T49+'4. Industrial free allocation'!T50+'4. Industrial free allocation'!T53+'4. Industrial free allocation'!T55+('4. Industrial free allocation'!T58*0.14))/1000</f>
        <v>3594.1271085600001</v>
      </c>
      <c r="I32" s="18">
        <f t="shared" ref="I32" si="3">SUM(D32:H32)</f>
        <v>18407.108086</v>
      </c>
      <c r="N32" s="48"/>
    </row>
    <row r="33" spans="1:16" x14ac:dyDescent="0.35">
      <c r="C33" s="34" t="s">
        <v>123</v>
      </c>
      <c r="D33" s="34">
        <v>0</v>
      </c>
      <c r="E33" s="34">
        <v>0</v>
      </c>
      <c r="F33" s="34">
        <v>0</v>
      </c>
      <c r="G33" s="34">
        <v>0</v>
      </c>
      <c r="I33" s="33">
        <f t="shared" si="2"/>
        <v>0</v>
      </c>
    </row>
    <row r="34" spans="1:16" x14ac:dyDescent="0.35">
      <c r="I34" s="33"/>
    </row>
    <row r="35" spans="1:16" s="87" customFormat="1" x14ac:dyDescent="0.35">
      <c r="A35" s="91" t="s">
        <v>124</v>
      </c>
      <c r="I35" s="91"/>
    </row>
    <row r="36" spans="1:16" customFormat="1" x14ac:dyDescent="0.35">
      <c r="B36" t="s">
        <v>321</v>
      </c>
      <c r="C36" t="s">
        <v>73</v>
      </c>
      <c r="D36" s="6">
        <f>(D24-D31)*D3</f>
        <v>14739.491275032473</v>
      </c>
      <c r="E36" s="6">
        <f t="shared" ref="E36:G38" si="4">(E24-E31)*E3</f>
        <v>0</v>
      </c>
      <c r="F36" s="6">
        <f t="shared" si="4"/>
        <v>0</v>
      </c>
      <c r="G36" s="6">
        <f t="shared" si="4"/>
        <v>0</v>
      </c>
      <c r="H36" s="6"/>
      <c r="I36" s="6">
        <f>SUM(D36:H36)</f>
        <v>14739.491275032473</v>
      </c>
      <c r="K36" s="16"/>
      <c r="M36" s="5"/>
      <c r="N36" s="5"/>
      <c r="O36" s="5"/>
      <c r="P36" s="5"/>
    </row>
    <row r="37" spans="1:16" customFormat="1" x14ac:dyDescent="0.35">
      <c r="C37" t="s">
        <v>111</v>
      </c>
      <c r="D37" s="6">
        <f>(D25-D32)*D4</f>
        <v>10171.614935274481</v>
      </c>
      <c r="E37" s="6">
        <f t="shared" si="4"/>
        <v>7038.617805031723</v>
      </c>
      <c r="F37" s="6">
        <f t="shared" si="4"/>
        <v>4275.333577952978</v>
      </c>
      <c r="G37" s="6">
        <f t="shared" si="4"/>
        <v>2082.0830883471936</v>
      </c>
      <c r="H37" s="6">
        <f>(H25-H32)*H4</f>
        <v>0</v>
      </c>
      <c r="I37" s="6">
        <f t="shared" ref="I37:I49" si="5">SUM(D37:H37)</f>
        <v>23567.649406606375</v>
      </c>
      <c r="K37" s="16"/>
      <c r="M37" s="5"/>
      <c r="N37" s="5"/>
      <c r="O37" s="5"/>
      <c r="P37" s="5"/>
    </row>
    <row r="38" spans="1:16" customFormat="1" x14ac:dyDescent="0.35">
      <c r="C38" t="s">
        <v>44</v>
      </c>
      <c r="D38" s="6">
        <f>(D26-D33)*D5</f>
        <v>1115.874382499414</v>
      </c>
      <c r="E38" s="6">
        <f t="shared" si="4"/>
        <v>0</v>
      </c>
      <c r="F38" s="6">
        <f t="shared" si="4"/>
        <v>0</v>
      </c>
      <c r="G38" s="6">
        <f t="shared" si="4"/>
        <v>0</v>
      </c>
      <c r="H38" s="6">
        <f>(H26-H33)*H5</f>
        <v>0</v>
      </c>
      <c r="I38" s="6">
        <f t="shared" si="5"/>
        <v>1115.874382499414</v>
      </c>
      <c r="K38" s="16"/>
      <c r="M38" s="5"/>
      <c r="N38" s="5"/>
      <c r="O38" s="5"/>
      <c r="P38" s="5"/>
    </row>
    <row r="39" spans="1:16" customFormat="1" x14ac:dyDescent="0.35">
      <c r="C39" s="2" t="s">
        <v>125</v>
      </c>
      <c r="D39" s="7">
        <f>SUM(D36:D38)</f>
        <v>26026.980592806369</v>
      </c>
      <c r="E39" s="7">
        <f t="shared" ref="E39:G39" si="6">SUM(E36:E38)</f>
        <v>7038.617805031723</v>
      </c>
      <c r="F39" s="7">
        <f t="shared" si="6"/>
        <v>4275.333577952978</v>
      </c>
      <c r="G39" s="7">
        <f t="shared" si="6"/>
        <v>2082.0830883471936</v>
      </c>
      <c r="H39" s="7">
        <f t="shared" ref="H39" si="7">SUM(H36:H38)</f>
        <v>0</v>
      </c>
      <c r="I39" s="7">
        <f t="shared" si="5"/>
        <v>39423.015064138264</v>
      </c>
      <c r="K39" s="16"/>
    </row>
    <row r="40" spans="1:16" customFormat="1" x14ac:dyDescent="0.35">
      <c r="D40" s="6"/>
      <c r="E40" s="6"/>
      <c r="F40" s="6"/>
      <c r="G40" s="6"/>
      <c r="H40" s="6"/>
      <c r="I40" s="6"/>
      <c r="K40" s="16"/>
    </row>
    <row r="41" spans="1:16" customFormat="1" x14ac:dyDescent="0.35">
      <c r="B41" s="136" t="s">
        <v>320</v>
      </c>
      <c r="C41" t="s">
        <v>73</v>
      </c>
      <c r="D41" s="6">
        <f>(D24-D31)*D7</f>
        <v>9826.3275166883159</v>
      </c>
      <c r="E41" s="6">
        <f t="shared" ref="D41:H43" si="8">(E24-E31)*E7</f>
        <v>0</v>
      </c>
      <c r="F41" s="6">
        <f t="shared" si="8"/>
        <v>0</v>
      </c>
      <c r="G41" s="6">
        <f t="shared" si="8"/>
        <v>0</v>
      </c>
      <c r="H41" s="6">
        <f t="shared" si="8"/>
        <v>0</v>
      </c>
      <c r="I41" s="6">
        <f t="shared" si="5"/>
        <v>9826.3275166883159</v>
      </c>
      <c r="K41" s="16"/>
      <c r="M41" s="34"/>
      <c r="N41" s="34"/>
      <c r="O41" s="34"/>
      <c r="P41" s="34"/>
    </row>
    <row r="42" spans="1:16" customFormat="1" x14ac:dyDescent="0.35">
      <c r="C42" t="s">
        <v>111</v>
      </c>
      <c r="D42" s="6">
        <f t="shared" si="8"/>
        <v>10171.614935274481</v>
      </c>
      <c r="E42" s="6">
        <f t="shared" si="8"/>
        <v>6287.8319058283396</v>
      </c>
      <c r="F42" s="6">
        <f t="shared" si="8"/>
        <v>2821.7201614489654</v>
      </c>
      <c r="G42" s="6">
        <f t="shared" si="8"/>
        <v>0</v>
      </c>
      <c r="H42" s="6">
        <f t="shared" si="8"/>
        <v>0</v>
      </c>
      <c r="I42" s="6">
        <f t="shared" si="5"/>
        <v>19281.167002551785</v>
      </c>
      <c r="K42" s="16"/>
    </row>
    <row r="43" spans="1:16" customFormat="1" x14ac:dyDescent="0.35">
      <c r="C43" t="s">
        <v>44</v>
      </c>
      <c r="D43" s="6">
        <f t="shared" si="8"/>
        <v>1115.874382499414</v>
      </c>
      <c r="E43" s="6">
        <f t="shared" si="8"/>
        <v>0</v>
      </c>
      <c r="F43" s="6">
        <f t="shared" si="8"/>
        <v>0</v>
      </c>
      <c r="G43" s="6">
        <f t="shared" si="8"/>
        <v>0</v>
      </c>
      <c r="H43" s="6">
        <f t="shared" si="8"/>
        <v>0</v>
      </c>
      <c r="I43" s="6">
        <f t="shared" si="5"/>
        <v>1115.874382499414</v>
      </c>
      <c r="K43" s="16"/>
    </row>
    <row r="44" spans="1:16" customFormat="1" x14ac:dyDescent="0.35">
      <c r="C44" s="2" t="s">
        <v>126</v>
      </c>
      <c r="D44" s="7">
        <f>SUM(D41:D43)</f>
        <v>21113.81683446221</v>
      </c>
      <c r="E44" s="7">
        <f t="shared" ref="E44:G44" si="9">SUM(E41:E43)</f>
        <v>6287.8319058283396</v>
      </c>
      <c r="F44" s="7">
        <f t="shared" si="9"/>
        <v>2821.7201614489654</v>
      </c>
      <c r="G44" s="7">
        <f t="shared" si="9"/>
        <v>0</v>
      </c>
      <c r="H44" s="7">
        <f t="shared" ref="H44" si="10">SUM(H41:H43)</f>
        <v>0</v>
      </c>
      <c r="I44" s="142">
        <f t="shared" si="5"/>
        <v>30223.368901739512</v>
      </c>
      <c r="K44" s="16"/>
    </row>
    <row r="45" spans="1:16" customFormat="1" x14ac:dyDescent="0.35">
      <c r="D45" s="6"/>
      <c r="E45" s="6"/>
      <c r="F45" s="6"/>
      <c r="G45" s="6"/>
      <c r="H45" s="6"/>
      <c r="I45" s="6"/>
      <c r="K45" s="16"/>
    </row>
    <row r="46" spans="1:16" customFormat="1" x14ac:dyDescent="0.35">
      <c r="B46" t="s">
        <v>322</v>
      </c>
      <c r="C46" t="s">
        <v>73</v>
      </c>
      <c r="D46" s="6">
        <f>(D24-D31)*D11</f>
        <v>4913.1637583441579</v>
      </c>
      <c r="E46" s="6">
        <f t="shared" ref="D46:H48" si="11">(E24-E31)*E11</f>
        <v>0</v>
      </c>
      <c r="F46" s="6">
        <f t="shared" si="11"/>
        <v>0</v>
      </c>
      <c r="G46" s="6">
        <f t="shared" si="11"/>
        <v>0</v>
      </c>
      <c r="H46" s="6">
        <f t="shared" si="11"/>
        <v>0</v>
      </c>
      <c r="I46" s="6">
        <f t="shared" si="5"/>
        <v>4913.1637583441579</v>
      </c>
      <c r="K46" s="16"/>
      <c r="M46" s="34"/>
      <c r="N46" s="34"/>
      <c r="O46" s="34"/>
      <c r="P46" s="34"/>
    </row>
    <row r="47" spans="1:16" customFormat="1" x14ac:dyDescent="0.35">
      <c r="C47" t="s">
        <v>111</v>
      </c>
      <c r="D47" s="6">
        <f t="shared" si="11"/>
        <v>10171.614935274481</v>
      </c>
      <c r="E47" s="6">
        <f t="shared" si="11"/>
        <v>4692.4118700211484</v>
      </c>
      <c r="F47" s="6">
        <f t="shared" si="11"/>
        <v>0</v>
      </c>
      <c r="G47" s="6">
        <f t="shared" si="11"/>
        <v>0</v>
      </c>
      <c r="H47" s="6">
        <f t="shared" si="11"/>
        <v>0</v>
      </c>
      <c r="I47" s="6">
        <f t="shared" si="5"/>
        <v>14864.026805295631</v>
      </c>
      <c r="K47" s="16"/>
    </row>
    <row r="48" spans="1:16" customFormat="1" x14ac:dyDescent="0.35">
      <c r="C48" t="s">
        <v>44</v>
      </c>
      <c r="D48" s="6">
        <f t="shared" si="11"/>
        <v>1115.874382499414</v>
      </c>
      <c r="E48" s="6">
        <f t="shared" si="11"/>
        <v>0</v>
      </c>
      <c r="F48" s="6">
        <f t="shared" si="11"/>
        <v>0</v>
      </c>
      <c r="G48" s="6">
        <f t="shared" si="11"/>
        <v>0</v>
      </c>
      <c r="H48" s="6">
        <f t="shared" si="11"/>
        <v>0</v>
      </c>
      <c r="I48" s="6">
        <f t="shared" si="5"/>
        <v>1115.874382499414</v>
      </c>
      <c r="K48" s="16"/>
    </row>
    <row r="49" spans="3:11" customFormat="1" x14ac:dyDescent="0.35">
      <c r="C49" s="2" t="s">
        <v>127</v>
      </c>
      <c r="D49" s="7">
        <f>SUM(D46:D48)</f>
        <v>16200.653076118053</v>
      </c>
      <c r="E49" s="7">
        <f t="shared" ref="E49:G49" si="12">SUM(E46:E48)</f>
        <v>4692.4118700211484</v>
      </c>
      <c r="F49" s="7">
        <f t="shared" si="12"/>
        <v>0</v>
      </c>
      <c r="G49" s="7">
        <f t="shared" si="12"/>
        <v>0</v>
      </c>
      <c r="H49" s="7">
        <f t="shared" ref="H49" si="13">SUM(H46:H48)</f>
        <v>0</v>
      </c>
      <c r="I49" s="7">
        <f t="shared" si="5"/>
        <v>20893.064946139202</v>
      </c>
      <c r="K49" s="16"/>
    </row>
    <row r="51" spans="3:11" customFormat="1" x14ac:dyDescent="0.35"/>
    <row r="52" spans="3:11" customFormat="1" x14ac:dyDescent="0.35"/>
    <row r="53" spans="3:11" customFormat="1" x14ac:dyDescent="0.35"/>
    <row r="54" spans="3:11" customFormat="1" x14ac:dyDescent="0.35"/>
    <row r="55" spans="3:11" customFormat="1" x14ac:dyDescent="0.35"/>
    <row r="56" spans="3:11" customFormat="1" x14ac:dyDescent="0.35"/>
    <row r="57" spans="3:11" customFormat="1" x14ac:dyDescent="0.35"/>
    <row r="58" spans="3:11" customFormat="1" x14ac:dyDescent="0.35"/>
    <row r="59" spans="3:11" customFormat="1" x14ac:dyDescent="0.35"/>
    <row r="60" spans="3:11" customFormat="1" x14ac:dyDescent="0.35"/>
    <row r="61" spans="3:11" customFormat="1" x14ac:dyDescent="0.35"/>
    <row r="70" spans="4:8" x14ac:dyDescent="0.35">
      <c r="D70" s="124"/>
      <c r="E70" s="124"/>
      <c r="F70" s="124"/>
      <c r="G70" s="124"/>
      <c r="H70" s="124"/>
    </row>
    <row r="71" spans="4:8" x14ac:dyDescent="0.35">
      <c r="D71" s="124"/>
      <c r="E71" s="124"/>
      <c r="F71" s="124"/>
      <c r="G71" s="124"/>
      <c r="H71" s="124"/>
    </row>
    <row r="72" spans="4:8" x14ac:dyDescent="0.35">
      <c r="D72" s="124"/>
      <c r="E72" s="124"/>
      <c r="F72" s="124"/>
      <c r="G72" s="124"/>
      <c r="H72" s="124"/>
    </row>
    <row r="73" spans="4:8" x14ac:dyDescent="0.35">
      <c r="D73" s="124"/>
      <c r="E73" s="124"/>
      <c r="F73" s="124"/>
      <c r="G73" s="124"/>
      <c r="H73" s="124"/>
    </row>
    <row r="74" spans="4:8" x14ac:dyDescent="0.35">
      <c r="D74" s="124"/>
      <c r="E74" s="124"/>
      <c r="F74" s="124"/>
      <c r="G74" s="124"/>
      <c r="H74" s="124"/>
    </row>
    <row r="75" spans="4:8" x14ac:dyDescent="0.35">
      <c r="D75" s="124"/>
      <c r="E75" s="124"/>
      <c r="F75" s="124"/>
      <c r="G75" s="124"/>
      <c r="H75" s="124"/>
    </row>
    <row r="76" spans="4:8" x14ac:dyDescent="0.35">
      <c r="D76" s="124"/>
      <c r="E76" s="124"/>
      <c r="F76" s="124"/>
      <c r="G76" s="124"/>
      <c r="H76" s="124"/>
    </row>
    <row r="77" spans="4:8" x14ac:dyDescent="0.35">
      <c r="D77" s="124"/>
      <c r="E77" s="124"/>
      <c r="F77" s="124"/>
      <c r="G77" s="124"/>
      <c r="H77" s="124"/>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A69E-A7BF-4A41-85EE-1856DCBA6F66}">
  <sheetPr>
    <tabColor theme="9"/>
  </sheetPr>
  <dimension ref="A1:BQ61"/>
  <sheetViews>
    <sheetView zoomScale="85" zoomScaleNormal="85" workbookViewId="0"/>
  </sheetViews>
  <sheetFormatPr defaultColWidth="8.7265625" defaultRowHeight="14.5" x14ac:dyDescent="0.35"/>
  <cols>
    <col min="2" max="2" width="14" customWidth="1"/>
    <col min="3" max="3" width="14.26953125" customWidth="1"/>
    <col min="4" max="4" width="15.453125" customWidth="1"/>
    <col min="5" max="5" width="16.26953125" customWidth="1"/>
    <col min="6" max="7" width="15.453125" customWidth="1"/>
    <col min="8" max="8" width="16.453125" customWidth="1"/>
    <col min="10" max="10" width="9" bestFit="1" customWidth="1"/>
    <col min="13" max="13" width="11.54296875" customWidth="1"/>
    <col min="14" max="34" width="11.81640625" customWidth="1"/>
    <col min="35" max="35" width="16" customWidth="1"/>
    <col min="36" max="69" width="12" customWidth="1"/>
  </cols>
  <sheetData>
    <row r="1" spans="1:69" s="59" customFormat="1" x14ac:dyDescent="0.35">
      <c r="A1" s="58" t="s">
        <v>128</v>
      </c>
    </row>
    <row r="2" spans="1:69" x14ac:dyDescent="0.35">
      <c r="A2" t="s">
        <v>129</v>
      </c>
    </row>
    <row r="4" spans="1:69" s="10" customFormat="1" ht="29" x14ac:dyDescent="0.35">
      <c r="A4" s="101" t="s">
        <v>130</v>
      </c>
      <c r="B4" s="101" t="s">
        <v>131</v>
      </c>
      <c r="C4" s="101" t="s">
        <v>331</v>
      </c>
      <c r="D4" s="101" t="s">
        <v>329</v>
      </c>
      <c r="E4" s="101" t="s">
        <v>332</v>
      </c>
      <c r="F4" s="101"/>
      <c r="G4" s="101" t="s">
        <v>330</v>
      </c>
      <c r="H4" s="101" t="s">
        <v>333</v>
      </c>
      <c r="M4" s="42"/>
      <c r="N4" s="42"/>
      <c r="O4" s="42"/>
      <c r="P4" s="42"/>
      <c r="Q4" s="42"/>
      <c r="R4" s="42"/>
      <c r="S4" s="42"/>
      <c r="T4" s="42"/>
      <c r="U4" s="42"/>
      <c r="V4" s="42"/>
      <c r="W4" s="42"/>
      <c r="X4" s="42"/>
      <c r="Y4" s="42"/>
      <c r="Z4" s="42"/>
      <c r="AA4" s="42"/>
      <c r="AB4" s="42"/>
      <c r="AC4" s="42"/>
      <c r="AD4" s="42"/>
      <c r="AE4" s="42"/>
      <c r="AF4" s="42"/>
      <c r="AG4" s="42"/>
      <c r="AH4" s="42"/>
      <c r="AI4" s="43"/>
      <c r="AJ4" s="42"/>
      <c r="AK4" s="42"/>
      <c r="AL4" s="42"/>
      <c r="AM4" s="42"/>
      <c r="AN4" s="42"/>
      <c r="AO4" s="42"/>
      <c r="AP4" s="42"/>
      <c r="AQ4" s="42"/>
      <c r="AR4" s="42"/>
      <c r="AS4" s="42"/>
      <c r="AT4" s="42"/>
      <c r="AU4" s="42"/>
      <c r="AV4" s="42"/>
      <c r="AW4" s="42"/>
      <c r="AX4" s="42"/>
      <c r="AY4" s="42"/>
      <c r="AZ4" s="42"/>
      <c r="BA4" s="42"/>
      <c r="BB4" s="42"/>
      <c r="BC4" s="42"/>
      <c r="BD4" s="43"/>
      <c r="BE4" s="42"/>
      <c r="BF4" s="42"/>
      <c r="BG4" s="42"/>
      <c r="BH4" s="42"/>
      <c r="BI4" s="42"/>
      <c r="BJ4" s="42"/>
      <c r="BK4" s="42"/>
      <c r="BL4" s="42"/>
      <c r="BM4" s="42"/>
      <c r="BN4" s="42"/>
      <c r="BO4" s="42"/>
      <c r="BP4" s="42"/>
      <c r="BQ4" s="42"/>
    </row>
    <row r="5" spans="1:69" x14ac:dyDescent="0.35">
      <c r="A5" t="s">
        <v>132</v>
      </c>
      <c r="B5" s="39">
        <v>42825</v>
      </c>
      <c r="C5" s="25">
        <v>32645150</v>
      </c>
      <c r="D5" s="12"/>
      <c r="M5" s="6"/>
      <c r="N5" s="6"/>
      <c r="O5" s="6"/>
      <c r="P5" s="6"/>
      <c r="Q5" s="6"/>
      <c r="R5" s="6"/>
      <c r="S5" s="6"/>
      <c r="T5" s="6"/>
      <c r="U5" s="6"/>
      <c r="V5" s="6"/>
      <c r="W5" s="6"/>
      <c r="X5" s="6"/>
      <c r="Y5" s="6"/>
      <c r="Z5" s="6"/>
      <c r="AA5" s="6"/>
      <c r="AB5" s="6"/>
      <c r="AC5" s="6"/>
      <c r="AD5" s="6"/>
      <c r="AE5" s="6"/>
      <c r="AF5" s="6"/>
      <c r="AG5" s="6"/>
      <c r="AH5" s="6"/>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1:69" x14ac:dyDescent="0.35">
      <c r="A6" t="s">
        <v>133</v>
      </c>
      <c r="B6" s="39">
        <v>42916</v>
      </c>
      <c r="C6" s="25">
        <v>31515323</v>
      </c>
      <c r="AH6" s="6"/>
      <c r="AI6" s="4"/>
      <c r="AJ6" s="4"/>
      <c r="AK6" s="4"/>
      <c r="AL6" s="4"/>
      <c r="AM6" s="4"/>
      <c r="AN6" s="4"/>
      <c r="AO6" s="4"/>
      <c r="AP6" s="4"/>
      <c r="AQ6" s="4"/>
      <c r="AR6" s="4"/>
      <c r="AS6" s="4"/>
      <c r="AT6" s="4"/>
      <c r="AU6" s="4"/>
      <c r="AV6" s="4"/>
      <c r="AW6" s="4"/>
      <c r="AX6" s="4"/>
      <c r="AY6" s="4"/>
      <c r="AZ6" s="4"/>
      <c r="BA6" s="4"/>
      <c r="BB6" s="4"/>
      <c r="BC6" s="4"/>
      <c r="BD6" s="41"/>
      <c r="BE6" s="4"/>
      <c r="BF6" s="4"/>
      <c r="BG6" s="4"/>
      <c r="BH6" s="4"/>
      <c r="BI6" s="4"/>
      <c r="BJ6" s="4"/>
      <c r="BK6" s="4"/>
      <c r="BL6" s="4"/>
      <c r="BM6" s="4"/>
      <c r="BN6" s="4"/>
      <c r="BO6" s="4"/>
      <c r="BP6" s="4"/>
      <c r="BQ6" s="31"/>
    </row>
    <row r="7" spans="1:69" x14ac:dyDescent="0.35">
      <c r="A7" t="s">
        <v>134</v>
      </c>
      <c r="B7" s="39">
        <v>43008</v>
      </c>
      <c r="C7" s="25">
        <v>30514525</v>
      </c>
      <c r="AH7" s="4"/>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row>
    <row r="8" spans="1:69" x14ac:dyDescent="0.35">
      <c r="A8" t="s">
        <v>135</v>
      </c>
      <c r="B8" s="39">
        <v>43100</v>
      </c>
      <c r="C8" s="25">
        <v>29580875</v>
      </c>
    </row>
    <row r="9" spans="1:69" x14ac:dyDescent="0.35">
      <c r="A9" t="s">
        <v>136</v>
      </c>
      <c r="B9" s="39">
        <v>43190</v>
      </c>
      <c r="C9" s="25">
        <v>28416358</v>
      </c>
    </row>
    <row r="10" spans="1:69" x14ac:dyDescent="0.35">
      <c r="A10" t="s">
        <v>137</v>
      </c>
      <c r="B10" s="39">
        <v>43281</v>
      </c>
      <c r="C10" s="25">
        <v>25560414</v>
      </c>
    </row>
    <row r="11" spans="1:69" x14ac:dyDescent="0.35">
      <c r="A11" t="s">
        <v>138</v>
      </c>
      <c r="B11" s="39">
        <v>43373</v>
      </c>
      <c r="C11" s="25">
        <v>24632772</v>
      </c>
    </row>
    <row r="12" spans="1:69" x14ac:dyDescent="0.35">
      <c r="A12" t="s">
        <v>139</v>
      </c>
      <c r="B12" s="39">
        <v>43465</v>
      </c>
      <c r="C12" s="25">
        <v>23905961</v>
      </c>
    </row>
    <row r="13" spans="1:69" x14ac:dyDescent="0.35">
      <c r="A13" t="s">
        <v>140</v>
      </c>
      <c r="B13" s="39">
        <v>43555</v>
      </c>
      <c r="C13" s="25">
        <v>22437390</v>
      </c>
    </row>
    <row r="14" spans="1:69" x14ac:dyDescent="0.35">
      <c r="A14" t="s">
        <v>141</v>
      </c>
      <c r="B14" s="39">
        <v>43646</v>
      </c>
      <c r="C14" s="25">
        <v>21087375</v>
      </c>
    </row>
    <row r="15" spans="1:69" x14ac:dyDescent="0.35">
      <c r="A15" t="s">
        <v>142</v>
      </c>
      <c r="B15" s="39">
        <v>43738</v>
      </c>
      <c r="C15" s="25">
        <v>19876495</v>
      </c>
    </row>
    <row r="16" spans="1:69" x14ac:dyDescent="0.35">
      <c r="A16" t="s">
        <v>143</v>
      </c>
      <c r="B16" s="39">
        <v>43830</v>
      </c>
      <c r="C16" s="25">
        <v>20058937</v>
      </c>
    </row>
    <row r="17" spans="1:10" x14ac:dyDescent="0.35">
      <c r="A17" t="s">
        <v>144</v>
      </c>
      <c r="B17" s="39">
        <v>43921</v>
      </c>
      <c r="C17" s="25">
        <v>19049208</v>
      </c>
    </row>
    <row r="18" spans="1:10" x14ac:dyDescent="0.35">
      <c r="A18" t="s">
        <v>145</v>
      </c>
      <c r="B18" s="39">
        <v>44012</v>
      </c>
      <c r="C18" s="25">
        <v>17091309</v>
      </c>
    </row>
    <row r="19" spans="1:10" x14ac:dyDescent="0.35">
      <c r="A19" t="s">
        <v>146</v>
      </c>
      <c r="B19" s="39">
        <v>44104</v>
      </c>
      <c r="C19" s="25">
        <v>16861643</v>
      </c>
    </row>
    <row r="20" spans="1:10" x14ac:dyDescent="0.35">
      <c r="A20" t="s">
        <v>147</v>
      </c>
      <c r="B20" s="39">
        <v>44196</v>
      </c>
      <c r="C20" s="25">
        <v>16528337</v>
      </c>
    </row>
    <row r="21" spans="1:10" x14ac:dyDescent="0.35">
      <c r="A21" t="s">
        <v>148</v>
      </c>
      <c r="B21" s="39">
        <v>44286</v>
      </c>
      <c r="C21" s="25">
        <v>16396219</v>
      </c>
    </row>
    <row r="22" spans="1:10" x14ac:dyDescent="0.35">
      <c r="A22" t="s">
        <v>149</v>
      </c>
      <c r="B22" s="39">
        <v>44377</v>
      </c>
      <c r="C22" s="25">
        <v>16806373</v>
      </c>
    </row>
    <row r="23" spans="1:10" x14ac:dyDescent="0.35">
      <c r="A23" t="s">
        <v>150</v>
      </c>
      <c r="B23" s="39">
        <v>44469</v>
      </c>
      <c r="C23" s="25">
        <v>16821126</v>
      </c>
    </row>
    <row r="24" spans="1:10" x14ac:dyDescent="0.35">
      <c r="A24" t="s">
        <v>151</v>
      </c>
      <c r="B24" s="39">
        <v>44561</v>
      </c>
      <c r="C24" s="25">
        <v>16669233</v>
      </c>
      <c r="D24" s="12"/>
    </row>
    <row r="25" spans="1:10" x14ac:dyDescent="0.35">
      <c r="A25" t="s">
        <v>152</v>
      </c>
      <c r="B25" s="39">
        <v>44651</v>
      </c>
      <c r="C25" s="25">
        <v>16397405</v>
      </c>
      <c r="D25" s="12"/>
      <c r="E25" s="13"/>
    </row>
    <row r="26" spans="1:10" x14ac:dyDescent="0.35">
      <c r="A26" t="s">
        <v>153</v>
      </c>
      <c r="B26" s="39">
        <v>44713</v>
      </c>
      <c r="C26" s="25">
        <v>16162192</v>
      </c>
      <c r="D26" s="26">
        <f>C26</f>
        <v>16162192</v>
      </c>
      <c r="F26" s="15"/>
      <c r="G26" s="26">
        <f>C26</f>
        <v>16162192</v>
      </c>
      <c r="H26" s="4"/>
    </row>
    <row r="27" spans="1:10" x14ac:dyDescent="0.35">
      <c r="A27" t="s">
        <v>154</v>
      </c>
      <c r="B27" s="39">
        <v>44834</v>
      </c>
      <c r="D27" s="26" cm="1">
        <f t="array" ref="D27">TREND($C$17:$C$26,$B$17:$B$26,B27)</f>
        <v>15834795.73177667</v>
      </c>
      <c r="E27" s="4">
        <f>D27/$C$26</f>
        <v>0.97974307765782453</v>
      </c>
      <c r="G27" s="26" cm="1">
        <f t="array" ref="G27">TREND($C$21:$C$26,$B$21:$B$26,B27)</f>
        <v>16286480.27300407</v>
      </c>
      <c r="H27" s="4">
        <f>G27/$C$26</f>
        <v>1.0076900628951859</v>
      </c>
      <c r="J27" s="13"/>
    </row>
    <row r="28" spans="1:10" x14ac:dyDescent="0.35">
      <c r="A28" t="s">
        <v>155</v>
      </c>
      <c r="B28" s="39">
        <v>44926</v>
      </c>
      <c r="C28" s="12"/>
      <c r="D28" s="26" cm="1">
        <f t="array" ref="D28">TREND($C$17:$C$26,$B$17:$B$26,B28)</f>
        <v>15644691.164100349</v>
      </c>
      <c r="E28" s="4">
        <f t="shared" ref="E28:E61" si="0">D28/$C$26</f>
        <v>0.96798077662363802</v>
      </c>
      <c r="G28" s="26" cm="1">
        <f t="array" ref="G28">TREND($C$21:$C$26,$B$21:$B$26,B28)</f>
        <v>16214011.18964415</v>
      </c>
      <c r="H28" s="4">
        <f t="shared" ref="H28:H61" si="1">G28/$C$26</f>
        <v>1.0032061981223928</v>
      </c>
      <c r="J28" s="13"/>
    </row>
    <row r="29" spans="1:10" x14ac:dyDescent="0.35">
      <c r="A29" t="s">
        <v>156</v>
      </c>
      <c r="B29" s="39">
        <v>45016</v>
      </c>
      <c r="D29" s="26" cm="1">
        <f t="array" ref="D29">TREND($C$17:$C$26,$B$17:$B$26,B29)</f>
        <v>15458719.304416984</v>
      </c>
      <c r="E29" s="4">
        <f t="shared" si="0"/>
        <v>0.95647417778584642</v>
      </c>
      <c r="G29" s="26" cm="1">
        <f t="array" ref="G29">TREND($C$21:$C$26,$B$21:$B$26,B29)</f>
        <v>16143117.52113989</v>
      </c>
      <c r="H29" s="4">
        <f t="shared" si="1"/>
        <v>0.99881980867074771</v>
      </c>
      <c r="J29" s="13"/>
    </row>
    <row r="30" spans="1:10" x14ac:dyDescent="0.35">
      <c r="A30" t="s">
        <v>157</v>
      </c>
      <c r="B30" s="39">
        <v>45107</v>
      </c>
      <c r="D30" s="26" cm="1">
        <f t="array" ref="D30">TREND($C$17:$C$26,$B$17:$B$26,B30)</f>
        <v>15270681.090737134</v>
      </c>
      <c r="E30" s="4">
        <f t="shared" si="0"/>
        <v>0.94483972784985693</v>
      </c>
      <c r="G30" s="26" cm="1">
        <f t="array" ref="G30">TREND($C$21:$C$26,$B$21:$B$26,B30)</f>
        <v>16071436.1452078</v>
      </c>
      <c r="H30" s="4">
        <f t="shared" si="1"/>
        <v>0.99438468155852866</v>
      </c>
      <c r="J30" s="13"/>
    </row>
    <row r="31" spans="1:10" x14ac:dyDescent="0.35">
      <c r="A31" t="s">
        <v>158</v>
      </c>
      <c r="B31" s="39">
        <v>45199</v>
      </c>
      <c r="D31" s="26" cm="1">
        <f t="array" ref="D31">TREND($C$17:$C$26,$B$17:$B$26,B31)</f>
        <v>15080576.523060799</v>
      </c>
      <c r="E31" s="4">
        <f t="shared" si="0"/>
        <v>0.93307742681566952</v>
      </c>
      <c r="G31" s="26" cm="1">
        <f t="array" ref="G31">TREND($C$21:$C$26,$B$21:$B$26,B31)</f>
        <v>15998967.06184788</v>
      </c>
      <c r="H31" s="4">
        <f t="shared" si="1"/>
        <v>0.98990081678573549</v>
      </c>
      <c r="J31" s="13"/>
    </row>
    <row r="32" spans="1:10" x14ac:dyDescent="0.35">
      <c r="A32" t="s">
        <v>159</v>
      </c>
      <c r="B32" s="39">
        <v>45291</v>
      </c>
      <c r="D32" s="26" cm="1">
        <f t="array" ref="D32">TREND($C$17:$C$26,$B$17:$B$26,B32)</f>
        <v>14890471.955384478</v>
      </c>
      <c r="E32" s="4">
        <f t="shared" si="0"/>
        <v>0.921315125781483</v>
      </c>
      <c r="G32" s="26" cm="1">
        <f t="array" ref="G32">TREND($C$21:$C$26,$B$21:$B$26,B32)</f>
        <v>15926497.978487968</v>
      </c>
      <c r="H32" s="4">
        <f t="shared" si="1"/>
        <v>0.98541695201294288</v>
      </c>
      <c r="J32" s="13"/>
    </row>
    <row r="33" spans="1:10" x14ac:dyDescent="0.35">
      <c r="A33" t="s">
        <v>160</v>
      </c>
      <c r="B33" s="39">
        <v>45382</v>
      </c>
      <c r="D33" s="26" cm="1">
        <f t="array" ref="D33">TREND($C$17:$C$26,$B$17:$B$26,B33)</f>
        <v>14702433.741704628</v>
      </c>
      <c r="E33" s="4">
        <f t="shared" si="0"/>
        <v>0.9096806758454935</v>
      </c>
      <c r="G33" s="26" cm="1">
        <f t="array" ref="G33">TREND($C$21:$C$26,$B$21:$B$26,B33)</f>
        <v>15854816.602555878</v>
      </c>
      <c r="H33" s="4">
        <f t="shared" si="1"/>
        <v>0.98098182490072372</v>
      </c>
      <c r="J33" s="13"/>
    </row>
    <row r="34" spans="1:10" x14ac:dyDescent="0.35">
      <c r="A34" t="s">
        <v>161</v>
      </c>
      <c r="B34" s="39">
        <v>45473</v>
      </c>
      <c r="D34" s="26" cm="1">
        <f t="array" ref="D34">TREND($C$17:$C$26,$B$17:$B$26,B34)</f>
        <v>14514395.528024778</v>
      </c>
      <c r="E34" s="4">
        <f t="shared" si="0"/>
        <v>0.898046225909504</v>
      </c>
      <c r="G34" s="26" cm="1">
        <f t="array" ref="G34">TREND($C$21:$C$26,$B$21:$B$26,B34)</f>
        <v>15783135.226623788</v>
      </c>
      <c r="H34" s="4">
        <f>G34/$C$26</f>
        <v>0.97654669778850467</v>
      </c>
      <c r="J34" s="13"/>
    </row>
    <row r="35" spans="1:10" x14ac:dyDescent="0.35">
      <c r="A35" t="s">
        <v>162</v>
      </c>
      <c r="B35" s="39">
        <v>45565</v>
      </c>
      <c r="D35" s="26" cm="1">
        <f t="array" ref="D35">TREND($C$17:$C$26,$B$17:$B$26,B35)</f>
        <v>14324290.960348442</v>
      </c>
      <c r="E35" s="4">
        <f t="shared" si="0"/>
        <v>0.8862839248753166</v>
      </c>
      <c r="G35" s="26" cm="1">
        <f t="array" ref="G35">TREND($C$21:$C$26,$B$21:$B$26,B35)</f>
        <v>15710666.143263869</v>
      </c>
      <c r="H35" s="4">
        <f t="shared" si="1"/>
        <v>0.9720628330157115</v>
      </c>
      <c r="J35" s="13"/>
    </row>
    <row r="36" spans="1:10" x14ac:dyDescent="0.35">
      <c r="A36" t="s">
        <v>163</v>
      </c>
      <c r="B36" s="39">
        <v>45657</v>
      </c>
      <c r="D36" s="26" cm="1">
        <f t="array" ref="D36">TREND($C$17:$C$26,$B$17:$B$26,B36)</f>
        <v>14134186.392672122</v>
      </c>
      <c r="E36" s="4">
        <f t="shared" si="0"/>
        <v>0.87452162384113008</v>
      </c>
      <c r="G36" s="26" cm="1">
        <f t="array" ref="G36">TREND($C$21:$C$26,$B$21:$B$26,B36)</f>
        <v>15638197.059903957</v>
      </c>
      <c r="H36" s="4">
        <f t="shared" si="1"/>
        <v>0.96757896824291889</v>
      </c>
      <c r="J36" s="13"/>
    </row>
    <row r="37" spans="1:10" x14ac:dyDescent="0.35">
      <c r="A37" t="s">
        <v>164</v>
      </c>
      <c r="B37" s="39">
        <v>45747</v>
      </c>
      <c r="D37" s="26" cm="1">
        <f t="array" ref="D37">TREND($C$17:$C$26,$B$17:$B$26,B37)</f>
        <v>13948214.532988757</v>
      </c>
      <c r="E37" s="4">
        <f t="shared" si="0"/>
        <v>0.86301502500333849</v>
      </c>
      <c r="G37" s="26" cm="1">
        <f t="array" ref="G37">TREND($C$21:$C$26,$B$21:$B$26,B37)</f>
        <v>15567303.391399689</v>
      </c>
      <c r="H37" s="4">
        <f t="shared" si="1"/>
        <v>0.9631925787912734</v>
      </c>
      <c r="J37" s="13"/>
    </row>
    <row r="38" spans="1:10" x14ac:dyDescent="0.35">
      <c r="A38" t="s">
        <v>165</v>
      </c>
      <c r="B38" s="39">
        <v>45838</v>
      </c>
      <c r="D38" s="26" cm="1">
        <f t="array" ref="D38">TREND($C$17:$C$26,$B$17:$B$26,B38)</f>
        <v>13760176.319308907</v>
      </c>
      <c r="E38" s="4">
        <f t="shared" si="0"/>
        <v>0.85138057506734899</v>
      </c>
      <c r="G38" s="26" cm="1">
        <f t="array" ref="G38">TREND($C$21:$C$26,$B$21:$B$26,B38)</f>
        <v>15495622.015467599</v>
      </c>
      <c r="H38" s="4">
        <f t="shared" si="1"/>
        <v>0.95875745167905435</v>
      </c>
      <c r="J38" s="13"/>
    </row>
    <row r="39" spans="1:10" x14ac:dyDescent="0.35">
      <c r="A39" t="s">
        <v>166</v>
      </c>
      <c r="B39" s="39">
        <v>45930</v>
      </c>
      <c r="D39" s="26" cm="1">
        <f t="array" ref="D39">TREND($C$17:$C$26,$B$17:$B$26,B39)</f>
        <v>13570071.751632571</v>
      </c>
      <c r="E39" s="4">
        <f t="shared" si="0"/>
        <v>0.83961827403316158</v>
      </c>
      <c r="G39" s="26" cm="1">
        <f t="array" ref="G39">TREND($C$21:$C$26,$B$21:$B$26,B39)</f>
        <v>15423152.932107687</v>
      </c>
      <c r="H39" s="4">
        <f t="shared" si="1"/>
        <v>0.95427358690626163</v>
      </c>
      <c r="J39" s="13"/>
    </row>
    <row r="40" spans="1:10" x14ac:dyDescent="0.35">
      <c r="A40" t="s">
        <v>167</v>
      </c>
      <c r="B40" s="39">
        <v>46022</v>
      </c>
      <c r="D40" s="26" cm="1">
        <f t="array" ref="D40">TREND($C$17:$C$26,$B$17:$B$26,B40)</f>
        <v>13379967.183956251</v>
      </c>
      <c r="E40" s="4">
        <f t="shared" si="0"/>
        <v>0.82785597299897506</v>
      </c>
      <c r="G40" s="26" cm="1">
        <f t="array" ref="G40">TREND($C$21:$C$26,$B$21:$B$26,B40)</f>
        <v>15350683.848747768</v>
      </c>
      <c r="H40" s="4">
        <f t="shared" si="1"/>
        <v>0.94978972213346846</v>
      </c>
      <c r="J40" s="13"/>
    </row>
    <row r="41" spans="1:10" x14ac:dyDescent="0.35">
      <c r="A41" t="s">
        <v>168</v>
      </c>
      <c r="B41" s="39">
        <v>46112</v>
      </c>
      <c r="D41" s="26" cm="1">
        <f t="array" ref="D41">TREND($C$17:$C$26,$B$17:$B$26,B41)</f>
        <v>13193995.324272886</v>
      </c>
      <c r="E41" s="4">
        <f t="shared" si="0"/>
        <v>0.81634937416118347</v>
      </c>
      <c r="G41" s="26" cm="1">
        <f t="array" ref="G41">TREND($C$21:$C$26,$B$21:$B$26,B41)</f>
        <v>15279790.180243507</v>
      </c>
      <c r="H41" s="4">
        <f t="shared" si="1"/>
        <v>0.94540333268182353</v>
      </c>
      <c r="J41" s="13"/>
    </row>
    <row r="42" spans="1:10" x14ac:dyDescent="0.35">
      <c r="A42" t="s">
        <v>169</v>
      </c>
      <c r="B42" s="39">
        <v>46203</v>
      </c>
      <c r="D42" s="26" cm="1">
        <f t="array" ref="D42">TREND($C$17:$C$26,$B$17:$B$26,B42)</f>
        <v>13005957.110593036</v>
      </c>
      <c r="E42" s="4">
        <f t="shared" si="0"/>
        <v>0.80471492422519397</v>
      </c>
      <c r="G42" s="26" cm="1">
        <f t="array" ref="G42">TREND($C$21:$C$26,$B$21:$B$26,B42)</f>
        <v>15208108.804311417</v>
      </c>
      <c r="H42" s="4">
        <f t="shared" si="1"/>
        <v>0.94096820556960448</v>
      </c>
      <c r="J42" s="13"/>
    </row>
    <row r="43" spans="1:10" x14ac:dyDescent="0.35">
      <c r="A43" t="s">
        <v>170</v>
      </c>
      <c r="B43" s="39">
        <v>46295</v>
      </c>
      <c r="D43" s="26" cm="1">
        <f t="array" ref="D43">TREND($C$17:$C$26,$B$17:$B$26,B43)</f>
        <v>12815852.5429167</v>
      </c>
      <c r="E43" s="4">
        <f t="shared" si="0"/>
        <v>0.79295262319100657</v>
      </c>
      <c r="G43" s="26" cm="1">
        <f t="array" ref="G43">TREND($C$21:$C$26,$B$21:$B$26,B43)</f>
        <v>15135639.720951498</v>
      </c>
      <c r="H43" s="4">
        <f t="shared" si="1"/>
        <v>0.93648434079681131</v>
      </c>
      <c r="J43" s="13"/>
    </row>
    <row r="44" spans="1:10" x14ac:dyDescent="0.35">
      <c r="A44" t="s">
        <v>171</v>
      </c>
      <c r="B44" s="39">
        <v>46387</v>
      </c>
      <c r="D44" s="26" cm="1">
        <f t="array" ref="D44">TREND($C$17:$C$26,$B$17:$B$26,B44)</f>
        <v>12625747.97524038</v>
      </c>
      <c r="E44" s="4">
        <f t="shared" si="0"/>
        <v>0.78119032215682005</v>
      </c>
      <c r="G44" s="26" cm="1">
        <f t="array" ref="G44">TREND($C$21:$C$26,$B$21:$B$26,B44)</f>
        <v>15063170.637591586</v>
      </c>
      <c r="H44" s="4">
        <f t="shared" si="1"/>
        <v>0.93200047602401859</v>
      </c>
      <c r="J44" s="13"/>
    </row>
    <row r="45" spans="1:10" x14ac:dyDescent="0.35">
      <c r="A45" t="s">
        <v>172</v>
      </c>
      <c r="B45" s="39">
        <v>46477</v>
      </c>
      <c r="D45" s="26" cm="1">
        <f t="array" ref="D45">TREND($C$17:$C$26,$B$17:$B$26,B45)</f>
        <v>12439776.115557015</v>
      </c>
      <c r="E45" s="31">
        <f t="shared" si="0"/>
        <v>0.76968372331902846</v>
      </c>
      <c r="G45" s="26" cm="1">
        <f t="array" ref="G45">TREND($C$21:$C$26,$B$21:$B$26,B45)</f>
        <v>14992276.969087318</v>
      </c>
      <c r="H45" s="31">
        <f t="shared" si="1"/>
        <v>0.92761408657237321</v>
      </c>
      <c r="J45" s="13"/>
    </row>
    <row r="46" spans="1:10" x14ac:dyDescent="0.35">
      <c r="A46" t="s">
        <v>173</v>
      </c>
      <c r="B46" s="39">
        <v>46568</v>
      </c>
      <c r="D46" s="26" cm="1">
        <f t="array" ref="D46">TREND($C$17:$C$26,$B$17:$B$26,B46)</f>
        <v>12251737.901877165</v>
      </c>
      <c r="E46" s="4">
        <f t="shared" si="0"/>
        <v>0.75804927338303896</v>
      </c>
      <c r="G46" s="26" cm="1">
        <f t="array" ref="G46">TREND($C$21:$C$26,$B$21:$B$26,B46)</f>
        <v>14920595.593155228</v>
      </c>
      <c r="H46" s="4">
        <f t="shared" si="1"/>
        <v>0.92317895946015416</v>
      </c>
      <c r="J46" s="13"/>
    </row>
    <row r="47" spans="1:10" x14ac:dyDescent="0.35">
      <c r="A47" t="s">
        <v>174</v>
      </c>
      <c r="B47" s="39">
        <v>46660</v>
      </c>
      <c r="D47" s="26" cm="1">
        <f t="array" ref="D47">TREND($C$17:$C$26,$B$17:$B$26,B47)</f>
        <v>12061633.334200829</v>
      </c>
      <c r="E47" s="4">
        <f t="shared" si="0"/>
        <v>0.74628697234885155</v>
      </c>
      <c r="G47" s="26" cm="1">
        <f t="array" ref="G47">TREND($C$21:$C$26,$B$21:$B$26,B47)</f>
        <v>14848126.509795316</v>
      </c>
      <c r="H47" s="4">
        <f t="shared" si="1"/>
        <v>0.91869509468736144</v>
      </c>
      <c r="J47" s="13"/>
    </row>
    <row r="48" spans="1:10" x14ac:dyDescent="0.35">
      <c r="A48" t="s">
        <v>175</v>
      </c>
      <c r="B48" s="39">
        <v>46752</v>
      </c>
      <c r="D48" s="126" cm="1">
        <f t="array" ref="D48">TREND($C$17:$C$26,$B$17:$B$26,B48)</f>
        <v>11871528.766524509</v>
      </c>
      <c r="E48" s="4">
        <f>D48/$C$26</f>
        <v>0.73452467131466503</v>
      </c>
      <c r="G48" s="126" cm="1">
        <f t="array" ref="G48">TREND($C$21:$C$26,$B$21:$B$26,B48)</f>
        <v>14775657.426435396</v>
      </c>
      <c r="H48" s="4">
        <f>G48/$C$26</f>
        <v>0.91421122991456827</v>
      </c>
      <c r="J48" s="13"/>
    </row>
    <row r="49" spans="1:10" x14ac:dyDescent="0.35">
      <c r="A49" t="s">
        <v>176</v>
      </c>
      <c r="B49" s="39">
        <v>46843</v>
      </c>
      <c r="D49" s="26" cm="1">
        <f t="array" ref="D49">TREND($C$17:$C$26,$B$17:$B$26,B49)</f>
        <v>11683490.552844658</v>
      </c>
      <c r="E49" s="4">
        <f t="shared" si="0"/>
        <v>0.72289022137867553</v>
      </c>
      <c r="G49" s="26" cm="1">
        <f t="array" ref="G49">TREND($C$21:$C$26,$B$21:$B$26,B49)</f>
        <v>14703976.050503306</v>
      </c>
      <c r="H49" s="4">
        <f t="shared" si="1"/>
        <v>0.90977610280234922</v>
      </c>
      <c r="J49" s="4"/>
    </row>
    <row r="50" spans="1:10" x14ac:dyDescent="0.35">
      <c r="A50" t="s">
        <v>177</v>
      </c>
      <c r="B50" s="39">
        <v>46934</v>
      </c>
      <c r="D50" s="26" cm="1">
        <f t="array" ref="D50">TREND($C$17:$C$26,$B$17:$B$26,B50)</f>
        <v>11495452.339164808</v>
      </c>
      <c r="E50" s="4">
        <f t="shared" si="0"/>
        <v>0.71125577144268604</v>
      </c>
      <c r="G50" s="26" cm="1">
        <f t="array" ref="G50">TREND($C$21:$C$26,$B$21:$B$26,B50)</f>
        <v>14632294.674571216</v>
      </c>
      <c r="H50" s="4">
        <f t="shared" si="1"/>
        <v>0.90534097569013017</v>
      </c>
      <c r="J50" s="4"/>
    </row>
    <row r="51" spans="1:10" x14ac:dyDescent="0.35">
      <c r="A51" t="s">
        <v>178</v>
      </c>
      <c r="B51" s="39">
        <v>47026</v>
      </c>
      <c r="D51" s="26" cm="1">
        <f t="array" ref="D51">TREND($C$17:$C$26,$B$17:$B$26,B51)</f>
        <v>11305347.771488473</v>
      </c>
      <c r="E51" s="4">
        <f t="shared" si="0"/>
        <v>0.69949347040849863</v>
      </c>
      <c r="G51" s="26" cm="1">
        <f t="array" ref="G51">TREND($C$21:$C$26,$B$21:$B$26,B51)</f>
        <v>14559825.591211304</v>
      </c>
      <c r="H51" s="4">
        <f t="shared" si="1"/>
        <v>0.90085711091733744</v>
      </c>
      <c r="J51" s="4"/>
    </row>
    <row r="52" spans="1:10" x14ac:dyDescent="0.35">
      <c r="A52" t="s">
        <v>179</v>
      </c>
      <c r="B52" s="39">
        <v>47118</v>
      </c>
      <c r="D52" s="26" cm="1">
        <f t="array" ref="D52">TREND($C$17:$C$26,$B$17:$B$26,B52)</f>
        <v>11115243.203812152</v>
      </c>
      <c r="E52" s="4">
        <f t="shared" si="0"/>
        <v>0.68773116937431211</v>
      </c>
      <c r="G52" s="26" cm="1">
        <f t="array" ref="G52">TREND($C$21:$C$26,$B$21:$B$26,B52)</f>
        <v>14487356.507851385</v>
      </c>
      <c r="H52" s="4">
        <f t="shared" si="1"/>
        <v>0.89637324614454428</v>
      </c>
      <c r="J52" s="4"/>
    </row>
    <row r="53" spans="1:10" x14ac:dyDescent="0.35">
      <c r="A53" t="s">
        <v>180</v>
      </c>
      <c r="B53" s="39">
        <v>47208</v>
      </c>
      <c r="D53" s="26" cm="1">
        <f t="array" ref="D53">TREND($C$17:$C$26,$B$17:$B$26,B53)</f>
        <v>10929271.344128788</v>
      </c>
      <c r="E53" s="4">
        <f t="shared" si="0"/>
        <v>0.67622457053652052</v>
      </c>
      <c r="G53" s="26" cm="1">
        <f t="array" ref="G53">TREND($C$21:$C$26,$B$21:$B$26,B53)</f>
        <v>14416462.839347124</v>
      </c>
      <c r="H53" s="4">
        <f t="shared" si="1"/>
        <v>0.89198685669289934</v>
      </c>
      <c r="J53" s="4"/>
    </row>
    <row r="54" spans="1:10" x14ac:dyDescent="0.35">
      <c r="A54" t="s">
        <v>181</v>
      </c>
      <c r="B54" s="39">
        <v>47299</v>
      </c>
      <c r="D54" s="26" cm="1">
        <f t="array" ref="D54">TREND($C$17:$C$26,$B$17:$B$26,B54)</f>
        <v>10741233.130448937</v>
      </c>
      <c r="E54" s="4">
        <f t="shared" si="0"/>
        <v>0.66459012060053102</v>
      </c>
      <c r="G54" s="26" cm="1">
        <f t="array" ref="G54">TREND($C$21:$C$26,$B$21:$B$26,B54)</f>
        <v>14344781.463415034</v>
      </c>
      <c r="H54" s="4">
        <f t="shared" si="1"/>
        <v>0.88755172958068029</v>
      </c>
      <c r="J54" s="4"/>
    </row>
    <row r="55" spans="1:10" x14ac:dyDescent="0.35">
      <c r="A55" t="s">
        <v>182</v>
      </c>
      <c r="B55" s="39">
        <v>47391</v>
      </c>
      <c r="D55" s="26" cm="1">
        <f t="array" ref="D55">TREND($C$17:$C$26,$B$17:$B$26,B55)</f>
        <v>10551128.562772602</v>
      </c>
      <c r="E55" s="4">
        <f t="shared" si="0"/>
        <v>0.65282781956634361</v>
      </c>
      <c r="G55" s="26" cm="1">
        <f t="array" ref="G55">TREND($C$21:$C$26,$B$21:$B$26,B55)</f>
        <v>14272312.380055115</v>
      </c>
      <c r="H55" s="4">
        <f t="shared" si="1"/>
        <v>0.88306786480788713</v>
      </c>
      <c r="J55" s="4"/>
    </row>
    <row r="56" spans="1:10" x14ac:dyDescent="0.35">
      <c r="A56" t="s">
        <v>183</v>
      </c>
      <c r="B56" s="39">
        <v>47483</v>
      </c>
      <c r="D56" s="26" cm="1">
        <f t="array" ref="D56">TREND($C$17:$C$26,$B$17:$B$26,B56)</f>
        <v>10361023.995096281</v>
      </c>
      <c r="E56" s="4">
        <f t="shared" si="0"/>
        <v>0.6410655185321571</v>
      </c>
      <c r="G56" s="26" cm="1">
        <f t="array" ref="G56">TREND($C$21:$C$26,$B$21:$B$26,B56)</f>
        <v>14199843.296695203</v>
      </c>
      <c r="H56" s="4">
        <f t="shared" si="1"/>
        <v>0.8785840000350944</v>
      </c>
      <c r="J56" s="4"/>
    </row>
    <row r="57" spans="1:10" x14ac:dyDescent="0.35">
      <c r="A57" t="s">
        <v>184</v>
      </c>
      <c r="B57" s="39">
        <v>47573</v>
      </c>
      <c r="D57" s="26" cm="1">
        <f t="array" ref="D57">TREND($C$17:$C$26,$B$17:$B$26,B57)</f>
        <v>10175052.135412902</v>
      </c>
      <c r="E57" s="4">
        <f t="shared" si="0"/>
        <v>0.62955891969436462</v>
      </c>
      <c r="G57" s="26" cm="1">
        <f t="array" ref="G57">TREND($C$21:$C$26,$B$21:$B$26,B57)</f>
        <v>14128949.628190935</v>
      </c>
      <c r="H57" s="4">
        <f t="shared" si="1"/>
        <v>0.87419761058344903</v>
      </c>
      <c r="J57" s="4"/>
    </row>
    <row r="58" spans="1:10" x14ac:dyDescent="0.35">
      <c r="A58" t="s">
        <v>185</v>
      </c>
      <c r="B58" s="39">
        <v>47664</v>
      </c>
      <c r="D58" s="26" cm="1">
        <f t="array" ref="D58">TREND($C$17:$C$26,$B$17:$B$26,B58)</f>
        <v>9987013.9217330664</v>
      </c>
      <c r="E58" s="4">
        <f t="shared" si="0"/>
        <v>0.617924469758376</v>
      </c>
      <c r="G58" s="26" cm="1">
        <f t="array" ref="G58">TREND($C$21:$C$26,$B$21:$B$26,B58)</f>
        <v>14057268.252258845</v>
      </c>
      <c r="H58" s="4">
        <f t="shared" si="1"/>
        <v>0.86976248347122997</v>
      </c>
      <c r="J58" s="4"/>
    </row>
    <row r="59" spans="1:10" x14ac:dyDescent="0.35">
      <c r="A59" t="s">
        <v>186</v>
      </c>
      <c r="B59" s="39">
        <v>47756</v>
      </c>
      <c r="D59" s="26" cm="1">
        <f t="array" ref="D59">TREND($C$17:$C$26,$B$17:$B$26,B59)</f>
        <v>9796909.3540567309</v>
      </c>
      <c r="E59" s="4">
        <f t="shared" si="0"/>
        <v>0.6061621687241886</v>
      </c>
      <c r="G59" s="26" cm="1">
        <f t="array" ref="G59">TREND($C$21:$C$26,$B$21:$B$26,B59)</f>
        <v>13984799.168898933</v>
      </c>
      <c r="H59" s="4">
        <f t="shared" si="1"/>
        <v>0.86527861869843725</v>
      </c>
      <c r="J59" s="4"/>
    </row>
    <row r="60" spans="1:10" x14ac:dyDescent="0.35">
      <c r="A60" t="s">
        <v>187</v>
      </c>
      <c r="B60" s="39">
        <v>47848</v>
      </c>
      <c r="D60" s="26" cm="1">
        <f t="array" ref="D60">TREND($C$17:$C$26,$B$17:$B$26,B60)</f>
        <v>9606804.7863803953</v>
      </c>
      <c r="E60" s="4">
        <f t="shared" si="0"/>
        <v>0.59439986769000119</v>
      </c>
      <c r="G60" s="26" cm="1">
        <f t="array" ref="G60">TREND($C$21:$C$26,$B$21:$B$26,B60)</f>
        <v>13912330.085539013</v>
      </c>
      <c r="H60" s="125">
        <f t="shared" si="1"/>
        <v>0.86079475392564408</v>
      </c>
      <c r="J60" s="4"/>
    </row>
    <row r="61" spans="1:10" x14ac:dyDescent="0.35">
      <c r="A61" t="s">
        <v>188</v>
      </c>
      <c r="B61" s="39">
        <v>47938</v>
      </c>
      <c r="D61" s="26" cm="1">
        <f t="array" ref="D61">TREND($C$17:$C$26,$B$17:$B$26,B61)</f>
        <v>9420832.9266970307</v>
      </c>
      <c r="E61" s="31">
        <f t="shared" si="0"/>
        <v>0.5828932688522096</v>
      </c>
      <c r="G61" s="126" cm="1">
        <f t="array" ref="G61">TREND($C$21:$C$26,$B$21:$B$26,B61)</f>
        <v>13841436.417034753</v>
      </c>
      <c r="H61" s="143">
        <f t="shared" si="1"/>
        <v>0.85640836447399915</v>
      </c>
      <c r="I61" s="27"/>
      <c r="J61" s="4"/>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E09B-25D3-4CCB-9649-63373D372613}">
  <sheetPr>
    <tabColor theme="9"/>
  </sheetPr>
  <dimension ref="A1:K41"/>
  <sheetViews>
    <sheetView zoomScale="85" zoomScaleNormal="85" workbookViewId="0"/>
  </sheetViews>
  <sheetFormatPr defaultRowHeight="14.5" x14ac:dyDescent="0.35"/>
  <cols>
    <col min="1" max="1" width="24.453125" customWidth="1"/>
    <col min="2" max="7" width="18.1796875" customWidth="1"/>
    <col min="8" max="8" width="23" customWidth="1"/>
    <col min="9" max="9" width="18.453125" customWidth="1"/>
    <col min="11" max="11" width="19.453125" bestFit="1" customWidth="1"/>
  </cols>
  <sheetData>
    <row r="1" spans="1:11" s="59" customFormat="1" x14ac:dyDescent="0.35">
      <c r="A1" s="58" t="s">
        <v>189</v>
      </c>
    </row>
    <row r="2" spans="1:11" x14ac:dyDescent="0.35">
      <c r="A2" t="s">
        <v>319</v>
      </c>
    </row>
    <row r="4" spans="1:11" ht="29" x14ac:dyDescent="0.35">
      <c r="A4" s="123" t="s">
        <v>190</v>
      </c>
      <c r="B4" s="121" t="s">
        <v>191</v>
      </c>
      <c r="C4" s="121" t="s">
        <v>192</v>
      </c>
      <c r="D4" s="121" t="s">
        <v>193</v>
      </c>
      <c r="E4" s="121" t="s">
        <v>194</v>
      </c>
      <c r="F4" s="121" t="s">
        <v>195</v>
      </c>
      <c r="G4" s="121" t="s">
        <v>196</v>
      </c>
      <c r="H4" s="123" t="s">
        <v>197</v>
      </c>
      <c r="I4" s="121" t="s">
        <v>198</v>
      </c>
      <c r="K4" s="16"/>
    </row>
    <row r="5" spans="1:11" x14ac:dyDescent="0.35">
      <c r="A5" s="104" t="s">
        <v>61</v>
      </c>
      <c r="B5" s="25">
        <v>23919</v>
      </c>
      <c r="C5" s="25">
        <v>567004</v>
      </c>
      <c r="D5" s="25">
        <v>5829833</v>
      </c>
      <c r="E5" s="25">
        <v>341012</v>
      </c>
      <c r="F5" s="25">
        <v>44978034</v>
      </c>
      <c r="G5" s="25">
        <v>867323</v>
      </c>
      <c r="H5" s="25">
        <v>17786</v>
      </c>
      <c r="I5" s="33">
        <f>SUM(B5:H5)</f>
        <v>52624911</v>
      </c>
      <c r="K5" s="16"/>
    </row>
    <row r="6" spans="1:11" x14ac:dyDescent="0.35">
      <c r="A6" s="104" t="s">
        <v>199</v>
      </c>
      <c r="B6" s="25">
        <v>9379657</v>
      </c>
      <c r="C6" s="25">
        <v>1879982</v>
      </c>
      <c r="D6" s="25">
        <v>754739</v>
      </c>
      <c r="E6" s="25">
        <v>610923</v>
      </c>
      <c r="F6" s="25">
        <v>7581264</v>
      </c>
      <c r="G6" s="25">
        <v>3188129</v>
      </c>
      <c r="H6" s="25">
        <v>1166531</v>
      </c>
      <c r="I6" s="33">
        <f>SUM(B6:H6)</f>
        <v>24561225</v>
      </c>
      <c r="K6" s="16"/>
    </row>
    <row r="7" spans="1:11" x14ac:dyDescent="0.35">
      <c r="A7" s="104" t="s">
        <v>200</v>
      </c>
      <c r="B7" s="25">
        <v>811036</v>
      </c>
      <c r="C7" s="25">
        <v>2523</v>
      </c>
      <c r="D7" s="25">
        <v>642425</v>
      </c>
      <c r="E7" s="25">
        <v>150867</v>
      </c>
      <c r="F7" s="25">
        <v>1256231</v>
      </c>
      <c r="G7" s="25">
        <v>2698206</v>
      </c>
      <c r="H7" s="25">
        <v>1067770</v>
      </c>
      <c r="I7" s="33">
        <f t="shared" ref="I7:I13" si="0">SUM(B7:H7)</f>
        <v>6629058</v>
      </c>
    </row>
    <row r="8" spans="1:11" x14ac:dyDescent="0.35">
      <c r="A8" s="104" t="s">
        <v>201</v>
      </c>
      <c r="B8" s="25">
        <v>117200</v>
      </c>
      <c r="C8" s="25"/>
      <c r="D8" s="25">
        <v>8705893</v>
      </c>
      <c r="E8" s="25">
        <v>3132</v>
      </c>
      <c r="F8" s="25">
        <v>79049</v>
      </c>
      <c r="G8" s="25">
        <v>97358</v>
      </c>
      <c r="H8" s="25"/>
      <c r="I8" s="33">
        <f t="shared" si="0"/>
        <v>9002632</v>
      </c>
      <c r="K8" s="16"/>
    </row>
    <row r="9" spans="1:11" x14ac:dyDescent="0.35">
      <c r="A9" s="104" t="s">
        <v>202</v>
      </c>
      <c r="B9" s="25"/>
      <c r="C9" s="25"/>
      <c r="D9" s="25">
        <v>226962</v>
      </c>
      <c r="E9" s="25"/>
      <c r="F9" s="25"/>
      <c r="G9" s="25">
        <v>260221</v>
      </c>
      <c r="H9" s="25"/>
      <c r="I9" s="33">
        <f t="shared" si="0"/>
        <v>487183</v>
      </c>
    </row>
    <row r="10" spans="1:11" x14ac:dyDescent="0.35">
      <c r="A10" s="104" t="s">
        <v>203</v>
      </c>
      <c r="B10" s="25"/>
      <c r="C10" s="25"/>
      <c r="D10" s="25">
        <v>2340</v>
      </c>
      <c r="E10" s="25">
        <v>76123</v>
      </c>
      <c r="F10" s="25">
        <v>6917</v>
      </c>
      <c r="G10" s="25"/>
      <c r="H10" s="25"/>
      <c r="I10" s="33">
        <f t="shared" si="0"/>
        <v>85380</v>
      </c>
      <c r="K10" s="16"/>
    </row>
    <row r="11" spans="1:11" x14ac:dyDescent="0.35">
      <c r="A11" s="104" t="s">
        <v>204</v>
      </c>
      <c r="B11" s="25"/>
      <c r="C11" s="25"/>
      <c r="D11" s="25"/>
      <c r="E11" s="25">
        <v>218588</v>
      </c>
      <c r="F11" s="25">
        <v>3265</v>
      </c>
      <c r="G11" s="25"/>
      <c r="H11" s="25"/>
      <c r="I11" s="33">
        <f t="shared" si="0"/>
        <v>221853</v>
      </c>
      <c r="K11" s="16"/>
    </row>
    <row r="12" spans="1:11" x14ac:dyDescent="0.35">
      <c r="A12" s="104" t="s">
        <v>205</v>
      </c>
      <c r="B12" s="25">
        <v>5000</v>
      </c>
      <c r="C12" s="25"/>
      <c r="D12" s="25"/>
      <c r="E12" s="25"/>
      <c r="F12" s="25"/>
      <c r="G12" s="25">
        <v>9576096</v>
      </c>
      <c r="H12" s="25"/>
      <c r="I12" s="33">
        <f t="shared" si="0"/>
        <v>9581096</v>
      </c>
      <c r="K12" s="4"/>
    </row>
    <row r="13" spans="1:11" x14ac:dyDescent="0.35">
      <c r="A13" s="104" t="s">
        <v>206</v>
      </c>
      <c r="B13" s="25">
        <v>19435213</v>
      </c>
      <c r="C13" s="25">
        <v>3701331</v>
      </c>
      <c r="D13" s="25"/>
      <c r="E13" s="25">
        <v>488883</v>
      </c>
      <c r="F13" s="25">
        <v>10905569</v>
      </c>
      <c r="G13" s="25">
        <v>4996509</v>
      </c>
      <c r="H13" s="25">
        <v>1383793</v>
      </c>
      <c r="I13" s="33">
        <f t="shared" si="0"/>
        <v>40911298</v>
      </c>
    </row>
    <row r="14" spans="1:11" ht="19.5" customHeight="1" x14ac:dyDescent="0.35">
      <c r="A14" s="121" t="s">
        <v>207</v>
      </c>
      <c r="B14" s="33">
        <f>SUM(B5:B13)</f>
        <v>29772025</v>
      </c>
      <c r="C14" s="33">
        <f>SUM(C5:C13)</f>
        <v>6150840</v>
      </c>
      <c r="D14" s="122">
        <f t="shared" ref="D14:H14" si="1">SUM(D5:D13)</f>
        <v>16162192</v>
      </c>
      <c r="E14" s="122">
        <f t="shared" si="1"/>
        <v>1889528</v>
      </c>
      <c r="F14" s="122">
        <f t="shared" si="1"/>
        <v>64810329</v>
      </c>
      <c r="G14" s="122">
        <f t="shared" si="1"/>
        <v>21683842</v>
      </c>
      <c r="H14" s="122">
        <f t="shared" si="1"/>
        <v>3635880</v>
      </c>
      <c r="I14" s="122">
        <f>SUM(I5:I13)</f>
        <v>144104636</v>
      </c>
    </row>
    <row r="16" spans="1:11" x14ac:dyDescent="0.35">
      <c r="A16" s="2" t="s">
        <v>208</v>
      </c>
      <c r="H16" s="10"/>
      <c r="I16" s="2"/>
    </row>
    <row r="17" spans="1:9" x14ac:dyDescent="0.35">
      <c r="A17" t="s">
        <v>209</v>
      </c>
      <c r="B17" s="47"/>
      <c r="C17" s="47"/>
      <c r="D17" s="47"/>
      <c r="E17" s="47"/>
      <c r="F17" s="47"/>
      <c r="G17" s="47"/>
      <c r="H17" s="47"/>
      <c r="I17" s="34"/>
    </row>
    <row r="18" spans="1:9" x14ac:dyDescent="0.35">
      <c r="A18" t="s">
        <v>210</v>
      </c>
      <c r="B18" s="47"/>
      <c r="C18" s="47"/>
      <c r="D18" s="47"/>
      <c r="E18" s="47"/>
      <c r="F18" s="47"/>
      <c r="G18" s="47"/>
      <c r="H18" s="47"/>
      <c r="I18" s="34"/>
    </row>
    <row r="19" spans="1:9" x14ac:dyDescent="0.35">
      <c r="A19" t="s">
        <v>211</v>
      </c>
      <c r="B19" s="47"/>
      <c r="C19" s="47"/>
      <c r="D19" s="47"/>
      <c r="E19" s="47"/>
      <c r="F19" s="47"/>
      <c r="G19" s="47"/>
      <c r="H19" s="47"/>
      <c r="I19" s="34"/>
    </row>
    <row r="20" spans="1:9" x14ac:dyDescent="0.35">
      <c r="B20" s="47"/>
      <c r="C20" s="47"/>
      <c r="D20" s="47"/>
      <c r="E20" s="47"/>
      <c r="F20" s="47"/>
      <c r="G20" s="47"/>
      <c r="H20" s="47"/>
      <c r="I20" s="34"/>
    </row>
    <row r="21" spans="1:9" x14ac:dyDescent="0.35">
      <c r="A21" t="s">
        <v>212</v>
      </c>
      <c r="B21" s="47"/>
      <c r="C21" s="47"/>
      <c r="D21" s="47"/>
      <c r="E21" s="47"/>
      <c r="F21" s="47"/>
      <c r="G21" s="47"/>
      <c r="H21" s="47"/>
      <c r="I21" s="34"/>
    </row>
    <row r="22" spans="1:9" x14ac:dyDescent="0.35">
      <c r="A22" t="s">
        <v>213</v>
      </c>
      <c r="B22" s="47"/>
      <c r="C22" s="47"/>
      <c r="D22" s="47"/>
      <c r="E22" s="47"/>
      <c r="F22" s="47"/>
      <c r="G22" s="47"/>
      <c r="H22" s="47"/>
      <c r="I22" s="34"/>
    </row>
    <row r="23" spans="1:9" x14ac:dyDescent="0.35">
      <c r="B23" s="47"/>
      <c r="C23" s="47"/>
      <c r="D23" s="47"/>
      <c r="E23" s="47"/>
      <c r="F23" s="47"/>
      <c r="G23" s="47"/>
      <c r="H23" s="47"/>
      <c r="I23" s="34"/>
    </row>
    <row r="24" spans="1:9" x14ac:dyDescent="0.35">
      <c r="B24" s="47"/>
      <c r="C24" s="47"/>
      <c r="D24" s="47"/>
      <c r="E24" s="47"/>
      <c r="F24" s="47"/>
      <c r="G24" s="47"/>
      <c r="H24" s="47"/>
      <c r="I24" s="34"/>
    </row>
    <row r="25" spans="1:9" x14ac:dyDescent="0.35">
      <c r="B25" s="47"/>
      <c r="C25" s="47"/>
      <c r="D25" s="47"/>
      <c r="E25" s="47"/>
      <c r="F25" s="47"/>
      <c r="G25" s="47"/>
      <c r="H25" s="47"/>
      <c r="I25" s="34"/>
    </row>
    <row r="26" spans="1:9" x14ac:dyDescent="0.35">
      <c r="A26" s="2"/>
      <c r="B26" s="47"/>
      <c r="C26" s="47"/>
      <c r="D26" s="47"/>
      <c r="E26" s="47"/>
      <c r="F26" s="47"/>
      <c r="G26" s="47"/>
      <c r="H26" s="47"/>
      <c r="I26" s="34"/>
    </row>
    <row r="29" spans="1:9" x14ac:dyDescent="0.35">
      <c r="F29" s="16"/>
    </row>
    <row r="31" spans="1:9" x14ac:dyDescent="0.35">
      <c r="F31" s="72"/>
    </row>
    <row r="32" spans="1:9" x14ac:dyDescent="0.35">
      <c r="F32" s="16"/>
      <c r="G32" s="15"/>
    </row>
    <row r="35" spans="6:6" x14ac:dyDescent="0.35">
      <c r="F35" s="46"/>
    </row>
    <row r="37" spans="6:6" x14ac:dyDescent="0.35">
      <c r="F37" s="46"/>
    </row>
    <row r="41" spans="6:6" x14ac:dyDescent="0.35">
      <c r="F41" s="16"/>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EA0-878C-4A3D-9760-EE98126A2E44}">
  <sheetPr>
    <tabColor theme="8"/>
  </sheetPr>
  <dimension ref="A1:AA62"/>
  <sheetViews>
    <sheetView zoomScale="85" zoomScaleNormal="85" workbookViewId="0">
      <pane ySplit="1" topLeftCell="A2" activePane="bottomLeft" state="frozen"/>
      <selection pane="bottomLeft"/>
    </sheetView>
  </sheetViews>
  <sheetFormatPr defaultColWidth="8.7265625" defaultRowHeight="14.5" x14ac:dyDescent="0.35"/>
  <cols>
    <col min="1" max="1" width="16" customWidth="1"/>
    <col min="2" max="2" width="33.81640625" customWidth="1"/>
    <col min="3" max="7" width="13.54296875" bestFit="1" customWidth="1"/>
    <col min="8" max="10" width="12.54296875" bestFit="1" customWidth="1"/>
    <col min="11" max="11" width="12.54296875" customWidth="1"/>
    <col min="12" max="12" width="18" customWidth="1"/>
    <col min="17" max="17" width="12.453125" customWidth="1"/>
    <col min="19" max="19" width="11.54296875" bestFit="1" customWidth="1"/>
    <col min="25" max="25" width="10.54296875" bestFit="1" customWidth="1"/>
    <col min="26" max="26" width="11.54296875" bestFit="1" customWidth="1"/>
    <col min="27" max="27" width="10.54296875" bestFit="1" customWidth="1"/>
  </cols>
  <sheetData>
    <row r="1" spans="1:27" s="147" customFormat="1" x14ac:dyDescent="0.35">
      <c r="C1" s="147">
        <v>2023</v>
      </c>
      <c r="D1" s="147">
        <v>2024</v>
      </c>
      <c r="E1" s="147">
        <v>2025</v>
      </c>
      <c r="F1" s="147">
        <v>2026</v>
      </c>
      <c r="G1" s="147">
        <v>2027</v>
      </c>
      <c r="H1" s="147">
        <v>2028</v>
      </c>
      <c r="I1" s="147">
        <v>2029</v>
      </c>
      <c r="J1" s="147">
        <v>2030</v>
      </c>
      <c r="L1" s="147" t="s">
        <v>35</v>
      </c>
    </row>
    <row r="2" spans="1:27" s="59" customFormat="1" x14ac:dyDescent="0.35">
      <c r="A2" s="58" t="s">
        <v>214</v>
      </c>
    </row>
    <row r="4" spans="1:27" x14ac:dyDescent="0.35">
      <c r="A4" s="44" t="s">
        <v>215</v>
      </c>
      <c r="B4" t="s">
        <v>216</v>
      </c>
      <c r="C4" s="6">
        <f>'2. Allocate emissions budget'!E9</f>
        <v>73649.020622385171</v>
      </c>
      <c r="D4" s="6">
        <f>'2. Allocate emissions budget'!F9</f>
        <v>72122.053884700057</v>
      </c>
      <c r="E4" s="6">
        <f>'2. Allocate emissions budget'!G9</f>
        <v>69700.308569491928</v>
      </c>
      <c r="F4" s="6">
        <f>'2. Allocate emissions budget'!H9</f>
        <v>66526.613497394224</v>
      </c>
      <c r="G4" s="6">
        <f>'2. Allocate emissions budget'!I9</f>
        <v>63857.721327852705</v>
      </c>
      <c r="H4" s="6">
        <f>'2. Allocate emissions budget'!J9</f>
        <v>60703.389645464289</v>
      </c>
      <c r="I4" s="6">
        <f>'2. Allocate emissions budget'!K9</f>
        <v>58295.868785954684</v>
      </c>
      <c r="J4" s="6">
        <f>'2. Allocate emissions budget'!L9</f>
        <v>55377.138276367004</v>
      </c>
      <c r="K4" s="6"/>
      <c r="L4" s="6">
        <f>SUM(C4:G4)</f>
        <v>345855.71790182404</v>
      </c>
    </row>
    <row r="5" spans="1:27" x14ac:dyDescent="0.35">
      <c r="A5" s="20"/>
    </row>
    <row r="6" spans="1:27" x14ac:dyDescent="0.35">
      <c r="A6" s="20" t="s">
        <v>217</v>
      </c>
      <c r="B6" t="s">
        <v>218</v>
      </c>
      <c r="C6" s="6">
        <f>'2. Allocate emissions budget'!E39</f>
        <v>41323.393450290081</v>
      </c>
      <c r="D6" s="6">
        <f>'2. Allocate emissions budget'!F39</f>
        <v>41045.241864990858</v>
      </c>
      <c r="E6" s="6">
        <f>'2. Allocate emissions budget'!G39</f>
        <v>41001.054871889195</v>
      </c>
      <c r="F6" s="6">
        <f>'2. Allocate emissions budget'!H39</f>
        <v>40351.796062871457</v>
      </c>
      <c r="G6" s="6">
        <f>'2. Allocate emissions budget'!I39</f>
        <v>40171.208183367751</v>
      </c>
      <c r="H6" s="6">
        <f>'2. Allocate emissions budget'!J39</f>
        <v>39819.173685125737</v>
      </c>
      <c r="I6" s="6">
        <f>'2. Allocate emissions budget'!K39</f>
        <v>39506.383409258437</v>
      </c>
      <c r="J6" s="6">
        <f>'2. Allocate emissions budget'!L39</f>
        <v>39091.71561629077</v>
      </c>
      <c r="K6" s="6"/>
      <c r="L6" s="6">
        <f>SUM(C6:G6)</f>
        <v>203892.69443340931</v>
      </c>
      <c r="Q6" s="12"/>
      <c r="R6" s="12"/>
      <c r="S6" s="12"/>
      <c r="T6" s="12"/>
      <c r="U6" s="12"/>
      <c r="V6" s="12"/>
      <c r="W6" s="12"/>
      <c r="X6" s="12"/>
      <c r="Y6" s="12"/>
    </row>
    <row r="7" spans="1:27" x14ac:dyDescent="0.35">
      <c r="A7" s="20"/>
      <c r="C7" s="6"/>
      <c r="D7" s="6"/>
      <c r="E7" s="6"/>
      <c r="F7" s="6"/>
      <c r="G7" s="6"/>
      <c r="H7" s="6"/>
      <c r="I7" s="6"/>
      <c r="J7" s="6"/>
      <c r="K7" s="6"/>
      <c r="L7" s="6"/>
      <c r="Q7" s="12"/>
      <c r="R7" s="12"/>
      <c r="S7" s="12"/>
      <c r="T7" s="12"/>
      <c r="U7" s="12"/>
      <c r="V7" s="12"/>
      <c r="W7" s="12"/>
      <c r="X7" s="12"/>
    </row>
    <row r="8" spans="1:27" x14ac:dyDescent="0.35">
      <c r="A8" s="20"/>
      <c r="B8" s="2" t="s">
        <v>219</v>
      </c>
      <c r="C8" s="7">
        <f>C4-C6</f>
        <v>32325.62717209509</v>
      </c>
      <c r="D8" s="7">
        <f t="shared" ref="D8:J8" si="0">D4-D6</f>
        <v>31076.812019709199</v>
      </c>
      <c r="E8" s="7">
        <f t="shared" si="0"/>
        <v>28699.253697602733</v>
      </c>
      <c r="F8" s="7">
        <f t="shared" si="0"/>
        <v>26174.817434522767</v>
      </c>
      <c r="G8" s="7">
        <f t="shared" si="0"/>
        <v>23686.513144484954</v>
      </c>
      <c r="H8" s="7">
        <f t="shared" si="0"/>
        <v>20884.215960338552</v>
      </c>
      <c r="I8" s="7">
        <f t="shared" si="0"/>
        <v>18789.485376696248</v>
      </c>
      <c r="J8" s="7">
        <f t="shared" si="0"/>
        <v>16285.422660076234</v>
      </c>
      <c r="K8" s="6"/>
      <c r="L8" s="6">
        <f>SUM(C8:G8)</f>
        <v>141963.02346841473</v>
      </c>
      <c r="Q8" s="12"/>
      <c r="R8" s="12"/>
      <c r="S8" s="12"/>
      <c r="T8" s="12"/>
      <c r="U8" s="12"/>
      <c r="V8" s="12"/>
      <c r="W8" s="12"/>
      <c r="X8" s="12"/>
    </row>
    <row r="9" spans="1:27" x14ac:dyDescent="0.35">
      <c r="A9" s="20"/>
      <c r="C9" s="6"/>
      <c r="D9" s="6"/>
      <c r="E9" s="6"/>
      <c r="F9" s="6"/>
      <c r="G9" s="6"/>
      <c r="H9" s="6"/>
      <c r="I9" s="6"/>
      <c r="J9" s="6"/>
      <c r="K9" s="6"/>
      <c r="L9" s="6"/>
      <c r="Q9" s="12"/>
      <c r="R9" s="12"/>
      <c r="S9" s="12"/>
      <c r="T9" s="12"/>
      <c r="U9" s="12"/>
      <c r="V9" s="12"/>
      <c r="W9" s="12"/>
      <c r="X9" s="12"/>
    </row>
    <row r="10" spans="1:27" x14ac:dyDescent="0.35">
      <c r="A10" s="20" t="s">
        <v>220</v>
      </c>
      <c r="B10" t="s">
        <v>8</v>
      </c>
      <c r="C10" s="6">
        <f>'3. Technical adjustments'!D11</f>
        <v>1569.0712018796003</v>
      </c>
      <c r="D10" s="6">
        <f>'3. Technical adjustments'!E11</f>
        <v>1447.5289570040159</v>
      </c>
      <c r="E10" s="6">
        <f>'3. Technical adjustments'!F11</f>
        <v>1339.3906067614523</v>
      </c>
      <c r="F10" s="6">
        <f>'3. Technical adjustments'!G11</f>
        <v>1322.7029580940389</v>
      </c>
      <c r="G10" s="6">
        <f>'3. Technical adjustments'!H11</f>
        <v>1298.4933405965164</v>
      </c>
      <c r="H10" s="6">
        <f>'3. Technical adjustments'!I11</f>
        <v>1281.6707428508948</v>
      </c>
      <c r="I10" s="6">
        <f>'3. Technical adjustments'!J11</f>
        <v>1262.0786424242185</v>
      </c>
      <c r="J10" s="6">
        <f>'3. Technical adjustments'!K11</f>
        <v>1242.7500122178776</v>
      </c>
      <c r="L10" s="6">
        <f>SUM(C10:G10)</f>
        <v>6977.1870643356242</v>
      </c>
    </row>
    <row r="11" spans="1:27" x14ac:dyDescent="0.35">
      <c r="A11" s="20"/>
      <c r="C11" s="12"/>
      <c r="D11" s="12"/>
      <c r="E11" s="12"/>
      <c r="F11" s="12"/>
      <c r="G11" s="12"/>
      <c r="H11" s="12"/>
      <c r="I11" s="12"/>
      <c r="J11" s="12"/>
      <c r="Z11" s="11"/>
      <c r="AA11" s="11"/>
    </row>
    <row r="12" spans="1:27" x14ac:dyDescent="0.35">
      <c r="A12" s="20" t="s">
        <v>221</v>
      </c>
      <c r="B12" t="s">
        <v>222</v>
      </c>
      <c r="C12" s="6">
        <f>'4. Industrial free allocation'!P62/1000</f>
        <v>6412.0339626666673</v>
      </c>
      <c r="D12" s="6">
        <f>'4. Industrial free allocation'!Q62/1000</f>
        <v>6324.5294102222215</v>
      </c>
      <c r="E12" s="6">
        <f>'4. Industrial free allocation'!R62/1000</f>
        <v>6259.1504577777787</v>
      </c>
      <c r="F12" s="6">
        <f>'4. Industrial free allocation'!S62/1000</f>
        <v>6172.0410053333335</v>
      </c>
      <c r="G12" s="6">
        <f>'4. Industrial free allocation'!T62/1000</f>
        <v>6106.2669528888873</v>
      </c>
      <c r="H12" s="6">
        <f>'4. Industrial free allocation'!U62/1000</f>
        <v>6019.5526004444446</v>
      </c>
      <c r="I12" s="6">
        <f>'4. Industrial free allocation'!V62/1000</f>
        <v>5953.3834480000005</v>
      </c>
      <c r="J12" s="6">
        <f>'4. Industrial free allocation'!W62/1000</f>
        <v>5398.2677511111115</v>
      </c>
      <c r="K12" s="6"/>
      <c r="L12" s="6">
        <f>SUM(C12:G12)</f>
        <v>31274.021788888887</v>
      </c>
      <c r="Z12" s="6"/>
      <c r="AA12" s="6"/>
    </row>
    <row r="13" spans="1:27" x14ac:dyDescent="0.35">
      <c r="A13" s="20"/>
      <c r="C13" s="14"/>
      <c r="D13" s="14"/>
      <c r="E13" s="14"/>
      <c r="F13" s="14"/>
      <c r="G13" s="14"/>
      <c r="H13" s="52"/>
      <c r="I13" s="52"/>
      <c r="J13" s="52"/>
      <c r="K13" s="6"/>
      <c r="L13" s="9">
        <f>SUM(C13:G13)</f>
        <v>0</v>
      </c>
    </row>
    <row r="14" spans="1:27" x14ac:dyDescent="0.35">
      <c r="A14" s="20" t="s">
        <v>223</v>
      </c>
      <c r="B14" t="s">
        <v>224</v>
      </c>
      <c r="C14" s="6">
        <f>'5. Surplus reduction volume'!D43</f>
        <v>8025.760968351784</v>
      </c>
      <c r="D14" s="6">
        <f>'5. Surplus reduction volume'!E43</f>
        <v>7715.7069095907227</v>
      </c>
      <c r="E14" s="6">
        <f>'5. Surplus reduction volume'!F43</f>
        <v>7125.4100940036687</v>
      </c>
      <c r="F14" s="6">
        <f>'5. Surplus reduction volume'!G43</f>
        <v>6498.6466310875094</v>
      </c>
      <c r="G14" s="6">
        <f>'5. Surplus reduction volume'!H43</f>
        <v>5880.8539633057308</v>
      </c>
      <c r="H14" s="6">
        <f>'5. Surplus reduction volume'!I43</f>
        <v>5185.1035841248695</v>
      </c>
      <c r="I14" s="6">
        <f>'5. Surplus reduction volume'!J43</f>
        <v>4665.026839197184</v>
      </c>
      <c r="J14" s="6">
        <f>'5. Surplus reduction volume'!K43</f>
        <v>4043.3216915642724</v>
      </c>
      <c r="K14" s="6"/>
      <c r="L14" s="6">
        <f>SUM(C14:G14)</f>
        <v>35246.378566339416</v>
      </c>
    </row>
    <row r="15" spans="1:27" x14ac:dyDescent="0.35">
      <c r="C15" s="16"/>
      <c r="D15" s="16"/>
      <c r="E15" s="16"/>
      <c r="F15" s="16"/>
      <c r="G15" s="16"/>
      <c r="H15" s="16"/>
      <c r="I15" s="16"/>
      <c r="J15" s="16"/>
      <c r="L15" s="9">
        <f>SUM(C15:G15)</f>
        <v>0</v>
      </c>
    </row>
    <row r="16" spans="1:27" x14ac:dyDescent="0.35">
      <c r="A16" s="20" t="s">
        <v>225</v>
      </c>
      <c r="B16" t="s">
        <v>226</v>
      </c>
      <c r="C16" s="24">
        <v>0</v>
      </c>
      <c r="D16" s="24">
        <v>0</v>
      </c>
      <c r="E16" s="24">
        <v>0</v>
      </c>
      <c r="F16" s="24">
        <v>0</v>
      </c>
      <c r="G16" s="24">
        <v>0</v>
      </c>
      <c r="H16" s="24">
        <v>0</v>
      </c>
      <c r="I16" s="24">
        <v>0</v>
      </c>
      <c r="J16" s="24">
        <v>0</v>
      </c>
      <c r="L16" s="6">
        <f>SUM(C16:G16)</f>
        <v>0</v>
      </c>
    </row>
    <row r="17" spans="1:19" x14ac:dyDescent="0.35">
      <c r="S17" s="6"/>
    </row>
    <row r="18" spans="1:19" s="104" customFormat="1" x14ac:dyDescent="0.35">
      <c r="A18" s="103" t="s">
        <v>227</v>
      </c>
      <c r="B18" s="33" t="s">
        <v>228</v>
      </c>
      <c r="C18" s="144">
        <f t="shared" ref="C18:J18" si="1">C4-C6-C10-C12-C14</f>
        <v>16318.761039197037</v>
      </c>
      <c r="D18" s="144">
        <f t="shared" si="1"/>
        <v>15589.04674289224</v>
      </c>
      <c r="E18" s="144">
        <f t="shared" si="1"/>
        <v>13975.302539059834</v>
      </c>
      <c r="F18" s="144">
        <f t="shared" si="1"/>
        <v>12181.426840007885</v>
      </c>
      <c r="G18" s="144">
        <f t="shared" si="1"/>
        <v>10400.89888769382</v>
      </c>
      <c r="H18" s="33">
        <f t="shared" si="1"/>
        <v>8397.8890329183414</v>
      </c>
      <c r="I18" s="33">
        <f t="shared" si="1"/>
        <v>6908.9964470748455</v>
      </c>
      <c r="J18" s="33">
        <f t="shared" si="1"/>
        <v>5601.0832051829721</v>
      </c>
      <c r="K18" s="34"/>
      <c r="L18" s="34">
        <f>SUM(C18:G18)</f>
        <v>68465.436048850825</v>
      </c>
      <c r="S18" s="105"/>
    </row>
    <row r="19" spans="1:19" x14ac:dyDescent="0.35">
      <c r="C19" s="14"/>
      <c r="D19" s="14"/>
      <c r="E19" s="14"/>
      <c r="F19" s="14"/>
      <c r="G19" s="14"/>
      <c r="H19" s="6"/>
      <c r="I19" s="6"/>
      <c r="J19" s="6"/>
      <c r="K19" s="21"/>
      <c r="L19" s="21"/>
    </row>
    <row r="20" spans="1:19" s="59" customFormat="1" x14ac:dyDescent="0.35">
      <c r="A20" s="58" t="s">
        <v>310</v>
      </c>
      <c r="C20" s="58"/>
      <c r="D20" s="58"/>
      <c r="E20" s="58"/>
      <c r="F20" s="58"/>
      <c r="G20" s="58"/>
      <c r="H20" s="90"/>
      <c r="I20" s="90"/>
      <c r="J20" s="90"/>
    </row>
    <row r="21" spans="1:19" x14ac:dyDescent="0.35">
      <c r="B21" t="s">
        <v>307</v>
      </c>
      <c r="C21" s="15">
        <f>(C18+'CCR volumes'!D14)/1000</f>
        <v>24.344522007548822</v>
      </c>
      <c r="D21" s="15">
        <f>(D18+'CCR volumes'!E14)/1000</f>
        <v>23.304753652482962</v>
      </c>
      <c r="E21" s="15">
        <f>(E18+'CCR volumes'!F14)/1000</f>
        <v>21.100712633063505</v>
      </c>
      <c r="F21" s="15">
        <f>(F18+'CCR volumes'!G14)/1000</f>
        <v>18.680073471095394</v>
      </c>
      <c r="G21" s="15">
        <f>(G18+'CCR volumes'!H14)/1000</f>
        <v>16.281752850999549</v>
      </c>
      <c r="H21" s="106"/>
      <c r="I21" s="106"/>
      <c r="J21" s="106"/>
    </row>
    <row r="22" spans="1:19" x14ac:dyDescent="0.35">
      <c r="B22" t="s">
        <v>309</v>
      </c>
      <c r="C22" s="15">
        <f>C16/1000</f>
        <v>0</v>
      </c>
      <c r="D22" s="15">
        <f t="shared" ref="D22:G22" si="2">D16/1000</f>
        <v>0</v>
      </c>
      <c r="E22" s="15">
        <f t="shared" si="2"/>
        <v>0</v>
      </c>
      <c r="F22" s="15">
        <f t="shared" si="2"/>
        <v>0</v>
      </c>
      <c r="G22" s="15">
        <f t="shared" si="2"/>
        <v>0</v>
      </c>
      <c r="H22" s="29"/>
      <c r="I22" s="29"/>
      <c r="J22" s="29"/>
    </row>
    <row r="23" spans="1:19" x14ac:dyDescent="0.35">
      <c r="B23" t="s">
        <v>308</v>
      </c>
      <c r="C23" s="15">
        <f>(C12+C16+C18+'CCR volumes'!D14)/1000</f>
        <v>30.756555970215491</v>
      </c>
      <c r="D23" s="15">
        <f>(D12+D16+D18+'CCR volumes'!E14)/1000</f>
        <v>29.629283062705181</v>
      </c>
      <c r="E23" s="15">
        <f>(E12+E16+E18+'CCR volumes'!F14)/1000</f>
        <v>27.35986309084128</v>
      </c>
      <c r="F23" s="15">
        <f>(F12+F16+F18+'CCR volumes'!G14)/1000</f>
        <v>24.852114476428731</v>
      </c>
      <c r="G23" s="15">
        <f>(G12+G16+G18+'CCR volumes'!H14)/1000</f>
        <v>22.388019803888437</v>
      </c>
      <c r="H23" s="106"/>
      <c r="I23" s="106"/>
      <c r="J23" s="106"/>
      <c r="L23" s="9"/>
    </row>
    <row r="30" spans="1:19" x14ac:dyDescent="0.35">
      <c r="L30" s="9"/>
    </row>
    <row r="48" spans="3:10" x14ac:dyDescent="0.35">
      <c r="C48" s="12"/>
      <c r="D48" s="12"/>
      <c r="E48" s="12"/>
      <c r="F48" s="12"/>
      <c r="G48" s="12"/>
      <c r="H48" s="12"/>
      <c r="I48" s="12"/>
      <c r="J48" s="12"/>
    </row>
    <row r="49" spans="3:11" x14ac:dyDescent="0.35">
      <c r="C49" s="12"/>
      <c r="D49" s="12"/>
      <c r="E49" s="12"/>
      <c r="F49" s="12"/>
    </row>
    <row r="50" spans="3:11" x14ac:dyDescent="0.35">
      <c r="E50" s="12"/>
      <c r="F50" s="12"/>
      <c r="G50" s="12"/>
      <c r="H50" s="12"/>
      <c r="I50" s="12"/>
      <c r="J50" s="12"/>
    </row>
    <row r="51" spans="3:11" x14ac:dyDescent="0.35">
      <c r="C51" s="12"/>
      <c r="D51" s="12"/>
      <c r="E51" s="12"/>
      <c r="F51" s="12"/>
      <c r="G51" s="12"/>
      <c r="H51" s="12"/>
      <c r="I51" s="12"/>
      <c r="J51" s="12"/>
    </row>
    <row r="52" spans="3:11" x14ac:dyDescent="0.35">
      <c r="C52" s="12"/>
      <c r="D52" s="12"/>
      <c r="E52" s="12"/>
      <c r="F52" s="12"/>
      <c r="G52" s="12"/>
      <c r="H52" s="12"/>
      <c r="I52" s="12"/>
      <c r="J52" s="12"/>
    </row>
    <row r="53" spans="3:11" x14ac:dyDescent="0.35">
      <c r="I53" s="16"/>
      <c r="J53" s="16"/>
      <c r="K53" s="16"/>
    </row>
    <row r="54" spans="3:11" x14ac:dyDescent="0.35">
      <c r="I54" s="16"/>
      <c r="J54" s="16"/>
      <c r="K54" s="16"/>
    </row>
    <row r="55" spans="3:11" x14ac:dyDescent="0.35">
      <c r="C55" s="2"/>
      <c r="D55" s="2"/>
      <c r="E55" s="2"/>
      <c r="F55" s="2"/>
      <c r="G55" s="2"/>
      <c r="H55" s="2"/>
      <c r="I55" s="2"/>
      <c r="J55" s="2"/>
      <c r="K55" s="64"/>
    </row>
    <row r="56" spans="3:11" x14ac:dyDescent="0.35">
      <c r="C56" s="15"/>
      <c r="K56" s="16"/>
    </row>
    <row r="57" spans="3:11" x14ac:dyDescent="0.35">
      <c r="D57" s="5"/>
      <c r="E57" s="5"/>
      <c r="F57" s="5"/>
      <c r="G57" s="5"/>
      <c r="H57" s="5"/>
      <c r="I57" s="5"/>
      <c r="J57" s="15"/>
      <c r="K57" s="16"/>
    </row>
    <row r="58" spans="3:11" x14ac:dyDescent="0.35">
      <c r="I58" s="16"/>
      <c r="J58" s="16"/>
      <c r="K58" s="16"/>
    </row>
    <row r="59" spans="3:11" x14ac:dyDescent="0.35">
      <c r="C59" s="68"/>
      <c r="D59" s="68"/>
      <c r="E59" s="68"/>
      <c r="F59" s="68"/>
      <c r="G59" s="68"/>
      <c r="H59" s="68"/>
      <c r="I59" s="16"/>
      <c r="J59" s="16"/>
      <c r="K59" s="16"/>
    </row>
    <row r="60" spans="3:11" x14ac:dyDescent="0.35">
      <c r="C60" s="2"/>
      <c r="D60" s="2"/>
      <c r="E60" s="2"/>
      <c r="F60" s="2"/>
      <c r="G60" s="2"/>
      <c r="H60" s="2"/>
      <c r="I60" s="2"/>
      <c r="J60" s="2"/>
      <c r="K60" s="2"/>
    </row>
    <row r="61" spans="3:11" x14ac:dyDescent="0.35">
      <c r="C61" s="15"/>
      <c r="D61" s="15"/>
      <c r="E61" s="15"/>
      <c r="F61" s="15"/>
      <c r="G61" s="15"/>
      <c r="H61" s="15"/>
      <c r="I61" s="15"/>
      <c r="J61" s="15"/>
      <c r="K61" s="15"/>
    </row>
    <row r="62" spans="3:11" x14ac:dyDescent="0.35">
      <c r="C62" s="15"/>
      <c r="D62" s="15"/>
      <c r="E62" s="15"/>
      <c r="F62" s="15"/>
      <c r="G62" s="15"/>
      <c r="H62" s="15"/>
      <c r="I62" s="15"/>
      <c r="J62" s="15"/>
      <c r="K62" s="15"/>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1CE4-4952-4E8E-A74C-C88DBFECE0FA}">
  <sheetPr>
    <tabColor theme="8"/>
  </sheetPr>
  <dimension ref="A1:W99"/>
  <sheetViews>
    <sheetView zoomScale="85" zoomScaleNormal="85" workbookViewId="0">
      <pane ySplit="1" topLeftCell="A2" activePane="bottomLeft" state="frozen"/>
      <selection pane="bottomLeft"/>
    </sheetView>
  </sheetViews>
  <sheetFormatPr defaultColWidth="9.1796875" defaultRowHeight="14.5" x14ac:dyDescent="0.35"/>
  <cols>
    <col min="2" max="2" width="18.7265625" customWidth="1"/>
    <col min="3" max="3" width="37" customWidth="1"/>
    <col min="4" max="8" width="13.54296875" bestFit="1" customWidth="1"/>
    <col min="9" max="11" width="12.54296875" bestFit="1" customWidth="1"/>
    <col min="12" max="12" width="12.54296875" customWidth="1"/>
    <col min="13" max="13" width="12.7265625" customWidth="1"/>
    <col min="18" max="18" width="12.453125" customWidth="1"/>
    <col min="20" max="20" width="11.54296875" bestFit="1" customWidth="1"/>
    <col min="26" max="26" width="10.54296875" bestFit="1" customWidth="1"/>
    <col min="27" max="27" width="11.54296875" bestFit="1" customWidth="1"/>
    <col min="28" max="28" width="10.54296875" bestFit="1" customWidth="1"/>
  </cols>
  <sheetData>
    <row r="1" spans="1:23" s="147" customFormat="1" x14ac:dyDescent="0.35">
      <c r="D1" s="147">
        <v>2023</v>
      </c>
      <c r="E1" s="147">
        <v>2024</v>
      </c>
      <c r="F1" s="147">
        <v>2025</v>
      </c>
      <c r="G1" s="147">
        <v>2026</v>
      </c>
      <c r="H1" s="147">
        <v>2027</v>
      </c>
      <c r="I1" s="147">
        <v>2028</v>
      </c>
      <c r="J1" s="147">
        <v>2029</v>
      </c>
      <c r="K1" s="147">
        <v>2030</v>
      </c>
    </row>
    <row r="2" spans="1:23" s="59" customFormat="1" x14ac:dyDescent="0.35">
      <c r="A2" s="58" t="s">
        <v>229</v>
      </c>
    </row>
    <row r="3" spans="1:23" x14ac:dyDescent="0.35">
      <c r="A3" s="2"/>
    </row>
    <row r="4" spans="1:23" x14ac:dyDescent="0.35">
      <c r="A4" s="20" t="s">
        <v>215</v>
      </c>
      <c r="B4" t="s">
        <v>230</v>
      </c>
      <c r="C4" t="s">
        <v>231</v>
      </c>
      <c r="D4" s="6">
        <f>'2. Allocate emissions budget'!E9</f>
        <v>73649.020622385171</v>
      </c>
      <c r="E4" s="6">
        <f>'2. Allocate emissions budget'!F9</f>
        <v>72122.053884700057</v>
      </c>
      <c r="F4" s="6">
        <f>'2. Allocate emissions budget'!G9</f>
        <v>69700.308569491928</v>
      </c>
      <c r="G4" s="6">
        <f>'2. Allocate emissions budget'!H9</f>
        <v>66526.613497394224</v>
      </c>
      <c r="H4" s="6">
        <f>'2. Allocate emissions budget'!I9</f>
        <v>63857.721327852705</v>
      </c>
      <c r="I4" s="6">
        <f>'2. Allocate emissions budget'!J9</f>
        <v>60703.389645464289</v>
      </c>
      <c r="J4" s="6">
        <f>'2. Allocate emissions budget'!K9</f>
        <v>58295.868785954684</v>
      </c>
      <c r="K4" s="6">
        <f>'2. Allocate emissions budget'!L9</f>
        <v>55377.138276367004</v>
      </c>
    </row>
    <row r="5" spans="1:23" x14ac:dyDescent="0.35">
      <c r="A5" s="20"/>
      <c r="D5" s="6"/>
      <c r="E5" s="6"/>
      <c r="F5" s="6"/>
      <c r="G5" s="6"/>
      <c r="H5" s="6"/>
      <c r="I5" s="6"/>
      <c r="J5" s="6"/>
      <c r="K5" s="6"/>
      <c r="L5" s="6"/>
      <c r="M5" s="12"/>
    </row>
    <row r="6" spans="1:23" x14ac:dyDescent="0.35">
      <c r="A6" s="20" t="s">
        <v>217</v>
      </c>
      <c r="B6" t="s">
        <v>232</v>
      </c>
      <c r="C6" t="s">
        <v>233</v>
      </c>
      <c r="D6" s="6">
        <f>'2. Allocate emissions budget'!E22</f>
        <v>42026.217346698642</v>
      </c>
      <c r="E6" s="6">
        <f>'2. Allocate emissions budget'!F22</f>
        <v>41972.893159903317</v>
      </c>
      <c r="F6" s="6">
        <f>'2. Allocate emissions budget'!G22</f>
        <v>42162.724984205299</v>
      </c>
      <c r="G6" s="6">
        <f>'2. Allocate emissions budget'!H22</f>
        <v>42463.58707502138</v>
      </c>
      <c r="H6" s="6">
        <f>'2. Allocate emissions budget'!I22</f>
        <v>42633.740519764688</v>
      </c>
      <c r="I6" s="6">
        <f>'2. Allocate emissions budget'!J22</f>
        <v>42550.563462024315</v>
      </c>
      <c r="J6" s="6">
        <f>'2. Allocate emissions budget'!K22</f>
        <v>42514.744962924611</v>
      </c>
      <c r="K6" s="6">
        <f>'2. Allocate emissions budget'!L22</f>
        <v>42427.469315818904</v>
      </c>
      <c r="L6" s="6"/>
      <c r="M6" s="12"/>
    </row>
    <row r="7" spans="1:23" x14ac:dyDescent="0.35">
      <c r="C7" t="s">
        <v>234</v>
      </c>
      <c r="D7" s="6">
        <f>'2. Allocate emissions budget'!E39</f>
        <v>41323.393450290081</v>
      </c>
      <c r="E7" s="6">
        <f>'2. Allocate emissions budget'!F39</f>
        <v>41045.241864990858</v>
      </c>
      <c r="F7" s="6">
        <f>'2. Allocate emissions budget'!G39</f>
        <v>41001.054871889195</v>
      </c>
      <c r="G7" s="6">
        <f>'2. Allocate emissions budget'!H39</f>
        <v>40351.796062871457</v>
      </c>
      <c r="H7" s="6">
        <f>'2. Allocate emissions budget'!I39</f>
        <v>40171.208183367751</v>
      </c>
      <c r="I7" s="6">
        <f>'2. Allocate emissions budget'!J39</f>
        <v>39819.173685125737</v>
      </c>
      <c r="J7" s="6">
        <f>'2. Allocate emissions budget'!K39</f>
        <v>39506.383409258437</v>
      </c>
      <c r="K7" s="6">
        <f>'2. Allocate emissions budget'!L39</f>
        <v>39091.71561629077</v>
      </c>
    </row>
    <row r="8" spans="1:23" x14ac:dyDescent="0.35">
      <c r="A8" s="20"/>
      <c r="L8" s="6"/>
      <c r="M8" s="12"/>
    </row>
    <row r="9" spans="1:23" x14ac:dyDescent="0.35">
      <c r="A9" s="20"/>
      <c r="L9" s="6"/>
      <c r="M9" s="12"/>
    </row>
    <row r="10" spans="1:23" s="6" customFormat="1" x14ac:dyDescent="0.35">
      <c r="A10" s="76" t="s">
        <v>220</v>
      </c>
      <c r="B10" t="s">
        <v>8</v>
      </c>
      <c r="C10" t="s">
        <v>235</v>
      </c>
      <c r="D10" s="6">
        <f>'3. Technical adjustments'!D11</f>
        <v>1569.0712018796003</v>
      </c>
      <c r="E10" s="6">
        <f>'3. Technical adjustments'!E11</f>
        <v>1447.5289570040159</v>
      </c>
      <c r="F10" s="6">
        <f>'3. Technical adjustments'!F11</f>
        <v>1339.3906067614523</v>
      </c>
      <c r="G10" s="6">
        <f>'3. Technical adjustments'!G11</f>
        <v>1322.7029580940389</v>
      </c>
      <c r="H10" s="6">
        <f>'3. Technical adjustments'!H11</f>
        <v>1298.4933405965164</v>
      </c>
      <c r="I10" s="6">
        <f>'3. Technical adjustments'!I11</f>
        <v>1281.6707428508948</v>
      </c>
      <c r="J10" s="6">
        <f>'3. Technical adjustments'!J11</f>
        <v>1262.0786424242185</v>
      </c>
      <c r="K10" s="6">
        <f>'3. Technical adjustments'!K11</f>
        <v>1242.7500122178776</v>
      </c>
    </row>
    <row r="11" spans="1:23" s="6" customFormat="1" x14ac:dyDescent="0.35">
      <c r="A11" s="76"/>
      <c r="B11"/>
      <c r="C11"/>
    </row>
    <row r="12" spans="1:23" s="6" customFormat="1" x14ac:dyDescent="0.35">
      <c r="A12" s="76" t="s">
        <v>221</v>
      </c>
      <c r="B12" t="s">
        <v>236</v>
      </c>
      <c r="C12" t="s">
        <v>235</v>
      </c>
      <c r="D12" s="6">
        <f>'4. Industrial free allocation'!P62/1000</f>
        <v>6412.0339626666673</v>
      </c>
      <c r="E12" s="6">
        <f>'4. Industrial free allocation'!Q62/1000</f>
        <v>6324.5294102222215</v>
      </c>
      <c r="F12" s="6">
        <f>'4. Industrial free allocation'!R62/1000</f>
        <v>6259.1504577777787</v>
      </c>
      <c r="G12" s="6">
        <f>'4. Industrial free allocation'!S62/1000</f>
        <v>6172.0410053333335</v>
      </c>
      <c r="H12" s="6">
        <f>'4. Industrial free allocation'!T62/1000</f>
        <v>6106.2669528888873</v>
      </c>
      <c r="I12" s="6">
        <f>'4. Industrial free allocation'!U62/1000</f>
        <v>6019.5526004444446</v>
      </c>
      <c r="J12" s="6">
        <f>'4. Industrial free allocation'!V62/1000</f>
        <v>5953.3834480000005</v>
      </c>
      <c r="K12" s="6">
        <f>'4. Industrial free allocation'!W62/1000</f>
        <v>5398.2677511111115</v>
      </c>
    </row>
    <row r="13" spans="1:23" s="6" customFormat="1" x14ac:dyDescent="0.35">
      <c r="A13" s="76"/>
      <c r="B13"/>
      <c r="C13"/>
    </row>
    <row r="14" spans="1:23" s="6" customFormat="1" x14ac:dyDescent="0.35">
      <c r="A14" s="76"/>
      <c r="B14"/>
      <c r="C14"/>
    </row>
    <row r="15" spans="1:23" s="6" customFormat="1" x14ac:dyDescent="0.35">
      <c r="A15" s="76" t="s">
        <v>223</v>
      </c>
      <c r="B15" t="s">
        <v>237</v>
      </c>
      <c r="C15" t="s">
        <v>238</v>
      </c>
      <c r="D15" s="6">
        <f>'5. Surplus reduction volume'!D32</f>
        <v>8303.5100626270178</v>
      </c>
      <c r="E15" s="6">
        <f>'5. Surplus reduction volume'!E32</f>
        <v>8303.5100626270178</v>
      </c>
      <c r="F15" s="6">
        <f>'5. Surplus reduction volume'!F32</f>
        <v>8303.5100626270178</v>
      </c>
      <c r="G15" s="6">
        <f>'5. Surplus reduction volume'!G32</f>
        <v>8303.5100626270178</v>
      </c>
      <c r="H15" s="6">
        <f>'5. Surplus reduction volume'!H32</f>
        <v>8303.5100626270178</v>
      </c>
      <c r="I15" s="6">
        <f>'5. Surplus reduction volume'!I32</f>
        <v>8303.5100626270178</v>
      </c>
      <c r="J15" s="6">
        <f>'5. Surplus reduction volume'!J32</f>
        <v>8303.5100626270178</v>
      </c>
      <c r="K15" s="6">
        <f>'5. Surplus reduction volume'!K32</f>
        <v>8303.5100626270178</v>
      </c>
      <c r="O15" s="9"/>
      <c r="P15" s="9"/>
      <c r="Q15" s="9"/>
      <c r="R15" s="9"/>
      <c r="S15" s="9"/>
      <c r="T15" s="9"/>
      <c r="U15" s="9"/>
      <c r="V15" s="9"/>
      <c r="W15" s="9"/>
    </row>
    <row r="16" spans="1:23" s="6" customFormat="1" x14ac:dyDescent="0.35">
      <c r="C16" t="s">
        <v>239</v>
      </c>
      <c r="D16" s="6">
        <f>'5. Surplus reduction volume'!D33</f>
        <v>6142.478835153217</v>
      </c>
      <c r="E16" s="6">
        <f>'5. Surplus reduction volume'!E33</f>
        <v>6142.478835153217</v>
      </c>
      <c r="F16" s="6">
        <f>'5. Surplus reduction volume'!F33</f>
        <v>6142.478835153217</v>
      </c>
      <c r="G16" s="6">
        <f>'5. Surplus reduction volume'!G33</f>
        <v>6142.478835153217</v>
      </c>
      <c r="H16" s="6">
        <f>'5. Surplus reduction volume'!H33</f>
        <v>6142.478835153217</v>
      </c>
      <c r="I16" s="6">
        <f>'5. Surplus reduction volume'!I33</f>
        <v>6142.478835153217</v>
      </c>
      <c r="J16" s="6">
        <f>'5. Surplus reduction volume'!J33</f>
        <v>6142.478835153217</v>
      </c>
      <c r="K16" s="6">
        <f>'5. Surplus reduction volume'!K33</f>
        <v>6142.478835153217</v>
      </c>
    </row>
    <row r="17" spans="1:20" s="6" customFormat="1" x14ac:dyDescent="0.35">
      <c r="C17" t="s">
        <v>240</v>
      </c>
      <c r="D17" s="6">
        <f>'5. Surplus reduction volume'!D34</f>
        <v>4159.7056106698037</v>
      </c>
      <c r="E17" s="6">
        <f>'5. Surplus reduction volume'!E34</f>
        <v>4159.7056106698037</v>
      </c>
      <c r="F17" s="6">
        <f>'5. Surplus reduction volume'!F34</f>
        <v>4159.7056106698037</v>
      </c>
      <c r="G17" s="6">
        <f>'5. Surplus reduction volume'!G34</f>
        <v>4159.7056106698037</v>
      </c>
      <c r="H17" s="6">
        <f>'5. Surplus reduction volume'!H34</f>
        <v>4159.7056106698037</v>
      </c>
      <c r="I17" s="6">
        <f>'5. Surplus reduction volume'!I34</f>
        <v>4159.7056106698037</v>
      </c>
      <c r="J17" s="6">
        <f>'5. Surplus reduction volume'!J34</f>
        <v>4159.7056106698037</v>
      </c>
      <c r="K17" s="6">
        <f>'5. Surplus reduction volume'!K34</f>
        <v>4159.7056106698037</v>
      </c>
    </row>
    <row r="18" spans="1:20" s="6" customFormat="1" x14ac:dyDescent="0.35">
      <c r="C18" t="s">
        <v>241</v>
      </c>
      <c r="D18" s="6">
        <f>'5. Surplus reduction volume'!D37</f>
        <v>13285.61610020323</v>
      </c>
      <c r="E18" s="6">
        <f>'5. Surplus reduction volume'!E37</f>
        <v>13285.61610020323</v>
      </c>
      <c r="F18" s="6">
        <f>'5. Surplus reduction volume'!F37</f>
        <v>13285.61610020323</v>
      </c>
      <c r="G18" s="6">
        <f>'5. Surplus reduction volume'!G37</f>
        <v>13285.61610020323</v>
      </c>
      <c r="H18" s="6">
        <f>'5. Surplus reduction volume'!H37</f>
        <v>13285.61610020323</v>
      </c>
      <c r="I18" s="6">
        <f>'5. Surplus reduction volume'!I37</f>
        <v>0</v>
      </c>
      <c r="J18" s="6">
        <f>'5. Surplus reduction volume'!J37</f>
        <v>0</v>
      </c>
      <c r="K18" s="6">
        <f>'5. Surplus reduction volume'!K37</f>
        <v>0</v>
      </c>
    </row>
    <row r="19" spans="1:20" s="6" customFormat="1" x14ac:dyDescent="0.35">
      <c r="C19" t="s">
        <v>242</v>
      </c>
      <c r="D19" s="6">
        <f>'5. Surplus reduction volume'!D38</f>
        <v>9827.9661362451479</v>
      </c>
      <c r="E19" s="6">
        <f>'5. Surplus reduction volume'!E38</f>
        <v>9827.9661362451479</v>
      </c>
      <c r="F19" s="6">
        <f>'5. Surplus reduction volume'!F38</f>
        <v>9827.9661362451479</v>
      </c>
      <c r="G19" s="6">
        <f>'5. Surplus reduction volume'!G38</f>
        <v>9827.9661362451479</v>
      </c>
      <c r="H19" s="6">
        <f>'5. Surplus reduction volume'!H38</f>
        <v>9827.9661362451479</v>
      </c>
      <c r="I19" s="6">
        <f>'5. Surplus reduction volume'!I38</f>
        <v>0</v>
      </c>
      <c r="J19" s="6">
        <f>'5. Surplus reduction volume'!J38</f>
        <v>0</v>
      </c>
      <c r="K19" s="6">
        <f>'5. Surplus reduction volume'!K38</f>
        <v>0</v>
      </c>
    </row>
    <row r="20" spans="1:20" s="6" customFormat="1" x14ac:dyDescent="0.35">
      <c r="C20" t="s">
        <v>243</v>
      </c>
      <c r="D20" s="6">
        <f>'5. Surplus reduction volume'!D39</f>
        <v>6655.5289770716863</v>
      </c>
      <c r="E20" s="6">
        <f>'5. Surplus reduction volume'!E39</f>
        <v>6655.5289770716863</v>
      </c>
      <c r="F20" s="6">
        <f>'5. Surplus reduction volume'!F39</f>
        <v>6655.5289770716863</v>
      </c>
      <c r="G20" s="6">
        <f>'5. Surplus reduction volume'!G39</f>
        <v>6655.5289770716863</v>
      </c>
      <c r="H20" s="6">
        <f>'5. Surplus reduction volume'!H39</f>
        <v>6655.5289770716863</v>
      </c>
      <c r="I20" s="6">
        <f>'5. Surplus reduction volume'!I39</f>
        <v>0</v>
      </c>
      <c r="J20" s="6">
        <f>'5. Surplus reduction volume'!J39</f>
        <v>0</v>
      </c>
      <c r="K20" s="6">
        <f>'5. Surplus reduction volume'!K39</f>
        <v>0</v>
      </c>
    </row>
    <row r="21" spans="1:20" s="6" customFormat="1" x14ac:dyDescent="0.35">
      <c r="C21" t="s">
        <v>244</v>
      </c>
      <c r="D21" s="6">
        <f>'5. Surplus reduction volume'!D42</f>
        <v>10849.363709575711</v>
      </c>
      <c r="E21" s="6">
        <f>'5. Surplus reduction volume'!E42</f>
        <v>10430.227223154818</v>
      </c>
      <c r="F21" s="6">
        <f>'5. Surplus reduction volume'!F42</f>
        <v>9632.2536884130368</v>
      </c>
      <c r="G21" s="6">
        <f>'5. Surplus reduction volume'!G42</f>
        <v>8784.9839035458881</v>
      </c>
      <c r="H21" s="6">
        <f>'5. Surplus reduction volume'!H42</f>
        <v>7949.8409960627996</v>
      </c>
      <c r="I21" s="6">
        <f>'5. Surplus reduction volume'!I42</f>
        <v>7009.3134941132157</v>
      </c>
      <c r="J21" s="6">
        <f>'5. Surplus reduction volume'!J42</f>
        <v>6306.2646760805164</v>
      </c>
      <c r="K21" s="6">
        <f>'5. Surplus reduction volume'!K42</f>
        <v>5465.8328100701665</v>
      </c>
    </row>
    <row r="22" spans="1:20" s="6" customFormat="1" x14ac:dyDescent="0.35">
      <c r="C22" t="s">
        <v>245</v>
      </c>
      <c r="D22" s="6">
        <f>'5. Surplus reduction volume'!D43</f>
        <v>8025.760968351784</v>
      </c>
      <c r="E22" s="6">
        <f>'5. Surplus reduction volume'!E43</f>
        <v>7715.7069095907227</v>
      </c>
      <c r="F22" s="6">
        <f>'5. Surplus reduction volume'!F43</f>
        <v>7125.4100940036687</v>
      </c>
      <c r="G22" s="6">
        <f>'5. Surplus reduction volume'!G43</f>
        <v>6498.6466310875094</v>
      </c>
      <c r="H22" s="6">
        <f>'5. Surplus reduction volume'!H43</f>
        <v>5880.8539633057308</v>
      </c>
      <c r="I22" s="6">
        <f>'5. Surplus reduction volume'!I43</f>
        <v>5185.1035841248695</v>
      </c>
      <c r="J22" s="6">
        <f>'5. Surplus reduction volume'!J43</f>
        <v>4665.026839197184</v>
      </c>
      <c r="K22" s="6">
        <f>'5. Surplus reduction volume'!K43</f>
        <v>4043.3216915642724</v>
      </c>
    </row>
    <row r="23" spans="1:20" s="6" customFormat="1" x14ac:dyDescent="0.35">
      <c r="C23" t="s">
        <v>246</v>
      </c>
      <c r="D23" s="6">
        <f>'5. Surplus reduction volume'!D44</f>
        <v>5435.070079344423</v>
      </c>
      <c r="E23" s="6">
        <f>'5. Surplus reduction volume'!E44</f>
        <v>5225.1005145397012</v>
      </c>
      <c r="F23" s="6">
        <f>'5. Surplus reduction volume'!F44</f>
        <v>4825.3496905392249</v>
      </c>
      <c r="G23" s="6">
        <f>'5. Surplus reduction volume'!G44</f>
        <v>4400.9035405037484</v>
      </c>
      <c r="H23" s="6">
        <f>'5. Surplus reduction volume'!H44</f>
        <v>3982.532440599351</v>
      </c>
      <c r="I23" s="6">
        <f>'5. Surplus reduction volume'!I44</f>
        <v>3511.368138112653</v>
      </c>
      <c r="J23" s="6">
        <f>'5. Surplus reduction volume'!J44</f>
        <v>3159.1705625225341</v>
      </c>
      <c r="K23" s="6">
        <f>'5. Surplus reduction volume'!K44</f>
        <v>2738.1499191967982</v>
      </c>
    </row>
    <row r="24" spans="1:20" s="6" customFormat="1" x14ac:dyDescent="0.35">
      <c r="C24" t="s">
        <v>247</v>
      </c>
      <c r="D24" s="6">
        <f>'5. Surplus reduction volume'!D47</f>
        <v>14761.795666892474</v>
      </c>
      <c r="E24" s="6">
        <f>'5. Surplus reduction volume'!E47</f>
        <v>12916.571208530915</v>
      </c>
      <c r="F24" s="6">
        <f>'5. Surplus reduction volume'!F47</f>
        <v>11071.346750169354</v>
      </c>
      <c r="G24" s="6">
        <f>'5. Surplus reduction volume'!G47</f>
        <v>9226.1222918077947</v>
      </c>
      <c r="H24" s="6">
        <f>'5. Surplus reduction volume'!H47</f>
        <v>7380.8978334462345</v>
      </c>
      <c r="I24" s="6">
        <f>'5. Surplus reduction volume'!I47</f>
        <v>5535.6733750846752</v>
      </c>
      <c r="J24" s="6">
        <f>'5. Surplus reduction volume'!J47</f>
        <v>3690.4489167231159</v>
      </c>
      <c r="K24" s="6">
        <f>'5. Surplus reduction volume'!K47</f>
        <v>1845.2244583615566</v>
      </c>
    </row>
    <row r="25" spans="1:20" x14ac:dyDescent="0.35">
      <c r="C25" t="s">
        <v>248</v>
      </c>
      <c r="D25" s="6">
        <f>'5. Surplus reduction volume'!D48</f>
        <v>10919.962373605718</v>
      </c>
      <c r="E25" s="6">
        <f>'5. Surplus reduction volume'!E48</f>
        <v>9554.9670769050026</v>
      </c>
      <c r="F25" s="6">
        <f>'5. Surplus reduction volume'!F48</f>
        <v>8189.9717802042878</v>
      </c>
      <c r="G25" s="6">
        <f>'5. Surplus reduction volume'!G48</f>
        <v>6824.9764835035721</v>
      </c>
      <c r="H25" s="6">
        <f>'5. Surplus reduction volume'!H48</f>
        <v>5459.9811868028573</v>
      </c>
      <c r="I25" s="6">
        <f>'5. Surplus reduction volume'!I48</f>
        <v>4094.9858901021425</v>
      </c>
      <c r="J25" s="6">
        <f>'5. Surplus reduction volume'!J48</f>
        <v>2729.9905934014278</v>
      </c>
      <c r="K25" s="6">
        <f>'5. Surplus reduction volume'!K48</f>
        <v>1364.9952967007127</v>
      </c>
      <c r="M25" s="6"/>
    </row>
    <row r="26" spans="1:20" x14ac:dyDescent="0.35">
      <c r="C26" t="s">
        <v>249</v>
      </c>
      <c r="D26" s="6">
        <f>'5. Surplus reduction volume'!D49</f>
        <v>7395.0321967463169</v>
      </c>
      <c r="E26" s="6">
        <f>'5. Surplus reduction volume'!E49</f>
        <v>6470.6531721530273</v>
      </c>
      <c r="F26" s="6">
        <f>'5. Surplus reduction volume'!F49</f>
        <v>5546.2741475597368</v>
      </c>
      <c r="G26" s="6">
        <f>'5. Surplus reduction volume'!G49</f>
        <v>4621.8951229664472</v>
      </c>
      <c r="H26" s="6">
        <f>'5. Surplus reduction volume'!H49</f>
        <v>3697.5160983731571</v>
      </c>
      <c r="I26" s="6">
        <f>'5. Surplus reduction volume'!I49</f>
        <v>2773.1370737798675</v>
      </c>
      <c r="J26" s="6">
        <f>'5. Surplus reduction volume'!J49</f>
        <v>1848.7580491865779</v>
      </c>
      <c r="K26" s="6">
        <f>'5. Surplus reduction volume'!K49</f>
        <v>924.37902459328825</v>
      </c>
      <c r="M26" s="6"/>
    </row>
    <row r="27" spans="1:20" x14ac:dyDescent="0.35">
      <c r="M27" s="12"/>
    </row>
    <row r="28" spans="1:20" x14ac:dyDescent="0.35">
      <c r="M28" s="12"/>
      <c r="T28" s="6"/>
    </row>
    <row r="29" spans="1:20" s="59" customFormat="1" x14ac:dyDescent="0.35">
      <c r="A29" s="58" t="s">
        <v>314</v>
      </c>
      <c r="D29" s="58"/>
      <c r="E29" s="58"/>
      <c r="F29" s="58"/>
      <c r="G29" s="58"/>
      <c r="H29" s="58"/>
      <c r="I29" s="58"/>
      <c r="J29" s="58"/>
      <c r="K29" s="58"/>
      <c r="L29" s="58"/>
      <c r="M29" s="88"/>
      <c r="T29" s="88"/>
    </row>
    <row r="30" spans="1:20" x14ac:dyDescent="0.35">
      <c r="C30" t="s">
        <v>250</v>
      </c>
      <c r="D30" s="18">
        <f t="shared" ref="D30:K30" si="0">D4-D7-D10-D12-D22</f>
        <v>16318.761039197037</v>
      </c>
      <c r="E30" s="18">
        <f t="shared" si="0"/>
        <v>15589.04674289224</v>
      </c>
      <c r="F30" s="18">
        <f t="shared" si="0"/>
        <v>13975.302539059834</v>
      </c>
      <c r="G30" s="18">
        <f t="shared" si="0"/>
        <v>12181.426840007885</v>
      </c>
      <c r="H30" s="18">
        <f t="shared" si="0"/>
        <v>10400.89888769382</v>
      </c>
      <c r="I30" s="18">
        <f t="shared" si="0"/>
        <v>8397.8890329183414</v>
      </c>
      <c r="J30" s="18">
        <f t="shared" si="0"/>
        <v>6908.9964470748455</v>
      </c>
      <c r="K30" s="18">
        <f t="shared" si="0"/>
        <v>5601.0832051829721</v>
      </c>
      <c r="L30" s="32"/>
      <c r="M30" s="6"/>
    </row>
    <row r="31" spans="1:20" x14ac:dyDescent="0.35">
      <c r="D31" s="18"/>
      <c r="E31" s="18"/>
      <c r="F31" s="18"/>
      <c r="G31" s="18"/>
      <c r="H31" s="18"/>
      <c r="I31" s="18"/>
      <c r="J31" s="18"/>
      <c r="K31" s="18"/>
      <c r="L31" s="32"/>
      <c r="M31" s="6"/>
    </row>
    <row r="32" spans="1:20" x14ac:dyDescent="0.35">
      <c r="C32" t="s">
        <v>251</v>
      </c>
      <c r="D32" s="25">
        <v>18600</v>
      </c>
      <c r="E32" s="25">
        <v>18000</v>
      </c>
      <c r="F32" s="25">
        <v>16500</v>
      </c>
      <c r="G32" s="25">
        <v>15000</v>
      </c>
      <c r="H32" s="6"/>
      <c r="I32" s="6"/>
      <c r="J32" s="6"/>
      <c r="K32" s="6"/>
      <c r="L32" s="32"/>
      <c r="M32" s="6"/>
    </row>
    <row r="33" spans="3:13" x14ac:dyDescent="0.35">
      <c r="D33" s="6"/>
      <c r="E33" s="6"/>
      <c r="F33" s="6"/>
      <c r="G33" s="21"/>
      <c r="H33" s="21"/>
      <c r="I33" s="21"/>
      <c r="J33" s="21"/>
      <c r="K33" s="21"/>
      <c r="L33" s="29"/>
      <c r="M33" s="6"/>
    </row>
    <row r="34" spans="3:13" x14ac:dyDescent="0.35">
      <c r="C34" t="s">
        <v>252</v>
      </c>
      <c r="D34" s="6">
        <f t="shared" ref="D34:K34" si="1">D4-D6-D10-D12-D22</f>
        <v>15615.937142788476</v>
      </c>
      <c r="E34" s="6">
        <f t="shared" si="1"/>
        <v>14661.395447979781</v>
      </c>
      <c r="F34" s="6">
        <f t="shared" si="1"/>
        <v>12813.63242674373</v>
      </c>
      <c r="G34" s="6">
        <f t="shared" si="1"/>
        <v>10069.635827857963</v>
      </c>
      <c r="H34" s="6">
        <f t="shared" si="1"/>
        <v>7938.3665512968828</v>
      </c>
      <c r="I34" s="6">
        <f t="shared" si="1"/>
        <v>5666.4992560197652</v>
      </c>
      <c r="J34" s="6">
        <f t="shared" si="1"/>
        <v>3900.6348934086709</v>
      </c>
      <c r="K34" s="6">
        <f t="shared" si="1"/>
        <v>2265.3295056548395</v>
      </c>
      <c r="L34" s="32"/>
      <c r="M34" s="6"/>
    </row>
    <row r="35" spans="3:13" x14ac:dyDescent="0.35">
      <c r="D35" s="6"/>
      <c r="E35" s="6"/>
      <c r="F35" s="6"/>
      <c r="G35" s="6"/>
      <c r="H35" s="6"/>
      <c r="I35" s="6"/>
      <c r="J35" s="6"/>
      <c r="K35" s="6"/>
      <c r="L35" s="32"/>
      <c r="M35" s="6"/>
    </row>
    <row r="36" spans="3:13" x14ac:dyDescent="0.35">
      <c r="C36" t="s">
        <v>238</v>
      </c>
      <c r="D36" s="13">
        <f>D$4-D$7-D$10-D$12-D15</f>
        <v>16041.011944921804</v>
      </c>
      <c r="E36" s="13">
        <f t="shared" ref="E36:K36" si="2">E$4-E$7-E$10-E$12-E15</f>
        <v>15001.243589855945</v>
      </c>
      <c r="F36" s="13">
        <f t="shared" si="2"/>
        <v>12797.202570436486</v>
      </c>
      <c r="G36" s="13">
        <f t="shared" si="2"/>
        <v>10376.563408468377</v>
      </c>
      <c r="H36" s="13">
        <f t="shared" si="2"/>
        <v>7978.2427883725322</v>
      </c>
      <c r="I36" s="13">
        <f t="shared" si="2"/>
        <v>5279.482554416194</v>
      </c>
      <c r="J36" s="13">
        <f t="shared" si="2"/>
        <v>3270.5132236450117</v>
      </c>
      <c r="K36" s="13">
        <f t="shared" si="2"/>
        <v>1340.8948341202267</v>
      </c>
    </row>
    <row r="37" spans="3:13" x14ac:dyDescent="0.35">
      <c r="C37" t="s">
        <v>239</v>
      </c>
      <c r="D37" s="13">
        <f t="shared" ref="D37:K47" si="3">D$4-D$7-D$10-D$12-D16</f>
        <v>18202.043172395606</v>
      </c>
      <c r="E37" s="13">
        <f t="shared" si="3"/>
        <v>17162.274817329744</v>
      </c>
      <c r="F37" s="13">
        <f t="shared" si="3"/>
        <v>14958.233797910287</v>
      </c>
      <c r="G37" s="13">
        <f t="shared" si="3"/>
        <v>12537.594635942178</v>
      </c>
      <c r="H37" s="13">
        <f t="shared" si="3"/>
        <v>10139.274015846333</v>
      </c>
      <c r="I37" s="13">
        <f t="shared" si="3"/>
        <v>7440.5137818899948</v>
      </c>
      <c r="J37" s="13">
        <f t="shared" si="3"/>
        <v>5431.5444511188125</v>
      </c>
      <c r="K37" s="13">
        <f t="shared" si="3"/>
        <v>3501.9260615940275</v>
      </c>
    </row>
    <row r="38" spans="3:13" x14ac:dyDescent="0.35">
      <c r="C38" t="s">
        <v>240</v>
      </c>
      <c r="D38" s="13">
        <f t="shared" si="3"/>
        <v>20184.816396879018</v>
      </c>
      <c r="E38" s="13">
        <f t="shared" si="3"/>
        <v>19145.048041813159</v>
      </c>
      <c r="F38" s="13">
        <f t="shared" si="3"/>
        <v>16941.0070223937</v>
      </c>
      <c r="G38" s="13">
        <f t="shared" si="3"/>
        <v>14520.367860425591</v>
      </c>
      <c r="H38" s="13">
        <f t="shared" si="3"/>
        <v>12122.047240329746</v>
      </c>
      <c r="I38" s="13">
        <f t="shared" si="3"/>
        <v>9423.2870063734081</v>
      </c>
      <c r="J38" s="13">
        <f t="shared" si="3"/>
        <v>7414.3176756022258</v>
      </c>
      <c r="K38" s="13">
        <f t="shared" si="3"/>
        <v>5484.6992860774408</v>
      </c>
    </row>
    <row r="39" spans="3:13" x14ac:dyDescent="0.35">
      <c r="C39" t="s">
        <v>241</v>
      </c>
      <c r="D39" s="13">
        <f t="shared" si="3"/>
        <v>11058.905907345592</v>
      </c>
      <c r="E39" s="13">
        <f t="shared" si="3"/>
        <v>10019.137552279733</v>
      </c>
      <c r="F39" s="13">
        <f t="shared" si="3"/>
        <v>7815.0965328602742</v>
      </c>
      <c r="G39" s="13">
        <f t="shared" si="3"/>
        <v>5394.4573708921653</v>
      </c>
      <c r="H39" s="13">
        <f t="shared" si="3"/>
        <v>2996.1367507963205</v>
      </c>
      <c r="I39" s="13">
        <f t="shared" si="3"/>
        <v>13582.992617043212</v>
      </c>
      <c r="J39" s="13">
        <f t="shared" si="3"/>
        <v>11574.02328627203</v>
      </c>
      <c r="K39" s="13">
        <f t="shared" si="3"/>
        <v>9644.4048967472445</v>
      </c>
    </row>
    <row r="40" spans="3:13" x14ac:dyDescent="0.35">
      <c r="C40" t="s">
        <v>242</v>
      </c>
      <c r="D40" s="13">
        <f t="shared" si="3"/>
        <v>14516.555871303673</v>
      </c>
      <c r="E40" s="13">
        <f t="shared" si="3"/>
        <v>13476.787516237815</v>
      </c>
      <c r="F40" s="13">
        <f t="shared" si="3"/>
        <v>11272.746496818356</v>
      </c>
      <c r="G40" s="13">
        <f t="shared" si="3"/>
        <v>8852.1073348502468</v>
      </c>
      <c r="H40" s="13">
        <f t="shared" si="3"/>
        <v>6453.7867147544021</v>
      </c>
      <c r="I40" s="13">
        <f t="shared" si="3"/>
        <v>13582.992617043212</v>
      </c>
      <c r="J40" s="13">
        <f t="shared" si="3"/>
        <v>11574.02328627203</v>
      </c>
      <c r="K40" s="13">
        <f t="shared" si="3"/>
        <v>9644.4048967472445</v>
      </c>
    </row>
    <row r="41" spans="3:13" x14ac:dyDescent="0.35">
      <c r="C41" t="s">
        <v>243</v>
      </c>
      <c r="D41" s="13">
        <f t="shared" si="3"/>
        <v>17688.993030477133</v>
      </c>
      <c r="E41" s="13">
        <f t="shared" si="3"/>
        <v>16649.224675411278</v>
      </c>
      <c r="F41" s="13">
        <f t="shared" si="3"/>
        <v>14445.183655991817</v>
      </c>
      <c r="G41" s="13">
        <f t="shared" si="3"/>
        <v>12024.544494023708</v>
      </c>
      <c r="H41" s="13">
        <f t="shared" si="3"/>
        <v>9626.2238739278637</v>
      </c>
      <c r="I41" s="13">
        <f t="shared" si="3"/>
        <v>13582.992617043212</v>
      </c>
      <c r="J41" s="13">
        <f t="shared" si="3"/>
        <v>11574.02328627203</v>
      </c>
      <c r="K41" s="13">
        <f t="shared" si="3"/>
        <v>9644.4048967472445</v>
      </c>
    </row>
    <row r="42" spans="3:13" x14ac:dyDescent="0.35">
      <c r="C42" t="s">
        <v>244</v>
      </c>
      <c r="D42" s="13">
        <f t="shared" si="3"/>
        <v>13495.15829797311</v>
      </c>
      <c r="E42" s="13">
        <f t="shared" si="3"/>
        <v>12874.526429328145</v>
      </c>
      <c r="F42" s="13">
        <f t="shared" si="3"/>
        <v>11468.458944650467</v>
      </c>
      <c r="G42" s="13">
        <f t="shared" si="3"/>
        <v>9895.0895675495067</v>
      </c>
      <c r="H42" s="13">
        <f t="shared" si="3"/>
        <v>8331.9118549367504</v>
      </c>
      <c r="I42" s="13">
        <f t="shared" si="3"/>
        <v>6573.6791229299961</v>
      </c>
      <c r="J42" s="13">
        <f t="shared" si="3"/>
        <v>5267.7586101915131</v>
      </c>
      <c r="K42" s="13">
        <f t="shared" si="3"/>
        <v>4178.572086677078</v>
      </c>
    </row>
    <row r="43" spans="3:13" x14ac:dyDescent="0.35">
      <c r="C43" t="s">
        <v>245</v>
      </c>
      <c r="D43" s="13">
        <f t="shared" si="3"/>
        <v>16318.761039197037</v>
      </c>
      <c r="E43" s="13">
        <f t="shared" si="3"/>
        <v>15589.04674289224</v>
      </c>
      <c r="F43" s="13">
        <f t="shared" si="3"/>
        <v>13975.302539059834</v>
      </c>
      <c r="G43" s="13">
        <f t="shared" si="3"/>
        <v>12181.426840007885</v>
      </c>
      <c r="H43" s="13">
        <f t="shared" si="3"/>
        <v>10400.89888769382</v>
      </c>
      <c r="I43" s="13">
        <f t="shared" si="3"/>
        <v>8397.8890329183414</v>
      </c>
      <c r="J43" s="13">
        <f t="shared" si="3"/>
        <v>6908.9964470748455</v>
      </c>
      <c r="K43" s="13">
        <f t="shared" si="3"/>
        <v>5601.0832051829721</v>
      </c>
    </row>
    <row r="44" spans="3:13" x14ac:dyDescent="0.35">
      <c r="C44" t="s">
        <v>246</v>
      </c>
      <c r="D44" s="13">
        <f t="shared" si="3"/>
        <v>18909.451928204398</v>
      </c>
      <c r="E44" s="13">
        <f t="shared" si="3"/>
        <v>18079.653137943264</v>
      </c>
      <c r="F44" s="13">
        <f t="shared" si="3"/>
        <v>16275.36294252428</v>
      </c>
      <c r="G44" s="13">
        <f t="shared" si="3"/>
        <v>14279.169930591646</v>
      </c>
      <c r="H44" s="13">
        <f t="shared" si="3"/>
        <v>12299.220410400199</v>
      </c>
      <c r="I44" s="13">
        <f t="shared" si="3"/>
        <v>10071.624478930558</v>
      </c>
      <c r="J44" s="13">
        <f t="shared" si="3"/>
        <v>8414.8527237494964</v>
      </c>
      <c r="K44" s="13">
        <f t="shared" si="3"/>
        <v>6906.2549775504467</v>
      </c>
    </row>
    <row r="45" spans="3:13" x14ac:dyDescent="0.35">
      <c r="C45" t="s">
        <v>247</v>
      </c>
      <c r="D45" s="13">
        <f t="shared" si="3"/>
        <v>9582.726340656347</v>
      </c>
      <c r="E45" s="13">
        <f t="shared" si="3"/>
        <v>10388.182443952048</v>
      </c>
      <c r="F45" s="13">
        <f t="shared" si="3"/>
        <v>10029.36588289415</v>
      </c>
      <c r="G45" s="13">
        <f t="shared" si="3"/>
        <v>9453.9511792876001</v>
      </c>
      <c r="H45" s="13">
        <f t="shared" si="3"/>
        <v>8900.8550175533164</v>
      </c>
      <c r="I45" s="13">
        <f t="shared" si="3"/>
        <v>8047.3192419585366</v>
      </c>
      <c r="J45" s="13">
        <f t="shared" si="3"/>
        <v>7883.5743695489136</v>
      </c>
      <c r="K45" s="13">
        <f t="shared" si="3"/>
        <v>7799.1804383856879</v>
      </c>
    </row>
    <row r="46" spans="3:13" x14ac:dyDescent="0.35">
      <c r="C46" t="s">
        <v>248</v>
      </c>
      <c r="D46" s="13">
        <f t="shared" si="3"/>
        <v>13424.559633943103</v>
      </c>
      <c r="E46" s="13">
        <f t="shared" si="3"/>
        <v>13749.78657557796</v>
      </c>
      <c r="F46" s="13">
        <f t="shared" si="3"/>
        <v>12910.740852859217</v>
      </c>
      <c r="G46" s="13">
        <f t="shared" si="3"/>
        <v>11855.096987591824</v>
      </c>
      <c r="H46" s="13">
        <f t="shared" si="3"/>
        <v>10821.771664196693</v>
      </c>
      <c r="I46" s="13">
        <f t="shared" si="3"/>
        <v>9488.0067269410683</v>
      </c>
      <c r="J46" s="13">
        <f t="shared" si="3"/>
        <v>8844.0326928706017</v>
      </c>
      <c r="K46" s="13">
        <f t="shared" si="3"/>
        <v>8279.4096000465324</v>
      </c>
    </row>
    <row r="47" spans="3:13" x14ac:dyDescent="0.35">
      <c r="C47" t="s">
        <v>249</v>
      </c>
      <c r="D47" s="13">
        <f t="shared" si="3"/>
        <v>16949.489810802505</v>
      </c>
      <c r="E47" s="13">
        <f t="shared" si="3"/>
        <v>16834.100480329937</v>
      </c>
      <c r="F47" s="13">
        <f t="shared" si="3"/>
        <v>15554.438485503768</v>
      </c>
      <c r="G47" s="13">
        <f t="shared" si="3"/>
        <v>14058.178348128948</v>
      </c>
      <c r="H47" s="13">
        <f t="shared" si="3"/>
        <v>12584.236752626393</v>
      </c>
      <c r="I47" s="13">
        <f t="shared" si="3"/>
        <v>10809.855543263344</v>
      </c>
      <c r="J47" s="13">
        <f t="shared" si="3"/>
        <v>9725.2652370854521</v>
      </c>
      <c r="K47" s="13">
        <f t="shared" si="3"/>
        <v>8720.0258721539558</v>
      </c>
    </row>
    <row r="51" spans="1:11" s="59" customFormat="1" x14ac:dyDescent="0.35">
      <c r="A51" s="58" t="s">
        <v>312</v>
      </c>
    </row>
    <row r="52" spans="1:11" x14ac:dyDescent="0.35">
      <c r="C52" t="s">
        <v>250</v>
      </c>
      <c r="D52" s="12">
        <f>D$30-D30</f>
        <v>0</v>
      </c>
      <c r="E52" s="12">
        <f t="shared" ref="E52:K52" si="4">E$30-E30</f>
        <v>0</v>
      </c>
      <c r="F52" s="12">
        <f t="shared" si="4"/>
        <v>0</v>
      </c>
      <c r="G52" s="12">
        <f t="shared" si="4"/>
        <v>0</v>
      </c>
      <c r="H52" s="12">
        <f t="shared" si="4"/>
        <v>0</v>
      </c>
      <c r="I52" s="12">
        <f t="shared" si="4"/>
        <v>0</v>
      </c>
      <c r="J52" s="12">
        <f t="shared" si="4"/>
        <v>0</v>
      </c>
      <c r="K52" s="12">
        <f t="shared" si="4"/>
        <v>0</v>
      </c>
    </row>
    <row r="53" spans="1:11" x14ac:dyDescent="0.35">
      <c r="D53" s="12"/>
      <c r="E53" s="12"/>
      <c r="F53" s="12"/>
      <c r="G53" s="12"/>
      <c r="H53" s="12"/>
      <c r="I53" s="12"/>
      <c r="J53" s="12"/>
      <c r="K53" s="12"/>
    </row>
    <row r="54" spans="1:11" x14ac:dyDescent="0.35">
      <c r="C54" t="s">
        <v>251</v>
      </c>
      <c r="D54" s="12">
        <f>D$30-D32</f>
        <v>-2281.2389608029625</v>
      </c>
      <c r="E54" s="12">
        <f t="shared" ref="E54:G54" si="5">E$30-E32</f>
        <v>-2410.9532571077598</v>
      </c>
      <c r="F54" s="12">
        <f t="shared" si="5"/>
        <v>-2524.6974609401659</v>
      </c>
      <c r="G54" s="12">
        <f t="shared" si="5"/>
        <v>-2818.5731599921146</v>
      </c>
      <c r="H54" s="12"/>
      <c r="I54" s="12"/>
      <c r="J54" s="12"/>
      <c r="K54" s="12"/>
    </row>
    <row r="55" spans="1:11" x14ac:dyDescent="0.35">
      <c r="D55" s="12"/>
      <c r="E55" s="12"/>
      <c r="F55" s="12"/>
      <c r="G55" s="12"/>
      <c r="H55" s="12"/>
      <c r="I55" s="12"/>
      <c r="J55" s="12"/>
      <c r="K55" s="12"/>
    </row>
    <row r="56" spans="1:11" x14ac:dyDescent="0.35">
      <c r="C56" t="s">
        <v>252</v>
      </c>
      <c r="D56" s="12">
        <f t="shared" ref="D56:K56" si="6">D$30-D34</f>
        <v>702.82389640856127</v>
      </c>
      <c r="E56" s="12">
        <f t="shared" si="6"/>
        <v>927.65129491245898</v>
      </c>
      <c r="F56" s="12">
        <f t="shared" si="6"/>
        <v>1161.6701123161038</v>
      </c>
      <c r="G56" s="12">
        <f t="shared" si="6"/>
        <v>2111.7910121499226</v>
      </c>
      <c r="H56" s="12">
        <f t="shared" si="6"/>
        <v>2462.5323363969374</v>
      </c>
      <c r="I56" s="12">
        <f t="shared" si="6"/>
        <v>2731.3897768985762</v>
      </c>
      <c r="J56" s="12">
        <f t="shared" si="6"/>
        <v>3008.3615536661746</v>
      </c>
      <c r="K56" s="12">
        <f t="shared" si="6"/>
        <v>3335.7536995281325</v>
      </c>
    </row>
    <row r="57" spans="1:11" x14ac:dyDescent="0.35">
      <c r="D57" s="12"/>
      <c r="E57" s="12"/>
      <c r="F57" s="12"/>
      <c r="G57" s="12"/>
      <c r="H57" s="12"/>
      <c r="I57" s="12"/>
      <c r="J57" s="12"/>
      <c r="K57" s="12"/>
    </row>
    <row r="58" spans="1:11" x14ac:dyDescent="0.35">
      <c r="C58" t="s">
        <v>238</v>
      </c>
      <c r="D58" s="12">
        <f t="shared" ref="D58:K58" si="7">D$30-D36</f>
        <v>277.7490942752338</v>
      </c>
      <c r="E58" s="12">
        <f t="shared" si="7"/>
        <v>587.80315303629504</v>
      </c>
      <c r="F58" s="12">
        <f t="shared" si="7"/>
        <v>1178.0999686233481</v>
      </c>
      <c r="G58" s="12">
        <f t="shared" si="7"/>
        <v>1804.8634315395084</v>
      </c>
      <c r="H58" s="12">
        <f t="shared" si="7"/>
        <v>2422.6560993212879</v>
      </c>
      <c r="I58" s="12">
        <f t="shared" si="7"/>
        <v>3118.4064785021474</v>
      </c>
      <c r="J58" s="12">
        <f t="shared" si="7"/>
        <v>3638.4832234298337</v>
      </c>
      <c r="K58" s="12">
        <f t="shared" si="7"/>
        <v>4260.1883710627453</v>
      </c>
    </row>
    <row r="59" spans="1:11" x14ac:dyDescent="0.35">
      <c r="C59" t="s">
        <v>239</v>
      </c>
      <c r="D59" s="12">
        <f t="shared" ref="D59:K59" si="8">D$30-D37</f>
        <v>-1883.2821331985688</v>
      </c>
      <c r="E59" s="12">
        <f t="shared" si="8"/>
        <v>-1573.2280744375039</v>
      </c>
      <c r="F59" s="12">
        <f t="shared" si="8"/>
        <v>-982.93125885045265</v>
      </c>
      <c r="G59" s="12">
        <f t="shared" si="8"/>
        <v>-356.16779593429237</v>
      </c>
      <c r="H59" s="12">
        <f t="shared" si="8"/>
        <v>261.62487184748716</v>
      </c>
      <c r="I59" s="12">
        <f t="shared" si="8"/>
        <v>957.37525102834661</v>
      </c>
      <c r="J59" s="12">
        <f t="shared" si="8"/>
        <v>1477.451995956033</v>
      </c>
      <c r="K59" s="12">
        <f t="shared" si="8"/>
        <v>2099.1571435889446</v>
      </c>
    </row>
    <row r="60" spans="1:11" x14ac:dyDescent="0.35">
      <c r="C60" t="s">
        <v>240</v>
      </c>
      <c r="D60" s="12">
        <f t="shared" ref="D60:K60" si="9">D$30-D38</f>
        <v>-3866.0553576819802</v>
      </c>
      <c r="E60" s="12">
        <f t="shared" si="9"/>
        <v>-3556.001298920919</v>
      </c>
      <c r="F60" s="12">
        <f t="shared" si="9"/>
        <v>-2965.7044833338659</v>
      </c>
      <c r="G60" s="12">
        <f t="shared" si="9"/>
        <v>-2338.9410204177057</v>
      </c>
      <c r="H60" s="12">
        <f t="shared" si="9"/>
        <v>-1721.1483526359261</v>
      </c>
      <c r="I60" s="12">
        <f t="shared" si="9"/>
        <v>-1025.3979734550667</v>
      </c>
      <c r="J60" s="12">
        <f t="shared" si="9"/>
        <v>-505.3212285273803</v>
      </c>
      <c r="K60" s="12">
        <f t="shared" si="9"/>
        <v>116.38391910553128</v>
      </c>
    </row>
    <row r="61" spans="1:11" x14ac:dyDescent="0.35">
      <c r="C61" t="s">
        <v>241</v>
      </c>
      <c r="D61" s="12">
        <f t="shared" ref="D61:K61" si="10">D$30-D39</f>
        <v>5259.8551318514455</v>
      </c>
      <c r="E61" s="12">
        <f t="shared" si="10"/>
        <v>5569.9091906125068</v>
      </c>
      <c r="F61" s="12">
        <f t="shared" si="10"/>
        <v>6160.2060061995599</v>
      </c>
      <c r="G61" s="12">
        <f t="shared" si="10"/>
        <v>6786.9694691157201</v>
      </c>
      <c r="H61" s="12">
        <f t="shared" si="10"/>
        <v>7404.7621368974997</v>
      </c>
      <c r="I61" s="12">
        <f t="shared" si="10"/>
        <v>-5185.1035841248704</v>
      </c>
      <c r="J61" s="12">
        <f t="shared" si="10"/>
        <v>-4665.026839197184</v>
      </c>
      <c r="K61" s="12">
        <f t="shared" si="10"/>
        <v>-4043.3216915642724</v>
      </c>
    </row>
    <row r="62" spans="1:11" x14ac:dyDescent="0.35">
      <c r="C62" t="s">
        <v>242</v>
      </c>
      <c r="D62" s="12">
        <f t="shared" ref="D62:K62" si="11">D$30-D40</f>
        <v>1802.205167893364</v>
      </c>
      <c r="E62" s="12">
        <f t="shared" si="11"/>
        <v>2112.2592266544252</v>
      </c>
      <c r="F62" s="12">
        <f t="shared" si="11"/>
        <v>2702.5560422414783</v>
      </c>
      <c r="G62" s="12">
        <f t="shared" si="11"/>
        <v>3329.3195051576386</v>
      </c>
      <c r="H62" s="12">
        <f t="shared" si="11"/>
        <v>3947.1121729394181</v>
      </c>
      <c r="I62" s="12">
        <f t="shared" si="11"/>
        <v>-5185.1035841248704</v>
      </c>
      <c r="J62" s="12">
        <f t="shared" si="11"/>
        <v>-4665.026839197184</v>
      </c>
      <c r="K62" s="12">
        <f t="shared" si="11"/>
        <v>-4043.3216915642724</v>
      </c>
    </row>
    <row r="63" spans="1:11" x14ac:dyDescent="0.35">
      <c r="C63" t="s">
        <v>243</v>
      </c>
      <c r="D63" s="12">
        <f t="shared" ref="D63:K63" si="12">D$30-D41</f>
        <v>-1370.2319912800958</v>
      </c>
      <c r="E63" s="12">
        <f t="shared" si="12"/>
        <v>-1060.1779325190382</v>
      </c>
      <c r="F63" s="12">
        <f t="shared" si="12"/>
        <v>-469.88111693198334</v>
      </c>
      <c r="G63" s="12">
        <f t="shared" si="12"/>
        <v>156.88234598417694</v>
      </c>
      <c r="H63" s="12">
        <f t="shared" si="12"/>
        <v>774.67501376595646</v>
      </c>
      <c r="I63" s="12">
        <f t="shared" si="12"/>
        <v>-5185.1035841248704</v>
      </c>
      <c r="J63" s="12">
        <f t="shared" si="12"/>
        <v>-4665.026839197184</v>
      </c>
      <c r="K63" s="12">
        <f t="shared" si="12"/>
        <v>-4043.3216915642724</v>
      </c>
    </row>
    <row r="64" spans="1:11" x14ac:dyDescent="0.35">
      <c r="C64" t="s">
        <v>244</v>
      </c>
      <c r="D64" s="12">
        <f t="shared" ref="D64:K64" si="13">D$30-D42</f>
        <v>2823.6027412239273</v>
      </c>
      <c r="E64" s="12">
        <f t="shared" si="13"/>
        <v>2714.520313564095</v>
      </c>
      <c r="F64" s="12">
        <f t="shared" si="13"/>
        <v>2506.8435944093671</v>
      </c>
      <c r="G64" s="12">
        <f t="shared" si="13"/>
        <v>2286.3372724583787</v>
      </c>
      <c r="H64" s="12">
        <f t="shared" si="13"/>
        <v>2068.9870327570698</v>
      </c>
      <c r="I64" s="12">
        <f t="shared" si="13"/>
        <v>1824.2099099883453</v>
      </c>
      <c r="J64" s="12">
        <f t="shared" si="13"/>
        <v>1641.2378368833324</v>
      </c>
      <c r="K64" s="12">
        <f t="shared" si="13"/>
        <v>1422.511118505894</v>
      </c>
    </row>
    <row r="65" spans="1:11" x14ac:dyDescent="0.35">
      <c r="C65" t="s">
        <v>245</v>
      </c>
      <c r="D65" s="12">
        <f t="shared" ref="D65:K65" si="14">D$30-D43</f>
        <v>0</v>
      </c>
      <c r="E65" s="12">
        <f t="shared" si="14"/>
        <v>0</v>
      </c>
      <c r="F65" s="12">
        <f t="shared" si="14"/>
        <v>0</v>
      </c>
      <c r="G65" s="12">
        <f t="shared" si="14"/>
        <v>0</v>
      </c>
      <c r="H65" s="12">
        <f t="shared" si="14"/>
        <v>0</v>
      </c>
      <c r="I65" s="12">
        <f t="shared" si="14"/>
        <v>0</v>
      </c>
      <c r="J65" s="12">
        <f t="shared" si="14"/>
        <v>0</v>
      </c>
      <c r="K65" s="12">
        <f t="shared" si="14"/>
        <v>0</v>
      </c>
    </row>
    <row r="66" spans="1:11" x14ac:dyDescent="0.35">
      <c r="C66" t="s">
        <v>246</v>
      </c>
      <c r="D66" s="12">
        <f t="shared" ref="D66:K66" si="15">D$30-D44</f>
        <v>-2590.690889007361</v>
      </c>
      <c r="E66" s="12">
        <f t="shared" si="15"/>
        <v>-2490.6063950510234</v>
      </c>
      <c r="F66" s="12">
        <f t="shared" si="15"/>
        <v>-2300.0604034644457</v>
      </c>
      <c r="G66" s="12">
        <f t="shared" si="15"/>
        <v>-2097.7430905837609</v>
      </c>
      <c r="H66" s="12">
        <f t="shared" si="15"/>
        <v>-1898.3215227063793</v>
      </c>
      <c r="I66" s="12">
        <f t="shared" si="15"/>
        <v>-1673.7354460122169</v>
      </c>
      <c r="J66" s="12">
        <f t="shared" si="15"/>
        <v>-1505.8562766746509</v>
      </c>
      <c r="K66" s="12">
        <f t="shared" si="15"/>
        <v>-1305.1717723674747</v>
      </c>
    </row>
    <row r="67" spans="1:11" x14ac:dyDescent="0.35">
      <c r="C67" t="s">
        <v>247</v>
      </c>
      <c r="D67" s="12">
        <f t="shared" ref="D67:K67" si="16">D$30-D45</f>
        <v>6736.0346985406904</v>
      </c>
      <c r="E67" s="12">
        <f t="shared" si="16"/>
        <v>5200.8642989401924</v>
      </c>
      <c r="F67" s="12">
        <f t="shared" si="16"/>
        <v>3945.9366561656843</v>
      </c>
      <c r="G67" s="12">
        <f t="shared" si="16"/>
        <v>2727.4756607202853</v>
      </c>
      <c r="H67" s="12">
        <f t="shared" si="16"/>
        <v>1500.0438701405037</v>
      </c>
      <c r="I67" s="12">
        <f t="shared" si="16"/>
        <v>350.56979095980478</v>
      </c>
      <c r="J67" s="12">
        <f t="shared" si="16"/>
        <v>-974.57792247406815</v>
      </c>
      <c r="K67" s="12">
        <f t="shared" si="16"/>
        <v>-2198.0972332027159</v>
      </c>
    </row>
    <row r="68" spans="1:11" x14ac:dyDescent="0.35">
      <c r="C68" t="s">
        <v>248</v>
      </c>
      <c r="D68" s="12">
        <f t="shared" ref="D68:K68" si="17">D$30-D46</f>
        <v>2894.2014052539344</v>
      </c>
      <c r="E68" s="12">
        <f t="shared" si="17"/>
        <v>1839.2601673142799</v>
      </c>
      <c r="F68" s="12">
        <f t="shared" si="17"/>
        <v>1064.5616862006173</v>
      </c>
      <c r="G68" s="12">
        <f t="shared" si="17"/>
        <v>326.32985241606184</v>
      </c>
      <c r="H68" s="12">
        <f t="shared" si="17"/>
        <v>-420.87277650287251</v>
      </c>
      <c r="I68" s="12">
        <f t="shared" si="17"/>
        <v>-1090.1176940227269</v>
      </c>
      <c r="J68" s="12">
        <f t="shared" si="17"/>
        <v>-1935.0362457957563</v>
      </c>
      <c r="K68" s="12">
        <f t="shared" si="17"/>
        <v>-2678.3263948635604</v>
      </c>
    </row>
    <row r="69" spans="1:11" x14ac:dyDescent="0.35">
      <c r="C69" t="s">
        <v>249</v>
      </c>
      <c r="D69" s="12">
        <f t="shared" ref="D69:K69" si="18">D$30-D47</f>
        <v>-630.72877160546705</v>
      </c>
      <c r="E69" s="12">
        <f t="shared" si="18"/>
        <v>-1245.0537374376963</v>
      </c>
      <c r="F69" s="12">
        <f t="shared" si="18"/>
        <v>-1579.1359464439338</v>
      </c>
      <c r="G69" s="12">
        <f t="shared" si="18"/>
        <v>-1876.7515081210622</v>
      </c>
      <c r="H69" s="12">
        <f t="shared" si="18"/>
        <v>-2183.3378649325732</v>
      </c>
      <c r="I69" s="12">
        <f t="shared" si="18"/>
        <v>-2411.9665103450025</v>
      </c>
      <c r="J69" s="12">
        <f t="shared" si="18"/>
        <v>-2816.2687900106066</v>
      </c>
      <c r="K69" s="12">
        <f t="shared" si="18"/>
        <v>-3118.9426669709837</v>
      </c>
    </row>
    <row r="71" spans="1:11" s="59" customFormat="1" x14ac:dyDescent="0.35">
      <c r="A71" s="58" t="s">
        <v>313</v>
      </c>
    </row>
    <row r="72" spans="1:11" x14ac:dyDescent="0.35">
      <c r="C72" t="s">
        <v>250</v>
      </c>
      <c r="D72" s="4" t="s">
        <v>311</v>
      </c>
      <c r="E72" s="4" t="s">
        <v>311</v>
      </c>
      <c r="F72" s="4" t="s">
        <v>311</v>
      </c>
      <c r="G72" s="4" t="s">
        <v>311</v>
      </c>
      <c r="H72" s="4" t="s">
        <v>311</v>
      </c>
      <c r="I72" s="4" t="s">
        <v>311</v>
      </c>
      <c r="J72" s="4" t="s">
        <v>311</v>
      </c>
      <c r="K72" s="4" t="s">
        <v>311</v>
      </c>
    </row>
    <row r="73" spans="1:11" x14ac:dyDescent="0.35">
      <c r="D73" s="4"/>
      <c r="E73" s="4"/>
      <c r="F73" s="4"/>
      <c r="G73" s="4"/>
      <c r="H73" s="4"/>
      <c r="I73" s="4"/>
      <c r="J73" s="4"/>
      <c r="K73" s="4"/>
    </row>
    <row r="74" spans="1:11" x14ac:dyDescent="0.35">
      <c r="C74" t="s">
        <v>251</v>
      </c>
      <c r="D74" s="4">
        <f t="shared" ref="D74:G74" si="19">D54/D32</f>
        <v>-0.12264725595714852</v>
      </c>
      <c r="E74" s="4">
        <f t="shared" si="19"/>
        <v>-0.13394184761709776</v>
      </c>
      <c r="F74" s="4">
        <f t="shared" si="19"/>
        <v>-0.15301196732970704</v>
      </c>
      <c r="G74" s="4">
        <f t="shared" si="19"/>
        <v>-0.18790487733280764</v>
      </c>
      <c r="H74" s="4"/>
      <c r="I74" s="4"/>
      <c r="J74" s="4"/>
      <c r="K74" s="4"/>
    </row>
    <row r="75" spans="1:11" x14ac:dyDescent="0.35">
      <c r="D75" s="4"/>
      <c r="E75" s="4"/>
      <c r="F75" s="4"/>
      <c r="G75" s="4"/>
      <c r="H75" s="4"/>
      <c r="I75" s="4"/>
      <c r="J75" s="4"/>
      <c r="K75" s="4"/>
    </row>
    <row r="76" spans="1:11" x14ac:dyDescent="0.35">
      <c r="C76" t="s">
        <v>252</v>
      </c>
      <c r="D76" s="4">
        <f t="shared" ref="D76:K76" si="20">D56/D34</f>
        <v>4.5006834363003893E-2</v>
      </c>
      <c r="E76" s="4">
        <f t="shared" si="20"/>
        <v>6.3271691852516104E-2</v>
      </c>
      <c r="F76" s="4">
        <f t="shared" si="20"/>
        <v>9.0658922749457527E-2</v>
      </c>
      <c r="G76" s="4">
        <f t="shared" si="20"/>
        <v>0.20971870763266201</v>
      </c>
      <c r="H76" s="4">
        <f t="shared" si="20"/>
        <v>0.31020642854979225</v>
      </c>
      <c r="I76" s="4">
        <f t="shared" si="20"/>
        <v>0.4820242010968066</v>
      </c>
      <c r="J76" s="4">
        <f t="shared" si="20"/>
        <v>0.77124920323861423</v>
      </c>
      <c r="K76" s="4">
        <f t="shared" si="20"/>
        <v>1.4725247215476784</v>
      </c>
    </row>
    <row r="77" spans="1:11" x14ac:dyDescent="0.35">
      <c r="D77" s="4"/>
      <c r="E77" s="4"/>
      <c r="F77" s="4"/>
      <c r="G77" s="4"/>
      <c r="H77" s="4"/>
      <c r="I77" s="4"/>
      <c r="J77" s="4"/>
      <c r="K77" s="4"/>
    </row>
    <row r="78" spans="1:11" x14ac:dyDescent="0.35">
      <c r="C78" t="s">
        <v>238</v>
      </c>
      <c r="D78" s="4">
        <f t="shared" ref="D78:K78" si="21">D58/D36</f>
        <v>1.7314935942252849E-2</v>
      </c>
      <c r="E78" s="4">
        <f t="shared" si="21"/>
        <v>3.9183628311573841E-2</v>
      </c>
      <c r="F78" s="4">
        <f t="shared" si="21"/>
        <v>9.2059179507319899E-2</v>
      </c>
      <c r="G78" s="4">
        <f t="shared" si="21"/>
        <v>0.17393652989838121</v>
      </c>
      <c r="H78" s="4">
        <f t="shared" si="21"/>
        <v>0.30365785594442674</v>
      </c>
      <c r="I78" s="4">
        <f t="shared" si="21"/>
        <v>0.59066517340674896</v>
      </c>
      <c r="J78" s="4">
        <f t="shared" si="21"/>
        <v>1.1125113933570085</v>
      </c>
      <c r="K78" s="4">
        <f t="shared" si="21"/>
        <v>3.1771234124098133</v>
      </c>
    </row>
    <row r="79" spans="1:11" x14ac:dyDescent="0.35">
      <c r="C79" t="s">
        <v>239</v>
      </c>
      <c r="D79" s="4">
        <f t="shared" ref="D79:K79" si="22">D59/D37</f>
        <v>-0.10346542502737655</v>
      </c>
      <c r="E79" s="4">
        <f t="shared" si="22"/>
        <v>-9.166780576482346E-2</v>
      </c>
      <c r="F79" s="4">
        <f t="shared" si="22"/>
        <v>-6.5711719186243189E-2</v>
      </c>
      <c r="G79" s="4">
        <f t="shared" si="22"/>
        <v>-2.8407984647489521E-2</v>
      </c>
      <c r="H79" s="4">
        <f t="shared" si="22"/>
        <v>2.5803116814734701E-2</v>
      </c>
      <c r="I79" s="4">
        <f t="shared" si="22"/>
        <v>0.12867058365761938</v>
      </c>
      <c r="J79" s="4">
        <f t="shared" si="22"/>
        <v>0.27201323845406461</v>
      </c>
      <c r="K79" s="4">
        <f t="shared" si="22"/>
        <v>0.59942931594433424</v>
      </c>
    </row>
    <row r="80" spans="1:11" x14ac:dyDescent="0.35">
      <c r="C80" t="s">
        <v>240</v>
      </c>
      <c r="D80" s="4">
        <f t="shared" ref="D80:K80" si="23">D60/D38</f>
        <v>-0.19153284734756126</v>
      </c>
      <c r="E80" s="4">
        <f t="shared" si="23"/>
        <v>-0.18574000395060605</v>
      </c>
      <c r="F80" s="4">
        <f t="shared" si="23"/>
        <v>-0.17506069618019809</v>
      </c>
      <c r="G80" s="4">
        <f t="shared" si="23"/>
        <v>-0.16108001139505232</v>
      </c>
      <c r="H80" s="4">
        <f t="shared" si="23"/>
        <v>-0.14198495670844352</v>
      </c>
      <c r="I80" s="4">
        <f t="shared" si="23"/>
        <v>-0.10881531813278554</v>
      </c>
      <c r="J80" s="4">
        <f t="shared" si="23"/>
        <v>-6.815478519219717E-2</v>
      </c>
      <c r="K80" s="4">
        <f t="shared" si="23"/>
        <v>2.1219744790924897E-2</v>
      </c>
    </row>
    <row r="81" spans="1:11" x14ac:dyDescent="0.35">
      <c r="C81" t="s">
        <v>241</v>
      </c>
      <c r="D81" s="4">
        <f t="shared" ref="D81:K81" si="24">D61/D39</f>
        <v>0.47562165515466798</v>
      </c>
      <c r="E81" s="4">
        <f t="shared" si="24"/>
        <v>0.55592701083788809</v>
      </c>
      <c r="F81" s="4">
        <f t="shared" si="24"/>
        <v>0.78824439087829989</v>
      </c>
      <c r="G81" s="4">
        <f t="shared" si="24"/>
        <v>1.2581375664839582</v>
      </c>
      <c r="H81" s="4">
        <f t="shared" si="24"/>
        <v>2.4714366375064301</v>
      </c>
      <c r="I81" s="4">
        <f t="shared" si="24"/>
        <v>-0.38173499245069753</v>
      </c>
      <c r="J81" s="4">
        <f t="shared" si="24"/>
        <v>-0.40306008756094186</v>
      </c>
      <c r="K81" s="4">
        <f t="shared" si="24"/>
        <v>-0.41924014336311805</v>
      </c>
    </row>
    <row r="82" spans="1:11" x14ac:dyDescent="0.35">
      <c r="C82" t="s">
        <v>242</v>
      </c>
      <c r="D82" s="4">
        <f t="shared" ref="D82:K82" si="25">D62/D40</f>
        <v>0.12414826105246927</v>
      </c>
      <c r="E82" s="4">
        <f t="shared" si="25"/>
        <v>0.15673314015743153</v>
      </c>
      <c r="F82" s="4">
        <f t="shared" si="25"/>
        <v>0.23974246586705852</v>
      </c>
      <c r="G82" s="4">
        <f t="shared" si="25"/>
        <v>0.37610473746181272</v>
      </c>
      <c r="H82" s="4">
        <f t="shared" si="25"/>
        <v>0.61159631506192791</v>
      </c>
      <c r="I82" s="4">
        <f t="shared" si="25"/>
        <v>-0.38173499245069753</v>
      </c>
      <c r="J82" s="4">
        <f t="shared" si="25"/>
        <v>-0.40306008756094186</v>
      </c>
      <c r="K82" s="4">
        <f t="shared" si="25"/>
        <v>-0.41924014336311805</v>
      </c>
    </row>
    <row r="83" spans="1:11" x14ac:dyDescent="0.35">
      <c r="C83" t="s">
        <v>243</v>
      </c>
      <c r="D83" s="4">
        <f t="shared" ref="D83:K83" si="26">D63/D41</f>
        <v>-7.7462407776364872E-2</v>
      </c>
      <c r="E83" s="4">
        <f t="shared" si="26"/>
        <v>-6.3677315501951395E-2</v>
      </c>
      <c r="F83" s="4">
        <f t="shared" si="26"/>
        <v>-3.2528566484308984E-2</v>
      </c>
      <c r="G83" s="4">
        <f t="shared" si="26"/>
        <v>1.3046843151700979E-2</v>
      </c>
      <c r="H83" s="4">
        <f t="shared" si="26"/>
        <v>8.0475482796958861E-2</v>
      </c>
      <c r="I83" s="4">
        <f t="shared" si="26"/>
        <v>-0.38173499245069753</v>
      </c>
      <c r="J83" s="4">
        <f t="shared" si="26"/>
        <v>-0.40306008756094186</v>
      </c>
      <c r="K83" s="4">
        <f t="shared" si="26"/>
        <v>-0.41924014336311805</v>
      </c>
    </row>
    <row r="84" spans="1:11" x14ac:dyDescent="0.35">
      <c r="C84" t="s">
        <v>244</v>
      </c>
      <c r="D84" s="4">
        <f t="shared" ref="D84:K84" si="27">D64/D42</f>
        <v>0.20923079810394035</v>
      </c>
      <c r="E84" s="4">
        <f t="shared" si="27"/>
        <v>0.21084428452299597</v>
      </c>
      <c r="F84" s="4">
        <f t="shared" si="27"/>
        <v>0.21858591520517234</v>
      </c>
      <c r="G84" s="4">
        <f t="shared" si="27"/>
        <v>0.23105776424261151</v>
      </c>
      <c r="H84" s="4">
        <f t="shared" si="27"/>
        <v>0.24832080184947852</v>
      </c>
      <c r="I84" s="4">
        <f t="shared" si="27"/>
        <v>0.27750212261277291</v>
      </c>
      <c r="J84" s="4">
        <f t="shared" si="27"/>
        <v>0.31156284073230606</v>
      </c>
      <c r="K84" s="4">
        <f t="shared" si="27"/>
        <v>0.34042995765022599</v>
      </c>
    </row>
    <row r="85" spans="1:11" x14ac:dyDescent="0.35">
      <c r="C85" t="s">
        <v>245</v>
      </c>
      <c r="D85" s="4">
        <f t="shared" ref="D85:K85" si="28">D65/D43</f>
        <v>0</v>
      </c>
      <c r="E85" s="4">
        <f t="shared" si="28"/>
        <v>0</v>
      </c>
      <c r="F85" s="4">
        <f t="shared" si="28"/>
        <v>0</v>
      </c>
      <c r="G85" s="4">
        <f t="shared" si="28"/>
        <v>0</v>
      </c>
      <c r="H85" s="4">
        <f t="shared" si="28"/>
        <v>0</v>
      </c>
      <c r="I85" s="4">
        <f t="shared" si="28"/>
        <v>0</v>
      </c>
      <c r="J85" s="4">
        <f t="shared" si="28"/>
        <v>0</v>
      </c>
      <c r="K85" s="4">
        <f t="shared" si="28"/>
        <v>0</v>
      </c>
    </row>
    <row r="86" spans="1:11" x14ac:dyDescent="0.35">
      <c r="C86" t="s">
        <v>246</v>
      </c>
      <c r="D86" s="4">
        <f t="shared" ref="D86:K86" si="29">D66/D44</f>
        <v>-0.13700507549577443</v>
      </c>
      <c r="E86" s="4">
        <f t="shared" si="29"/>
        <v>-0.137757421342562</v>
      </c>
      <c r="F86" s="4">
        <f t="shared" si="29"/>
        <v>-0.14132160441441502</v>
      </c>
      <c r="G86" s="4">
        <f t="shared" si="29"/>
        <v>-0.14690931621239153</v>
      </c>
      <c r="H86" s="4">
        <f t="shared" si="29"/>
        <v>-0.1543448657202014</v>
      </c>
      <c r="I86" s="4">
        <f t="shared" si="29"/>
        <v>-0.16618326562051688</v>
      </c>
      <c r="J86" s="4">
        <f t="shared" si="29"/>
        <v>-0.17895218444223351</v>
      </c>
      <c r="K86" s="4">
        <f t="shared" si="29"/>
        <v>-0.18898401182841951</v>
      </c>
    </row>
    <row r="87" spans="1:11" x14ac:dyDescent="0.35">
      <c r="C87" t="s">
        <v>247</v>
      </c>
      <c r="D87" s="4">
        <f t="shared" ref="D87:K87" si="30">D67/D45</f>
        <v>0.70293509999987347</v>
      </c>
      <c r="E87" s="4">
        <f t="shared" si="30"/>
        <v>0.50065199826829299</v>
      </c>
      <c r="F87" s="4">
        <f t="shared" si="30"/>
        <v>0.39343829931419505</v>
      </c>
      <c r="G87" s="4">
        <f t="shared" si="30"/>
        <v>0.2885011366142694</v>
      </c>
      <c r="H87" s="4">
        <f t="shared" si="30"/>
        <v>0.1685280646839295</v>
      </c>
      <c r="I87" s="4">
        <f t="shared" si="30"/>
        <v>4.3563549601952162E-2</v>
      </c>
      <c r="J87" s="4">
        <f t="shared" si="30"/>
        <v>-0.12362132667111911</v>
      </c>
      <c r="K87" s="4">
        <f t="shared" si="30"/>
        <v>-0.28183695076269943</v>
      </c>
    </row>
    <row r="88" spans="1:11" x14ac:dyDescent="0.35">
      <c r="C88" t="s">
        <v>248</v>
      </c>
      <c r="D88" s="4">
        <f t="shared" ref="D88:K88" si="31">D68/D46</f>
        <v>0.21559004423028813</v>
      </c>
      <c r="E88" s="4">
        <f t="shared" si="31"/>
        <v>0.13376645209760052</v>
      </c>
      <c r="F88" s="4">
        <f t="shared" si="31"/>
        <v>8.2455507265863759E-2</v>
      </c>
      <c r="G88" s="4">
        <f t="shared" si="31"/>
        <v>2.7526544300533015E-2</v>
      </c>
      <c r="H88" s="4">
        <f t="shared" si="31"/>
        <v>-3.8891300755800433E-2</v>
      </c>
      <c r="I88" s="4">
        <f t="shared" si="31"/>
        <v>-0.11489427920907268</v>
      </c>
      <c r="J88" s="4">
        <f t="shared" si="31"/>
        <v>-0.21879569117328546</v>
      </c>
      <c r="K88" s="4">
        <f t="shared" si="31"/>
        <v>-0.32349243777581765</v>
      </c>
    </row>
    <row r="89" spans="1:11" x14ac:dyDescent="0.35">
      <c r="C89" t="s">
        <v>249</v>
      </c>
      <c r="D89" s="4">
        <f t="shared" ref="D89:K89" si="32">D69/D47</f>
        <v>-3.7212257044072293E-2</v>
      </c>
      <c r="E89" s="4">
        <f t="shared" si="32"/>
        <v>-7.3960217767055539E-2</v>
      </c>
      <c r="F89" s="4">
        <f t="shared" si="32"/>
        <v>-0.10152317281756183</v>
      </c>
      <c r="G89" s="4">
        <f t="shared" si="32"/>
        <v>-0.13349891156921093</v>
      </c>
      <c r="H89" s="4">
        <f t="shared" si="32"/>
        <v>-0.17349783764016516</v>
      </c>
      <c r="I89" s="4">
        <f t="shared" si="32"/>
        <v>-0.22312661817651483</v>
      </c>
      <c r="J89" s="4">
        <f t="shared" si="32"/>
        <v>-0.28958272307795785</v>
      </c>
      <c r="K89" s="4">
        <f t="shared" si="32"/>
        <v>-0.35767585012916547</v>
      </c>
    </row>
    <row r="92" spans="1:11" s="59" customFormat="1" x14ac:dyDescent="0.35">
      <c r="A92" s="58" t="s">
        <v>253</v>
      </c>
    </row>
    <row r="94" spans="1:11" x14ac:dyDescent="0.35">
      <c r="B94" t="s">
        <v>254</v>
      </c>
      <c r="C94" t="s">
        <v>255</v>
      </c>
      <c r="D94" s="12">
        <f>D30</f>
        <v>16318.761039197037</v>
      </c>
      <c r="E94" s="12">
        <f t="shared" ref="E94:K94" si="33">E30</f>
        <v>15589.04674289224</v>
      </c>
      <c r="F94" s="12">
        <f t="shared" si="33"/>
        <v>13975.302539059834</v>
      </c>
      <c r="G94" s="12">
        <f t="shared" si="33"/>
        <v>12181.426840007885</v>
      </c>
      <c r="H94" s="12">
        <f t="shared" si="33"/>
        <v>10400.89888769382</v>
      </c>
      <c r="I94" s="12">
        <f t="shared" si="33"/>
        <v>8397.8890329183414</v>
      </c>
      <c r="J94" s="12">
        <f t="shared" si="33"/>
        <v>6908.9964470748455</v>
      </c>
      <c r="K94" s="12">
        <f t="shared" si="33"/>
        <v>5601.0832051829721</v>
      </c>
    </row>
    <row r="95" spans="1:11" x14ac:dyDescent="0.35">
      <c r="C95" t="s">
        <v>256</v>
      </c>
      <c r="D95" s="12">
        <f>D34</f>
        <v>15615.937142788476</v>
      </c>
      <c r="E95" s="12">
        <f t="shared" ref="E95:K95" si="34">E34</f>
        <v>14661.395447979781</v>
      </c>
      <c r="F95" s="12">
        <f t="shared" si="34"/>
        <v>12813.63242674373</v>
      </c>
      <c r="G95" s="12">
        <f t="shared" si="34"/>
        <v>10069.635827857963</v>
      </c>
      <c r="H95" s="12">
        <f t="shared" si="34"/>
        <v>7938.3665512968828</v>
      </c>
      <c r="I95" s="12">
        <f t="shared" si="34"/>
        <v>5666.4992560197652</v>
      </c>
      <c r="J95" s="12">
        <f t="shared" si="34"/>
        <v>3900.6348934086709</v>
      </c>
      <c r="K95" s="12">
        <f t="shared" si="34"/>
        <v>2265.3295056548395</v>
      </c>
    </row>
    <row r="97" spans="2:11" x14ac:dyDescent="0.35">
      <c r="B97" t="s">
        <v>257</v>
      </c>
      <c r="C97" t="s">
        <v>258</v>
      </c>
      <c r="D97" s="12">
        <f>D42</f>
        <v>13495.15829797311</v>
      </c>
      <c r="E97" s="12">
        <f t="shared" ref="E97:K97" si="35">E42</f>
        <v>12874.526429328145</v>
      </c>
      <c r="F97" s="12">
        <f t="shared" si="35"/>
        <v>11468.458944650467</v>
      </c>
      <c r="G97" s="12">
        <f t="shared" si="35"/>
        <v>9895.0895675495067</v>
      </c>
      <c r="H97" s="12">
        <f t="shared" si="35"/>
        <v>8331.9118549367504</v>
      </c>
      <c r="I97" s="12">
        <f t="shared" si="35"/>
        <v>6573.6791229299961</v>
      </c>
      <c r="J97" s="12">
        <f t="shared" si="35"/>
        <v>5267.7586101915131</v>
      </c>
      <c r="K97" s="12">
        <f t="shared" si="35"/>
        <v>4178.572086677078</v>
      </c>
    </row>
    <row r="98" spans="2:11" x14ac:dyDescent="0.35">
      <c r="C98" t="s">
        <v>259</v>
      </c>
      <c r="D98" s="12">
        <f>D44-D42</f>
        <v>5414.2936302312883</v>
      </c>
      <c r="E98" s="12">
        <f t="shared" ref="E98:K98" si="36">E44-E42</f>
        <v>5205.1267086151183</v>
      </c>
      <c r="F98" s="12">
        <f t="shared" si="36"/>
        <v>4806.9039978738128</v>
      </c>
      <c r="G98" s="12">
        <f t="shared" si="36"/>
        <v>4384.0803630421397</v>
      </c>
      <c r="H98" s="12">
        <f t="shared" si="36"/>
        <v>3967.308555463449</v>
      </c>
      <c r="I98" s="12">
        <f t="shared" si="36"/>
        <v>3497.9453560005622</v>
      </c>
      <c r="J98" s="12">
        <f t="shared" si="36"/>
        <v>3147.0941135579833</v>
      </c>
      <c r="K98" s="12">
        <f t="shared" si="36"/>
        <v>2727.6828908733687</v>
      </c>
    </row>
    <row r="99" spans="2:11" x14ac:dyDescent="0.35">
      <c r="C99" t="s">
        <v>260</v>
      </c>
      <c r="D99" s="12">
        <f>D30</f>
        <v>16318.761039197037</v>
      </c>
      <c r="E99" s="12">
        <f t="shared" ref="E99:K99" si="37">E30</f>
        <v>15589.04674289224</v>
      </c>
      <c r="F99" s="12">
        <f t="shared" si="37"/>
        <v>13975.302539059834</v>
      </c>
      <c r="G99" s="12">
        <f t="shared" si="37"/>
        <v>12181.426840007885</v>
      </c>
      <c r="H99" s="12">
        <f t="shared" si="37"/>
        <v>10400.89888769382</v>
      </c>
      <c r="I99" s="12">
        <f t="shared" si="37"/>
        <v>8397.8890329183414</v>
      </c>
      <c r="J99" s="12">
        <f t="shared" si="37"/>
        <v>6908.9964470748455</v>
      </c>
      <c r="K99" s="12">
        <f t="shared" si="37"/>
        <v>5601.0832051829721</v>
      </c>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A604A-DFB1-4133-A78D-F23705CC0D83}">
  <sheetPr>
    <tabColor theme="5"/>
  </sheetPr>
  <dimension ref="A1:J74"/>
  <sheetViews>
    <sheetView zoomScaleNormal="100" workbookViewId="0">
      <pane ySplit="1" topLeftCell="A2" activePane="bottomLeft" state="frozen"/>
      <selection pane="bottomLeft"/>
    </sheetView>
  </sheetViews>
  <sheetFormatPr defaultRowHeight="14.5" x14ac:dyDescent="0.35"/>
  <cols>
    <col min="2" max="2" width="15.1796875" customWidth="1"/>
    <col min="3" max="3" width="33" customWidth="1"/>
    <col min="4" max="8" width="12" bestFit="1" customWidth="1"/>
    <col min="9" max="9" width="12" customWidth="1"/>
    <col min="10" max="10" width="11.54296875" style="6" bestFit="1" customWidth="1"/>
  </cols>
  <sheetData>
    <row r="1" spans="1:10" x14ac:dyDescent="0.35">
      <c r="D1">
        <v>2023</v>
      </c>
      <c r="E1">
        <v>2024</v>
      </c>
      <c r="F1">
        <v>2025</v>
      </c>
      <c r="G1">
        <v>2026</v>
      </c>
      <c r="H1">
        <v>2027</v>
      </c>
      <c r="J1" s="6" t="s">
        <v>261</v>
      </c>
    </row>
    <row r="2" spans="1:10" s="59" customFormat="1" x14ac:dyDescent="0.35">
      <c r="A2" s="58" t="s">
        <v>356</v>
      </c>
      <c r="J2" s="90"/>
    </row>
    <row r="3" spans="1:10" x14ac:dyDescent="0.35">
      <c r="B3" s="2" t="s">
        <v>262</v>
      </c>
      <c r="C3" t="s">
        <v>263</v>
      </c>
      <c r="D3" s="6">
        <f>'5. Surplus reduction volume'!D43</f>
        <v>8025.760968351784</v>
      </c>
      <c r="E3" s="6">
        <f>'5. Surplus reduction volume'!E43</f>
        <v>7715.7069095907227</v>
      </c>
      <c r="F3" s="6">
        <f>'5. Surplus reduction volume'!F43</f>
        <v>7125.4100940036687</v>
      </c>
      <c r="G3" s="6">
        <f>'5. Surplus reduction volume'!G43</f>
        <v>6498.6466310875094</v>
      </c>
      <c r="H3" s="6">
        <f>'5. Surplus reduction volume'!H43</f>
        <v>5880.8539633057308</v>
      </c>
      <c r="I3" s="6"/>
      <c r="J3" s="6">
        <f>SUM(D3:H3)</f>
        <v>35246.378566339416</v>
      </c>
    </row>
    <row r="4" spans="1:10" x14ac:dyDescent="0.35">
      <c r="D4" s="6"/>
      <c r="E4" s="6"/>
      <c r="F4" s="6"/>
      <c r="G4" s="6"/>
      <c r="H4" s="6"/>
      <c r="I4" s="6"/>
    </row>
    <row r="5" spans="1:10" x14ac:dyDescent="0.35">
      <c r="C5" t="s">
        <v>264</v>
      </c>
      <c r="D5" s="6">
        <f>'2. Allocate emissions budget'!E48</f>
        <v>1725.5851263044024</v>
      </c>
      <c r="E5" s="6">
        <f>'2. Allocate emissions budget'!F48</f>
        <v>2583.8638699357252</v>
      </c>
      <c r="F5" s="6">
        <f>'2. Allocate emissions budget'!G48</f>
        <v>3665.931928538208</v>
      </c>
      <c r="G5" s="6">
        <f>'2. Allocate emissions budget'!H48</f>
        <v>5254.6360057103884</v>
      </c>
      <c r="H5" s="6">
        <f>'2. Allocate emissions budget'!I48</f>
        <v>6142.7291108220379</v>
      </c>
      <c r="I5" s="6"/>
      <c r="J5" s="6">
        <f>'2. Allocate emissions budget'!J48</f>
        <v>7118.9737629902738</v>
      </c>
    </row>
    <row r="6" spans="1:10" x14ac:dyDescent="0.35">
      <c r="C6" t="s">
        <v>55</v>
      </c>
      <c r="D6" s="6">
        <f>'2. Allocate emissions budget'!E49</f>
        <v>702.82389640856127</v>
      </c>
      <c r="E6" s="6">
        <f>'2. Allocate emissions budget'!F49</f>
        <v>927.65129491245898</v>
      </c>
      <c r="F6" s="6">
        <f>'2. Allocate emissions budget'!G49</f>
        <v>1161.6701123161038</v>
      </c>
      <c r="G6" s="6">
        <f>'2. Allocate emissions budget'!H49</f>
        <v>2111.7910121499226</v>
      </c>
      <c r="H6" s="6">
        <f>'2. Allocate emissions budget'!I49</f>
        <v>2462.5323363969364</v>
      </c>
      <c r="I6" s="6"/>
      <c r="J6" s="6">
        <f>'2. Allocate emissions budget'!J49</f>
        <v>2731.3897768985771</v>
      </c>
    </row>
    <row r="7" spans="1:10" x14ac:dyDescent="0.35">
      <c r="C7" t="s">
        <v>265</v>
      </c>
      <c r="D7" s="34">
        <f>D5-D6</f>
        <v>1022.7612298958411</v>
      </c>
      <c r="E7" s="34">
        <f>'2. Allocate emissions budget'!F50</f>
        <v>1656.2125750232663</v>
      </c>
      <c r="F7" s="34">
        <f>'2. Allocate emissions budget'!G50</f>
        <v>2504.2618162221042</v>
      </c>
      <c r="G7" s="34">
        <f>'2. Allocate emissions budget'!H50</f>
        <v>3142.8449935604658</v>
      </c>
      <c r="H7" s="34">
        <f>'2. Allocate emissions budget'!I50</f>
        <v>3680.1967744251015</v>
      </c>
      <c r="I7" s="34"/>
      <c r="J7" s="34">
        <f>'2. Allocate emissions budget'!J50</f>
        <v>4387.5839860916967</v>
      </c>
    </row>
    <row r="8" spans="1:10" x14ac:dyDescent="0.35">
      <c r="C8" t="s">
        <v>266</v>
      </c>
      <c r="D8" s="36">
        <f>D7/D3</f>
        <v>0.12743479826136425</v>
      </c>
      <c r="E8" s="36">
        <f>E7/E3</f>
        <v>0.2146546770671878</v>
      </c>
      <c r="F8" s="36">
        <f>F7/F3</f>
        <v>0.35145511390699402</v>
      </c>
      <c r="G8" s="36">
        <f>G7/G3</f>
        <v>0.48361530822834253</v>
      </c>
      <c r="H8" s="36">
        <f>H7/H3</f>
        <v>0.62579292010788146</v>
      </c>
      <c r="I8" s="36"/>
      <c r="J8" s="19">
        <f>AVERAGE(D8:H8)</f>
        <v>0.36059056351435403</v>
      </c>
    </row>
    <row r="9" spans="1:10" x14ac:dyDescent="0.35">
      <c r="D9" s="4"/>
      <c r="E9" s="4"/>
      <c r="F9" s="4"/>
      <c r="G9" s="4"/>
      <c r="H9" s="4"/>
      <c r="I9" s="5"/>
      <c r="J9" s="34"/>
    </row>
    <row r="10" spans="1:10" x14ac:dyDescent="0.35">
      <c r="D10" s="5"/>
      <c r="E10" s="5"/>
      <c r="F10" s="5"/>
      <c r="G10" s="5"/>
      <c r="H10" s="5"/>
      <c r="I10" s="5"/>
      <c r="J10" s="34"/>
    </row>
    <row r="11" spans="1:10" s="59" customFormat="1" x14ac:dyDescent="0.35">
      <c r="A11" s="58" t="s">
        <v>357</v>
      </c>
      <c r="B11" s="58"/>
      <c r="D11" s="118"/>
      <c r="E11" s="118"/>
      <c r="F11" s="118"/>
      <c r="G11" s="118"/>
      <c r="H11" s="118"/>
      <c r="I11" s="118"/>
      <c r="J11" s="87"/>
    </row>
    <row r="12" spans="1:10" x14ac:dyDescent="0.35">
      <c r="B12" s="79"/>
      <c r="C12" s="119" t="s">
        <v>267</v>
      </c>
      <c r="D12" s="7">
        <f>D3*$J$8</f>
        <v>2894.0136702094774</v>
      </c>
      <c r="E12" s="7">
        <f t="shared" ref="E12:H12" si="0">E3*$J$8</f>
        <v>2782.2111024409137</v>
      </c>
      <c r="F12" s="7">
        <f t="shared" si="0"/>
        <v>2569.3556410676492</v>
      </c>
      <c r="G12" s="7">
        <f t="shared" si="0"/>
        <v>2343.3506507845036</v>
      </c>
      <c r="H12" s="7">
        <f t="shared" si="0"/>
        <v>2120.5804445740359</v>
      </c>
      <c r="I12" s="6"/>
      <c r="J12" s="6">
        <f>SUM(D12:H12)</f>
        <v>12709.511509076579</v>
      </c>
    </row>
    <row r="13" spans="1:10" x14ac:dyDescent="0.35">
      <c r="B13" s="79"/>
      <c r="C13" s="120" t="s">
        <v>268</v>
      </c>
      <c r="D13" s="7">
        <f>D3-D12</f>
        <v>5131.747298142307</v>
      </c>
      <c r="E13" s="7">
        <f t="shared" ref="E13:H13" si="1">E3-E12</f>
        <v>4933.4958071498095</v>
      </c>
      <c r="F13" s="7">
        <f t="shared" si="1"/>
        <v>4556.0544529360195</v>
      </c>
      <c r="G13" s="7">
        <f t="shared" si="1"/>
        <v>4155.2959803030062</v>
      </c>
      <c r="H13" s="7">
        <f t="shared" si="1"/>
        <v>3760.2735187316948</v>
      </c>
      <c r="I13" s="6"/>
      <c r="J13" s="6">
        <f>SUM(D13:H13)</f>
        <v>22536.867057262836</v>
      </c>
    </row>
    <row r="14" spans="1:10" x14ac:dyDescent="0.35">
      <c r="C14" s="2" t="s">
        <v>269</v>
      </c>
      <c r="D14" s="7">
        <f>D12+D13</f>
        <v>8025.760968351784</v>
      </c>
      <c r="E14" s="7">
        <f t="shared" ref="E14:H14" si="2">E12+E13</f>
        <v>7715.7069095907227</v>
      </c>
      <c r="F14" s="7">
        <f t="shared" si="2"/>
        <v>7125.4100940036687</v>
      </c>
      <c r="G14" s="7">
        <f t="shared" si="2"/>
        <v>6498.6466310875094</v>
      </c>
      <c r="H14" s="7">
        <f t="shared" si="2"/>
        <v>5880.8539633057308</v>
      </c>
      <c r="I14" s="6"/>
      <c r="J14" s="6">
        <f>J12+J13</f>
        <v>35246.378566339416</v>
      </c>
    </row>
    <row r="15" spans="1:10" x14ac:dyDescent="0.35">
      <c r="D15" s="14"/>
      <c r="E15" s="14"/>
      <c r="F15" s="14"/>
      <c r="G15" s="14"/>
      <c r="H15" s="14"/>
      <c r="I15" s="14"/>
      <c r="J15"/>
    </row>
    <row r="16" spans="1:10" x14ac:dyDescent="0.35">
      <c r="J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70" spans="3:10" x14ac:dyDescent="0.35">
      <c r="J70"/>
    </row>
    <row r="71" spans="3:10" x14ac:dyDescent="0.35">
      <c r="C71" s="56"/>
      <c r="J71"/>
    </row>
    <row r="72" spans="3:10" x14ac:dyDescent="0.35">
      <c r="C72" s="56"/>
      <c r="D72" s="57"/>
      <c r="E72" s="57"/>
      <c r="F72" s="57"/>
      <c r="G72" s="57"/>
      <c r="H72" s="57"/>
      <c r="I72" s="57"/>
      <c r="J72" s="57"/>
    </row>
    <row r="73" spans="3:10" x14ac:dyDescent="0.35">
      <c r="C73" s="56"/>
      <c r="D73" s="57"/>
      <c r="E73" s="57"/>
      <c r="F73" s="57"/>
      <c r="G73" s="57"/>
      <c r="H73" s="57"/>
      <c r="I73" s="57"/>
      <c r="J73" s="57"/>
    </row>
    <row r="74" spans="3:10" x14ac:dyDescent="0.35">
      <c r="C74" s="56"/>
      <c r="D74" s="57"/>
      <c r="E74" s="57"/>
      <c r="F74" s="57"/>
      <c r="G74" s="57"/>
      <c r="H74" s="57"/>
      <c r="I74" s="57"/>
      <c r="J74" s="57"/>
    </row>
  </sheetData>
  <phoneticPr fontId="10" type="noConversion"/>
  <pageMargins left="0.7" right="0.7" top="0.75" bottom="0.75" header="0.3" footer="0.3"/>
  <pageSetup orientation="portrait" r:id="rId1"/>
  <headerFooter>
    <oddHeader>&amp;C&amp;"Calibri"&amp;10&amp;K000000[STAFF IN-CONFIDENCE]&amp;1#</oddHeader>
    <oddFooter>&amp;C&amp;1#&amp;"Calibri"&amp;10&amp;K000000[STAFF IN-CONFIDENCE]</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8EE6-9081-4990-AA85-D6A0ABF56027}">
  <dimension ref="A1:BL67"/>
  <sheetViews>
    <sheetView zoomScale="90" zoomScaleNormal="90" workbookViewId="0">
      <pane xSplit="3" ySplit="1" topLeftCell="AJ2" activePane="bottomRight" state="frozen"/>
      <selection activeCell="AM20" sqref="AM20"/>
      <selection pane="topRight" activeCell="AM20" sqref="AM20"/>
      <selection pane="bottomLeft" activeCell="AM20" sqref="AM20"/>
      <selection pane="bottomRight"/>
    </sheetView>
  </sheetViews>
  <sheetFormatPr defaultColWidth="9.1796875" defaultRowHeight="14.5" x14ac:dyDescent="0.35"/>
  <cols>
    <col min="1" max="1" width="9.1796875" customWidth="1"/>
    <col min="2" max="2" width="27.26953125" style="10" customWidth="1"/>
    <col min="3" max="3" width="22.7265625" customWidth="1"/>
    <col min="4" max="35" width="9.1796875" hidden="1" customWidth="1"/>
    <col min="36" max="36" width="9.1796875" customWidth="1"/>
  </cols>
  <sheetData>
    <row r="1" spans="1:64" x14ac:dyDescent="0.35">
      <c r="A1" t="s">
        <v>298</v>
      </c>
      <c r="D1">
        <v>1990</v>
      </c>
      <c r="E1">
        <v>1991</v>
      </c>
      <c r="F1">
        <v>1992</v>
      </c>
      <c r="G1">
        <v>1993</v>
      </c>
      <c r="H1">
        <v>1994</v>
      </c>
      <c r="I1">
        <v>1995</v>
      </c>
      <c r="J1">
        <v>1996</v>
      </c>
      <c r="K1">
        <v>1997</v>
      </c>
      <c r="L1">
        <v>1998</v>
      </c>
      <c r="M1">
        <v>1999</v>
      </c>
      <c r="N1">
        <v>2000</v>
      </c>
      <c r="O1">
        <v>2001</v>
      </c>
      <c r="P1">
        <v>2002</v>
      </c>
      <c r="Q1">
        <v>2003</v>
      </c>
      <c r="R1">
        <v>2004</v>
      </c>
      <c r="S1">
        <v>2005</v>
      </c>
      <c r="T1">
        <v>2006</v>
      </c>
      <c r="U1">
        <v>2007</v>
      </c>
      <c r="V1">
        <v>2008</v>
      </c>
      <c r="W1">
        <v>2009</v>
      </c>
      <c r="X1">
        <v>2010</v>
      </c>
      <c r="Y1">
        <v>2011</v>
      </c>
      <c r="Z1">
        <v>2012</v>
      </c>
      <c r="AA1">
        <v>2013</v>
      </c>
      <c r="AB1">
        <v>2014</v>
      </c>
      <c r="AC1">
        <v>2015</v>
      </c>
      <c r="AD1">
        <v>2016</v>
      </c>
      <c r="AE1">
        <v>2017</v>
      </c>
      <c r="AF1">
        <v>2018</v>
      </c>
      <c r="AG1">
        <v>2019</v>
      </c>
      <c r="AH1">
        <v>2020</v>
      </c>
      <c r="AI1">
        <v>2021</v>
      </c>
      <c r="AJ1">
        <v>2022</v>
      </c>
      <c r="AK1">
        <v>2023</v>
      </c>
      <c r="AL1">
        <v>2024</v>
      </c>
      <c r="AM1">
        <v>2025</v>
      </c>
      <c r="AN1">
        <v>2026</v>
      </c>
      <c r="AO1">
        <v>2027</v>
      </c>
      <c r="AP1">
        <v>2028</v>
      </c>
      <c r="AQ1">
        <v>2029</v>
      </c>
      <c r="AR1">
        <v>2030</v>
      </c>
      <c r="AS1">
        <v>2031</v>
      </c>
      <c r="AT1">
        <v>2032</v>
      </c>
      <c r="AU1">
        <v>2033</v>
      </c>
      <c r="AV1">
        <v>2034</v>
      </c>
      <c r="AW1">
        <v>2035</v>
      </c>
      <c r="AX1">
        <v>2036</v>
      </c>
      <c r="AY1">
        <v>2037</v>
      </c>
      <c r="AZ1">
        <v>2038</v>
      </c>
      <c r="BA1">
        <v>2039</v>
      </c>
      <c r="BB1">
        <v>2040</v>
      </c>
      <c r="BC1">
        <v>2041</v>
      </c>
      <c r="BD1">
        <v>2042</v>
      </c>
      <c r="BE1">
        <v>2043</v>
      </c>
      <c r="BF1">
        <v>2044</v>
      </c>
      <c r="BG1">
        <v>2045</v>
      </c>
      <c r="BH1">
        <v>2046</v>
      </c>
      <c r="BI1">
        <v>2047</v>
      </c>
      <c r="BJ1">
        <v>2048</v>
      </c>
      <c r="BK1">
        <v>2049</v>
      </c>
      <c r="BL1">
        <v>2050</v>
      </c>
    </row>
    <row r="3" spans="1:64" s="59" customFormat="1" x14ac:dyDescent="0.35">
      <c r="A3" s="58" t="s">
        <v>271</v>
      </c>
    </row>
    <row r="4" spans="1:64" x14ac:dyDescent="0.35">
      <c r="A4" s="2"/>
      <c r="B4"/>
    </row>
    <row r="5" spans="1:64" x14ac:dyDescent="0.35">
      <c r="A5" s="2"/>
      <c r="B5" s="2" t="s">
        <v>272</v>
      </c>
    </row>
    <row r="6" spans="1:64" x14ac:dyDescent="0.35">
      <c r="B6"/>
      <c r="C6" t="s">
        <v>273</v>
      </c>
      <c r="D6" s="49">
        <v>8123.4738048603285</v>
      </c>
      <c r="E6" s="49">
        <v>8103.151366916326</v>
      </c>
      <c r="F6" s="49">
        <v>8465.3738838749887</v>
      </c>
      <c r="G6" s="49">
        <v>8917.1083368543023</v>
      </c>
      <c r="H6" s="49">
        <v>9577.0808586024577</v>
      </c>
      <c r="I6" s="49">
        <v>10239.751270685269</v>
      </c>
      <c r="J6" s="49">
        <v>10370.213477161265</v>
      </c>
      <c r="K6" s="49">
        <v>10595.889532393232</v>
      </c>
      <c r="L6" s="49">
        <v>10800.287827520146</v>
      </c>
      <c r="M6" s="49">
        <v>11085.248585156945</v>
      </c>
      <c r="N6" s="49">
        <v>11635.189554943681</v>
      </c>
      <c r="O6" s="49">
        <v>11692.734720415607</v>
      </c>
      <c r="P6" s="49">
        <v>12148.077566047319</v>
      </c>
      <c r="Q6" s="49">
        <v>12682.556619811654</v>
      </c>
      <c r="R6" s="49">
        <v>12975.975090054404</v>
      </c>
      <c r="S6" s="49">
        <v>13046.884396819123</v>
      </c>
      <c r="T6" s="49">
        <v>13165.766263018873</v>
      </c>
      <c r="U6" s="49">
        <v>13268.57941131241</v>
      </c>
      <c r="V6" s="49">
        <v>13278.302641661277</v>
      </c>
      <c r="W6" s="49">
        <v>13085.690879123733</v>
      </c>
      <c r="X6" s="49">
        <v>13334.27651128357</v>
      </c>
      <c r="Y6" s="49">
        <v>13317.62839669132</v>
      </c>
      <c r="Z6" s="49">
        <v>12992.883365668904</v>
      </c>
      <c r="AA6" s="49">
        <v>13068.056313476918</v>
      </c>
      <c r="AB6" s="49">
        <v>13326.758858692861</v>
      </c>
      <c r="AC6" s="49">
        <v>13792.474756443526</v>
      </c>
      <c r="AD6" s="49">
        <v>13894.199123622979</v>
      </c>
      <c r="AE6" s="49">
        <v>14792.764873637303</v>
      </c>
      <c r="AF6" s="49">
        <v>15115.380716007123</v>
      </c>
      <c r="AG6" s="49">
        <v>14643.952939914274</v>
      </c>
      <c r="AH6" s="49">
        <v>13168.39660793059</v>
      </c>
      <c r="AI6" s="49">
        <v>14387.531213514181</v>
      </c>
      <c r="AJ6" s="49">
        <v>15133.101756865974</v>
      </c>
      <c r="AK6" s="49">
        <v>15355.536001992956</v>
      </c>
      <c r="AL6" s="49">
        <v>15404.851843742043</v>
      </c>
      <c r="AM6" s="49">
        <v>15432.994282860785</v>
      </c>
      <c r="AN6" s="49">
        <v>15457.470352914428</v>
      </c>
      <c r="AO6" s="49">
        <v>15452.51099232506</v>
      </c>
      <c r="AP6" s="49">
        <v>15401.672901745314</v>
      </c>
      <c r="AQ6" s="49">
        <v>15301.66067842068</v>
      </c>
      <c r="AR6" s="49">
        <v>15197.663750373837</v>
      </c>
      <c r="AS6" s="49">
        <v>15045.799375504484</v>
      </c>
      <c r="AT6" s="49">
        <v>14852.973610492676</v>
      </c>
      <c r="AU6" s="49">
        <v>14602.181457337809</v>
      </c>
      <c r="AV6" s="49">
        <v>14301.508945212734</v>
      </c>
      <c r="AW6" s="49">
        <v>13973.404125152059</v>
      </c>
      <c r="AX6" s="49">
        <v>13564.724833482376</v>
      </c>
      <c r="AY6" s="49">
        <v>13187.165322259498</v>
      </c>
      <c r="AZ6" s="49">
        <v>12720.951658254309</v>
      </c>
      <c r="BA6" s="49">
        <v>12261.852353347002</v>
      </c>
      <c r="BB6" s="49">
        <v>11754.636953640369</v>
      </c>
      <c r="BC6" s="49">
        <v>11207.54017377773</v>
      </c>
      <c r="BD6" s="49">
        <v>10676.239522460246</v>
      </c>
      <c r="BE6" s="49">
        <v>10086.057302035671</v>
      </c>
      <c r="BF6" s="49">
        <v>9579.2116205054554</v>
      </c>
      <c r="BG6" s="49">
        <v>9014.905000817238</v>
      </c>
      <c r="BH6" s="49">
        <v>8384.8458359278375</v>
      </c>
      <c r="BI6" s="49">
        <v>7774.3493299805095</v>
      </c>
      <c r="BJ6" s="49">
        <v>7181.1204750307861</v>
      </c>
      <c r="BK6" s="49">
        <v>6533.6092492980624</v>
      </c>
      <c r="BL6" s="49">
        <v>6007.6604079021472</v>
      </c>
    </row>
    <row r="7" spans="1:64" x14ac:dyDescent="0.35">
      <c r="C7" t="s">
        <v>274</v>
      </c>
      <c r="D7" s="49">
        <v>15870.432739954342</v>
      </c>
      <c r="E7" s="49">
        <v>16378.466290069518</v>
      </c>
      <c r="F7" s="49">
        <v>17872.680038791048</v>
      </c>
      <c r="G7" s="49">
        <v>16963.730980163415</v>
      </c>
      <c r="H7" s="49">
        <v>16630.053510039124</v>
      </c>
      <c r="I7" s="49">
        <v>15732.047373899533</v>
      </c>
      <c r="J7" s="49">
        <v>17229.158640444279</v>
      </c>
      <c r="K7" s="49">
        <v>19033.756151465674</v>
      </c>
      <c r="L7" s="49">
        <v>17245.302453661639</v>
      </c>
      <c r="M7" s="49">
        <v>18330.876664378062</v>
      </c>
      <c r="N7" s="49">
        <v>18510.199955178108</v>
      </c>
      <c r="O7" s="49">
        <v>20478.222137259898</v>
      </c>
      <c r="P7" s="49">
        <v>19959.661992715868</v>
      </c>
      <c r="Q7" s="49">
        <v>20827.542521056315</v>
      </c>
      <c r="R7" s="49">
        <v>20177.334934761973</v>
      </c>
      <c r="S7" s="49">
        <v>21714.678340624607</v>
      </c>
      <c r="T7" s="49">
        <v>22034.751114421178</v>
      </c>
      <c r="U7" s="49">
        <v>20499.48259464484</v>
      </c>
      <c r="V7" s="49">
        <v>21598.295800208387</v>
      </c>
      <c r="W7" s="49">
        <v>19122.213588001083</v>
      </c>
      <c r="X7" s="49">
        <v>19062.758250566105</v>
      </c>
      <c r="Y7" s="49">
        <v>18391.989680725048</v>
      </c>
      <c r="Z7" s="49">
        <v>20061.823877863775</v>
      </c>
      <c r="AA7" s="49">
        <v>19101.56617704346</v>
      </c>
      <c r="AB7" s="49">
        <v>18913.448428514144</v>
      </c>
      <c r="AC7" s="49">
        <v>18698.791922816465</v>
      </c>
      <c r="AD7" s="49">
        <v>17183.121331879483</v>
      </c>
      <c r="AE7" s="49">
        <v>17726.254212435371</v>
      </c>
      <c r="AF7" s="49">
        <v>17471.853230500838</v>
      </c>
      <c r="AG7" s="49">
        <v>19335.032033966676</v>
      </c>
      <c r="AH7" s="49">
        <v>18350.509251858835</v>
      </c>
      <c r="AI7" s="49">
        <v>18668.644741585093</v>
      </c>
      <c r="AJ7" s="49">
        <v>17611.243714664372</v>
      </c>
      <c r="AK7" s="49">
        <v>17009.008224794583</v>
      </c>
      <c r="AL7" s="49">
        <v>16445.754470945099</v>
      </c>
      <c r="AM7" s="49">
        <v>16068.393383785449</v>
      </c>
      <c r="AN7" s="49">
        <v>15927.411639815748</v>
      </c>
      <c r="AO7" s="49">
        <v>15828.863688555815</v>
      </c>
      <c r="AP7" s="49">
        <v>15761.059196753122</v>
      </c>
      <c r="AQ7" s="49">
        <v>15943.797588817712</v>
      </c>
      <c r="AR7" s="49">
        <v>15337.472006063766</v>
      </c>
      <c r="AS7" s="49">
        <v>15524.113857776456</v>
      </c>
      <c r="AT7" s="49">
        <v>15082.086254718064</v>
      </c>
      <c r="AU7" s="49">
        <v>15085.535753946142</v>
      </c>
      <c r="AV7" s="49">
        <v>15081.547501767815</v>
      </c>
      <c r="AW7" s="49">
        <v>15072.046799866946</v>
      </c>
      <c r="AX7" s="49">
        <v>15063.305389647741</v>
      </c>
      <c r="AY7" s="49">
        <v>15049.194667129081</v>
      </c>
      <c r="AZ7" s="49">
        <v>15027.81885039915</v>
      </c>
      <c r="BA7" s="49">
        <v>14996.343387856779</v>
      </c>
      <c r="BB7" s="49">
        <v>14188.681191533702</v>
      </c>
      <c r="BC7" s="49">
        <v>14152.850456673079</v>
      </c>
      <c r="BD7" s="49">
        <v>14099.655143455544</v>
      </c>
      <c r="BE7" s="49">
        <v>14030.257740650814</v>
      </c>
      <c r="BF7" s="49">
        <v>13950.090027336906</v>
      </c>
      <c r="BG7" s="49">
        <v>13856.203310161975</v>
      </c>
      <c r="BH7" s="49">
        <v>13736.932448583855</v>
      </c>
      <c r="BI7" s="49">
        <v>13590.563606873042</v>
      </c>
      <c r="BJ7" s="49">
        <v>13422.915693393032</v>
      </c>
      <c r="BK7" s="49">
        <v>13256.617499592174</v>
      </c>
      <c r="BL7" s="49">
        <v>13096.184416031037</v>
      </c>
    </row>
    <row r="8" spans="1:64" x14ac:dyDescent="0.35">
      <c r="C8" t="s">
        <v>60</v>
      </c>
      <c r="D8" s="49">
        <v>3516.0961777084749</v>
      </c>
      <c r="E8" s="49">
        <v>3668.0126133261347</v>
      </c>
      <c r="F8" s="49">
        <v>3339.6053797481713</v>
      </c>
      <c r="G8" s="49">
        <v>3195.1272202265759</v>
      </c>
      <c r="H8" s="49">
        <v>3067.2612562604504</v>
      </c>
      <c r="I8" s="49">
        <v>3163.0165028872884</v>
      </c>
      <c r="J8" s="49">
        <v>3348.4732362779841</v>
      </c>
      <c r="K8" s="49">
        <v>3238.1728346773621</v>
      </c>
      <c r="L8" s="49">
        <v>3225.4368638608034</v>
      </c>
      <c r="M8" s="49">
        <v>3402.8933077692418</v>
      </c>
      <c r="N8" s="49">
        <v>3433.8153891407756</v>
      </c>
      <c r="O8" s="49">
        <v>3543.2990415404297</v>
      </c>
      <c r="P8" s="49">
        <v>3659.5205799752925</v>
      </c>
      <c r="Q8" s="49">
        <v>3878.0905479037801</v>
      </c>
      <c r="R8" s="49">
        <v>3912.5084942419317</v>
      </c>
      <c r="S8" s="49">
        <v>4011.7594848076365</v>
      </c>
      <c r="T8" s="49">
        <v>4113.8784993347999</v>
      </c>
      <c r="U8" s="49">
        <v>4370.1941197075685</v>
      </c>
      <c r="V8" s="49">
        <v>4255.8641032838468</v>
      </c>
      <c r="W8" s="49">
        <v>4205.2778704031671</v>
      </c>
      <c r="X8" s="49">
        <v>4520.672440769391</v>
      </c>
      <c r="Y8" s="49">
        <v>4553.3250267168596</v>
      </c>
      <c r="Z8" s="49">
        <v>4625.014402265595</v>
      </c>
      <c r="AA8" s="49">
        <v>4757.0725463419167</v>
      </c>
      <c r="AB8" s="49">
        <v>4930.1696846350351</v>
      </c>
      <c r="AC8" s="49">
        <v>5055.8311641412056</v>
      </c>
      <c r="AD8" s="49">
        <v>4802.46997339477</v>
      </c>
      <c r="AE8" s="49">
        <v>4842.6066820474134</v>
      </c>
      <c r="AF8" s="49">
        <v>4733.1712108541742</v>
      </c>
      <c r="AG8" s="49">
        <v>4769.6347557157696</v>
      </c>
      <c r="AH8" s="49">
        <v>4526.63157784951</v>
      </c>
      <c r="AI8" s="49">
        <v>4737.8059422385177</v>
      </c>
      <c r="AJ8" s="49">
        <v>4668.8718965622265</v>
      </c>
      <c r="AK8" s="49">
        <v>4682.5184423404007</v>
      </c>
      <c r="AL8" s="49">
        <v>4717.9933514507529</v>
      </c>
      <c r="AM8" s="49">
        <v>4690.7458137750764</v>
      </c>
      <c r="AN8" s="49">
        <v>4682.486300411616</v>
      </c>
      <c r="AO8" s="49">
        <v>4642.36312526656</v>
      </c>
      <c r="AP8" s="49">
        <v>4607.3417301314466</v>
      </c>
      <c r="AQ8" s="49">
        <v>4591.0275348352116</v>
      </c>
      <c r="AR8" s="49">
        <v>4516.9298943057056</v>
      </c>
      <c r="AS8" s="49">
        <v>4480.7801209653981</v>
      </c>
      <c r="AT8" s="49">
        <v>4446.3563732702696</v>
      </c>
      <c r="AU8" s="49">
        <v>4401.5810307647935</v>
      </c>
      <c r="AV8" s="49">
        <v>4364.2449143455697</v>
      </c>
      <c r="AW8" s="49">
        <v>4341.718456622446</v>
      </c>
      <c r="AX8" s="49">
        <v>4310.7516262286581</v>
      </c>
      <c r="AY8" s="49">
        <v>4290.4084887432045</v>
      </c>
      <c r="AZ8" s="49">
        <v>4272.0089050878951</v>
      </c>
      <c r="BA8" s="49">
        <v>4255.6430760539015</v>
      </c>
      <c r="BB8" s="49">
        <v>4192.8235742774059</v>
      </c>
      <c r="BC8" s="49">
        <v>4182.3117424252769</v>
      </c>
      <c r="BD8" s="49">
        <v>4174.5281451544197</v>
      </c>
      <c r="BE8" s="49">
        <v>4171.8784304495366</v>
      </c>
      <c r="BF8" s="49">
        <v>4172.167221350408</v>
      </c>
      <c r="BG8" s="49">
        <v>4175.0770434944352</v>
      </c>
      <c r="BH8" s="49">
        <v>4181.3595283108807</v>
      </c>
      <c r="BI8" s="49">
        <v>4191.1347911093562</v>
      </c>
      <c r="BJ8" s="49">
        <v>4203.0346325019427</v>
      </c>
      <c r="BK8" s="49">
        <v>4216.0812699692979</v>
      </c>
      <c r="BL8" s="49">
        <v>4232.031439184655</v>
      </c>
    </row>
    <row r="9" spans="1:64" x14ac:dyDescent="0.35">
      <c r="C9" t="s">
        <v>43</v>
      </c>
      <c r="D9" s="49">
        <v>36571.823155221537</v>
      </c>
      <c r="E9" s="49">
        <v>36808.530009453956</v>
      </c>
      <c r="F9" s="49">
        <v>36296.682920512212</v>
      </c>
      <c r="G9" s="49">
        <v>36672.075580955374</v>
      </c>
      <c r="H9" s="49">
        <v>37933.366311582788</v>
      </c>
      <c r="I9" s="49">
        <v>38543.749348475882</v>
      </c>
      <c r="J9" s="49">
        <v>38869.798977510858</v>
      </c>
      <c r="K9" s="49">
        <v>39805.88859601631</v>
      </c>
      <c r="L9" s="49">
        <v>39133.754057324586</v>
      </c>
      <c r="M9" s="49">
        <v>39320.551887094705</v>
      </c>
      <c r="N9" s="49">
        <v>40532.789740222943</v>
      </c>
      <c r="O9" s="49">
        <v>41365.025310344688</v>
      </c>
      <c r="P9" s="49">
        <v>41335.30138246603</v>
      </c>
      <c r="Q9" s="49">
        <v>41979.690800047625</v>
      </c>
      <c r="R9" s="49">
        <v>42111.718735995542</v>
      </c>
      <c r="S9" s="49">
        <v>42483.869542174827</v>
      </c>
      <c r="T9" s="49">
        <v>42383.301600666382</v>
      </c>
      <c r="U9" s="49">
        <v>41387.064066314852</v>
      </c>
      <c r="V9" s="49">
        <v>40077.102994724351</v>
      </c>
      <c r="W9" s="49">
        <v>40298.057324935595</v>
      </c>
      <c r="X9" s="49">
        <v>40460.611107132943</v>
      </c>
      <c r="Y9" s="49">
        <v>41140.554343421216</v>
      </c>
      <c r="Z9" s="49">
        <v>42054.103604519951</v>
      </c>
      <c r="AA9" s="49">
        <v>42174.163250136939</v>
      </c>
      <c r="AB9" s="49">
        <v>42797.036067408801</v>
      </c>
      <c r="AC9" s="49">
        <v>42242.331468664546</v>
      </c>
      <c r="AD9" s="49">
        <v>41824.397624779995</v>
      </c>
      <c r="AE9" s="49">
        <v>41862.6172334207</v>
      </c>
      <c r="AF9" s="49">
        <v>42154.798631981837</v>
      </c>
      <c r="AG9" s="49">
        <v>42317.723309496745</v>
      </c>
      <c r="AH9" s="49">
        <v>42196.053007409682</v>
      </c>
      <c r="AI9" s="49">
        <v>41347.331742577095</v>
      </c>
      <c r="AJ9" s="49">
        <v>41016.659333916927</v>
      </c>
      <c r="AK9" s="49">
        <v>40722.240152774648</v>
      </c>
      <c r="AL9" s="49">
        <v>40430.083051772308</v>
      </c>
      <c r="AM9" s="49">
        <v>40152.514409759344</v>
      </c>
      <c r="AN9" s="49">
        <v>39973.640407629078</v>
      </c>
      <c r="AO9" s="49">
        <v>39821.359384887648</v>
      </c>
      <c r="AP9" s="49">
        <v>39662.386093551919</v>
      </c>
      <c r="AQ9" s="49">
        <v>39518.005615673348</v>
      </c>
      <c r="AR9" s="49">
        <v>39375.860901335145</v>
      </c>
      <c r="AS9" s="49">
        <v>39238.847378401049</v>
      </c>
      <c r="AT9" s="49">
        <v>39079.94962695201</v>
      </c>
      <c r="AU9" s="49">
        <v>38932.095200487893</v>
      </c>
      <c r="AV9" s="49">
        <v>38776.492183785493</v>
      </c>
      <c r="AW9" s="49">
        <v>38641.797965086429</v>
      </c>
      <c r="AX9" s="49">
        <v>38609.16171095251</v>
      </c>
      <c r="AY9" s="49">
        <v>38590.27214762455</v>
      </c>
      <c r="AZ9" s="49">
        <v>38589.621853417804</v>
      </c>
      <c r="BA9" s="49">
        <v>38585.479570351301</v>
      </c>
      <c r="BB9" s="49">
        <v>38574.681057716269</v>
      </c>
      <c r="BC9" s="49">
        <v>38538.97578894614</v>
      </c>
      <c r="BD9" s="49">
        <v>38514.358438467418</v>
      </c>
      <c r="BE9" s="49">
        <v>38487.997610205435</v>
      </c>
      <c r="BF9" s="49">
        <v>38461.893192497068</v>
      </c>
      <c r="BG9" s="49">
        <v>38479.017268036725</v>
      </c>
      <c r="BH9" s="49">
        <v>38468.006775355469</v>
      </c>
      <c r="BI9" s="49">
        <v>38436.271121032696</v>
      </c>
      <c r="BJ9" s="49">
        <v>38396.04632103927</v>
      </c>
      <c r="BK9" s="49">
        <v>38367.16055523292</v>
      </c>
      <c r="BL9" s="49">
        <v>38347.614736861273</v>
      </c>
    </row>
    <row r="10" spans="1:64" x14ac:dyDescent="0.35">
      <c r="C10" t="s">
        <v>44</v>
      </c>
      <c r="D10" s="49">
        <v>4371.0550686426304</v>
      </c>
      <c r="E10" s="49">
        <v>4494.2129358802167</v>
      </c>
      <c r="F10" s="49">
        <v>4608.4699487961507</v>
      </c>
      <c r="G10" s="49">
        <v>4723.0167754811991</v>
      </c>
      <c r="H10" s="49">
        <v>4596.3960749697844</v>
      </c>
      <c r="I10" s="49">
        <v>4699.3156679774575</v>
      </c>
      <c r="J10" s="49">
        <v>4798.2534180590455</v>
      </c>
      <c r="K10" s="49">
        <v>4865.406291133806</v>
      </c>
      <c r="L10" s="49">
        <v>4861.6867574609569</v>
      </c>
      <c r="M10" s="49">
        <v>4888.9395933214646</v>
      </c>
      <c r="N10" s="49">
        <v>4918.9517108516438</v>
      </c>
      <c r="O10" s="49">
        <v>4945.8355725179199</v>
      </c>
      <c r="P10" s="49">
        <v>4960.5960379013841</v>
      </c>
      <c r="Q10" s="49">
        <v>4856.3675991908322</v>
      </c>
      <c r="R10" s="49">
        <v>4871.6484009286705</v>
      </c>
      <c r="S10" s="49">
        <v>4860.2827462461919</v>
      </c>
      <c r="T10" s="49">
        <v>4640.1084728888536</v>
      </c>
      <c r="U10" s="49">
        <v>4598.136705576766</v>
      </c>
      <c r="V10" s="49">
        <v>4504.0772789790162</v>
      </c>
      <c r="W10" s="49">
        <v>4356.4344929985782</v>
      </c>
      <c r="X10" s="49">
        <v>4293.0257026984791</v>
      </c>
      <c r="Y10" s="49">
        <v>4128.294122648671</v>
      </c>
      <c r="Z10" s="49">
        <v>4008.975962335111</v>
      </c>
      <c r="AA10" s="49">
        <v>3953.727003813055</v>
      </c>
      <c r="AB10" s="49">
        <v>3903.7091154408281</v>
      </c>
      <c r="AC10" s="49">
        <v>3860.3909372256435</v>
      </c>
      <c r="AD10" s="49">
        <v>3828.69903936433</v>
      </c>
      <c r="AE10" s="49">
        <v>3785.4635318554911</v>
      </c>
      <c r="AF10" s="49">
        <v>3713.3819258157537</v>
      </c>
      <c r="AG10" s="49">
        <v>3661.4608991204891</v>
      </c>
      <c r="AH10" s="49">
        <v>3611.7932233745064</v>
      </c>
      <c r="AI10" s="49">
        <v>3602.1962978058914</v>
      </c>
      <c r="AJ10" s="49">
        <v>3571.8459707930574</v>
      </c>
      <c r="AK10" s="49">
        <v>3550.5585021934444</v>
      </c>
      <c r="AL10" s="49">
        <v>3535.3069284770118</v>
      </c>
      <c r="AM10" s="49">
        <v>3523.311952704245</v>
      </c>
      <c r="AN10" s="49">
        <v>3512.387446166219</v>
      </c>
      <c r="AO10" s="49">
        <v>3502.9983722968705</v>
      </c>
      <c r="AP10" s="49">
        <v>3494.9935320829809</v>
      </c>
      <c r="AQ10" s="49">
        <v>3488.2837422002285</v>
      </c>
      <c r="AR10" s="49">
        <v>3482.5325237043953</v>
      </c>
      <c r="AS10" s="49">
        <v>3477.279567479356</v>
      </c>
      <c r="AT10" s="49">
        <v>3472.7323215971815</v>
      </c>
      <c r="AU10" s="49">
        <v>3468.9194217808054</v>
      </c>
      <c r="AV10" s="49">
        <v>3465.6760947985617</v>
      </c>
      <c r="AW10" s="49">
        <v>3463.2912587676242</v>
      </c>
      <c r="AX10" s="49">
        <v>3461.4087906057293</v>
      </c>
      <c r="AY10" s="49">
        <v>3460.1141029099786</v>
      </c>
      <c r="AZ10" s="49">
        <v>3459.4840856244709</v>
      </c>
      <c r="BA10" s="49">
        <v>3459.3034041655092</v>
      </c>
      <c r="BB10" s="49">
        <v>3459.9493471570258</v>
      </c>
      <c r="BC10" s="49">
        <v>3461.2114690573785</v>
      </c>
      <c r="BD10" s="49">
        <v>3463.0008789762924</v>
      </c>
      <c r="BE10" s="49">
        <v>3465.3606496599355</v>
      </c>
      <c r="BF10" s="49">
        <v>3468.1308709598279</v>
      </c>
      <c r="BG10" s="49">
        <v>3471.5997212431084</v>
      </c>
      <c r="BH10" s="49">
        <v>3475.4015117217241</v>
      </c>
      <c r="BI10" s="49">
        <v>3479.1694414486151</v>
      </c>
      <c r="BJ10" s="49">
        <v>3483.1950816629733</v>
      </c>
      <c r="BK10" s="49">
        <v>3487.4706739942803</v>
      </c>
      <c r="BL10" s="49">
        <v>3492.2694858736199</v>
      </c>
    </row>
    <row r="11" spans="1:64" x14ac:dyDescent="0.35">
      <c r="C11" t="s">
        <v>275</v>
      </c>
      <c r="D11" s="49">
        <v>819.97524190854506</v>
      </c>
      <c r="E11" s="49">
        <v>828.0017286520922</v>
      </c>
      <c r="F11" s="49">
        <v>1085.1429139052391</v>
      </c>
      <c r="G11" s="49">
        <v>1158.2562175334988</v>
      </c>
      <c r="H11" s="49">
        <v>1294.5870452996453</v>
      </c>
      <c r="I11" s="49">
        <v>850.67438092522423</v>
      </c>
      <c r="J11" s="49">
        <v>38.592400303365025</v>
      </c>
      <c r="K11" s="49">
        <v>-1334.618596753277</v>
      </c>
      <c r="L11" s="49">
        <v>-3370.636542665608</v>
      </c>
      <c r="M11" s="49">
        <v>-5881.7403115761681</v>
      </c>
      <c r="N11" s="49">
        <v>-5840.6097105786448</v>
      </c>
      <c r="O11" s="49">
        <v>-8163.9905713630314</v>
      </c>
      <c r="P11" s="49">
        <v>-10155.899721608017</v>
      </c>
      <c r="Q11" s="49">
        <v>-9621.5624173653105</v>
      </c>
      <c r="R11" s="49">
        <v>-6746.7760646318911</v>
      </c>
      <c r="S11" s="49">
        <v>-909.81870967752047</v>
      </c>
      <c r="T11" s="49">
        <v>1895.2611011701449</v>
      </c>
      <c r="U11" s="49">
        <v>7426.246871923152</v>
      </c>
      <c r="V11" s="49">
        <v>-13411.996596017498</v>
      </c>
      <c r="W11" s="49">
        <v>-11081.405660283805</v>
      </c>
      <c r="X11" s="49">
        <v>-10565.307562466487</v>
      </c>
      <c r="Y11" s="49">
        <v>-12067.105918642314</v>
      </c>
      <c r="Z11" s="49">
        <v>-10202.075435723556</v>
      </c>
      <c r="AA11" s="49">
        <v>-7134.8699893356697</v>
      </c>
      <c r="AB11" s="49">
        <v>-10405.283669066264</v>
      </c>
      <c r="AC11" s="49">
        <v>-11945.163408270339</v>
      </c>
      <c r="AD11" s="49">
        <v>-11969.110093922558</v>
      </c>
      <c r="AE11" s="49">
        <v>-12080.174618702731</v>
      </c>
      <c r="AF11" s="49">
        <v>-11085.271780708874</v>
      </c>
      <c r="AG11" s="49">
        <v>-7702.6878138183429</v>
      </c>
      <c r="AH11" s="49">
        <v>-8060.2252194320736</v>
      </c>
      <c r="AI11" s="49">
        <v>-7272.2101365835315</v>
      </c>
      <c r="AJ11" s="49">
        <v>-6158.2627444233731</v>
      </c>
      <c r="AK11" s="49">
        <v>-5945.255575406456</v>
      </c>
      <c r="AL11" s="49">
        <v>-5828.0718917514505</v>
      </c>
      <c r="AM11" s="49">
        <v>-6501.7193448547678</v>
      </c>
      <c r="AN11" s="49">
        <v>-7772.1466438324751</v>
      </c>
      <c r="AO11" s="49">
        <v>-9247.6451246572178</v>
      </c>
      <c r="AP11" s="49">
        <v>-11105.090045810215</v>
      </c>
      <c r="AQ11" s="49">
        <v>-12139.872895882418</v>
      </c>
      <c r="AR11" s="49">
        <v>-12564.420730209811</v>
      </c>
      <c r="AS11" s="49">
        <v>-13396.545103778648</v>
      </c>
      <c r="AT11" s="49">
        <v>-14059.423836219863</v>
      </c>
      <c r="AU11" s="49">
        <v>-14786.973476131952</v>
      </c>
      <c r="AV11" s="49">
        <v>-15431.172337977376</v>
      </c>
      <c r="AW11" s="49">
        <v>-16136.067149584611</v>
      </c>
      <c r="AX11" s="49">
        <v>-17155.204484539496</v>
      </c>
      <c r="AY11" s="49">
        <v>-19171.528046329615</v>
      </c>
      <c r="AZ11" s="49">
        <v>-20241.160565364524</v>
      </c>
      <c r="BA11" s="49">
        <v>-21340.171025371139</v>
      </c>
      <c r="BB11" s="49">
        <v>-22420.284116223473</v>
      </c>
      <c r="BC11" s="49">
        <v>-23477.193794301162</v>
      </c>
      <c r="BD11" s="49">
        <v>-24095.870736024517</v>
      </c>
      <c r="BE11" s="49">
        <v>-24234.996848450483</v>
      </c>
      <c r="BF11" s="49">
        <v>-24116.802177332149</v>
      </c>
      <c r="BG11" s="49">
        <v>-23770.582076991908</v>
      </c>
      <c r="BH11" s="49">
        <v>-24009.156631367528</v>
      </c>
      <c r="BI11" s="49">
        <v>-24232.474690778723</v>
      </c>
      <c r="BJ11" s="49">
        <v>-24423.56028890927</v>
      </c>
      <c r="BK11" s="49">
        <v>-24510.45425915868</v>
      </c>
      <c r="BL11" s="49">
        <v>-24732.32112286058</v>
      </c>
    </row>
    <row r="12" spans="1:64" x14ac:dyDescent="0.35">
      <c r="C12" t="s">
        <v>65</v>
      </c>
      <c r="D12" s="49">
        <v>69272.85618829586</v>
      </c>
      <c r="E12" s="49">
        <v>70280.374944298237</v>
      </c>
      <c r="F12" s="49">
        <v>71667.955085627807</v>
      </c>
      <c r="G12" s="49">
        <v>71629.315111214368</v>
      </c>
      <c r="H12" s="49">
        <v>73098.745056754255</v>
      </c>
      <c r="I12" s="49">
        <v>73228.554544850645</v>
      </c>
      <c r="J12" s="49">
        <v>74654.490149756792</v>
      </c>
      <c r="K12" s="49">
        <v>76204.494808933116</v>
      </c>
      <c r="L12" s="49">
        <v>71895.83141716251</v>
      </c>
      <c r="M12" s="49">
        <v>71146.769726144252</v>
      </c>
      <c r="N12" s="49">
        <v>73190.336639758505</v>
      </c>
      <c r="O12" s="49">
        <v>73861.126210715505</v>
      </c>
      <c r="P12" s="49">
        <v>71907.257837497877</v>
      </c>
      <c r="Q12" s="49">
        <v>74602.685670644918</v>
      </c>
      <c r="R12" s="49">
        <v>77302.409591350617</v>
      </c>
      <c r="S12" s="49">
        <v>85207.655800994849</v>
      </c>
      <c r="T12" s="49">
        <v>88233.067051500242</v>
      </c>
      <c r="U12" s="49">
        <v>91549.703769479587</v>
      </c>
      <c r="V12" s="49">
        <v>70301.646222839379</v>
      </c>
      <c r="W12" s="49">
        <v>69986.268495178345</v>
      </c>
      <c r="X12" s="49">
        <v>71106.036449983992</v>
      </c>
      <c r="Y12" s="49">
        <v>69464.685651560809</v>
      </c>
      <c r="Z12" s="49">
        <v>73540.725776929772</v>
      </c>
      <c r="AA12" s="49">
        <v>75919.715301476608</v>
      </c>
      <c r="AB12" s="49">
        <v>73465.838485625398</v>
      </c>
      <c r="AC12" s="49">
        <v>71704.656841021046</v>
      </c>
      <c r="AD12" s="49">
        <v>69563.776999119014</v>
      </c>
      <c r="AE12" s="49">
        <v>70929.531914693551</v>
      </c>
      <c r="AF12" s="49">
        <v>72103.313934450853</v>
      </c>
      <c r="AG12" s="49">
        <v>77025.116124395616</v>
      </c>
      <c r="AH12" s="49">
        <v>73793.158448991046</v>
      </c>
      <c r="AI12" s="49">
        <v>75471.29980113724</v>
      </c>
      <c r="AJ12" s="49">
        <v>75843.45992837919</v>
      </c>
      <c r="AK12" s="49">
        <v>75374.605748689573</v>
      </c>
      <c r="AL12" s="49">
        <v>74705.917754635782</v>
      </c>
      <c r="AM12" s="49">
        <v>73366.240498030136</v>
      </c>
      <c r="AN12" s="49">
        <v>71781.249503104613</v>
      </c>
      <c r="AO12" s="49">
        <v>70000.450438674743</v>
      </c>
      <c r="AP12" s="49">
        <v>67822.363408454563</v>
      </c>
      <c r="AQ12" s="49">
        <v>66702.90226406476</v>
      </c>
      <c r="AR12" s="49">
        <v>65346.038345573048</v>
      </c>
      <c r="AS12" s="49">
        <v>64370.275196348091</v>
      </c>
      <c r="AT12" s="49">
        <v>62874.674350810339</v>
      </c>
      <c r="AU12" s="49">
        <v>61703.339388185501</v>
      </c>
      <c r="AV12" s="49">
        <v>60558.297301932791</v>
      </c>
      <c r="AW12" s="49">
        <v>59356.191455910892</v>
      </c>
      <c r="AX12" s="49">
        <v>57854.147866377505</v>
      </c>
      <c r="AY12" s="49">
        <v>55405.626682336697</v>
      </c>
      <c r="AZ12" s="49">
        <v>53828.724787419109</v>
      </c>
      <c r="BA12" s="49">
        <v>52218.450766403344</v>
      </c>
      <c r="BB12" s="49">
        <v>49750.488008101311</v>
      </c>
      <c r="BC12" s="49">
        <v>48065.695836578452</v>
      </c>
      <c r="BD12" s="49">
        <v>46831.911392489405</v>
      </c>
      <c r="BE12" s="49">
        <v>46006.554884550918</v>
      </c>
      <c r="BF12" s="49">
        <v>45514.690755317512</v>
      </c>
      <c r="BG12" s="49">
        <v>45226.220266761578</v>
      </c>
      <c r="BH12" s="49">
        <v>44237.38946853223</v>
      </c>
      <c r="BI12" s="49">
        <v>43239.013599665501</v>
      </c>
      <c r="BJ12" s="49">
        <v>42262.751914718727</v>
      </c>
      <c r="BK12" s="49">
        <v>41350.484988928059</v>
      </c>
      <c r="BL12" s="49">
        <v>40443.439362992154</v>
      </c>
    </row>
    <row r="13" spans="1:64" x14ac:dyDescent="0.35">
      <c r="C13" t="s">
        <v>64</v>
      </c>
      <c r="D13" s="49">
        <v>68452.880946387319</v>
      </c>
      <c r="E13" s="49">
        <v>69452.373215646148</v>
      </c>
      <c r="F13" s="49">
        <v>70582.812171722573</v>
      </c>
      <c r="G13" s="49">
        <v>70471.058893680864</v>
      </c>
      <c r="H13" s="49">
        <v>71804.158011454609</v>
      </c>
      <c r="I13" s="49">
        <v>72377.880163925423</v>
      </c>
      <c r="J13" s="49">
        <v>74615.897749453434</v>
      </c>
      <c r="K13" s="49">
        <v>77539.113405686396</v>
      </c>
      <c r="L13" s="49">
        <v>75266.467959828122</v>
      </c>
      <c r="M13" s="49">
        <v>77028.510037720422</v>
      </c>
      <c r="N13" s="49">
        <v>79030.946350337152</v>
      </c>
      <c r="O13" s="49">
        <v>82025.116782078534</v>
      </c>
      <c r="P13" s="49">
        <v>82063.157559105894</v>
      </c>
      <c r="Q13" s="49">
        <v>84224.248088010223</v>
      </c>
      <c r="R13" s="49">
        <v>84049.18565598251</v>
      </c>
      <c r="S13" s="49">
        <v>86117.474510672371</v>
      </c>
      <c r="T13" s="49">
        <v>86337.80595033009</v>
      </c>
      <c r="U13" s="49">
        <v>84123.456897556433</v>
      </c>
      <c r="V13" s="49">
        <v>83713.642818856883</v>
      </c>
      <c r="W13" s="49">
        <v>81067.674155462155</v>
      </c>
      <c r="X13" s="49">
        <v>81671.344012450485</v>
      </c>
      <c r="Y13" s="49">
        <v>81531.791570203117</v>
      </c>
      <c r="Z13" s="49">
        <v>83742.801212653329</v>
      </c>
      <c r="AA13" s="49">
        <v>83054.585290812276</v>
      </c>
      <c r="AB13" s="49">
        <v>83871.122154691664</v>
      </c>
      <c r="AC13" s="49">
        <v>83649.820249291384</v>
      </c>
      <c r="AD13" s="49">
        <v>81532.887093041572</v>
      </c>
      <c r="AE13" s="49">
        <v>83009.706533396282</v>
      </c>
      <c r="AF13" s="49">
        <v>83188.58571515973</v>
      </c>
      <c r="AG13" s="49">
        <v>84727.803938213954</v>
      </c>
      <c r="AH13" s="49">
        <v>81853.383668423121</v>
      </c>
      <c r="AI13" s="49">
        <v>82743.509937720766</v>
      </c>
      <c r="AJ13" s="49">
        <v>82001.722672802556</v>
      </c>
      <c r="AK13" s="49">
        <v>81319.861324096026</v>
      </c>
      <c r="AL13" s="49">
        <v>80533.989646387228</v>
      </c>
      <c r="AM13" s="49">
        <v>79867.959842884899</v>
      </c>
      <c r="AN13" s="49">
        <v>79553.396146937084</v>
      </c>
      <c r="AO13" s="49">
        <v>79248.095563331954</v>
      </c>
      <c r="AP13" s="49">
        <v>78927.453454264774</v>
      </c>
      <c r="AQ13" s="49">
        <v>78842.775159947181</v>
      </c>
      <c r="AR13" s="49">
        <v>77910.459075782856</v>
      </c>
      <c r="AS13" s="49">
        <v>77766.820300126739</v>
      </c>
      <c r="AT13" s="49">
        <v>76934.098187030206</v>
      </c>
      <c r="AU13" s="49">
        <v>76490.312864317457</v>
      </c>
      <c r="AV13" s="49">
        <v>75989.469639910167</v>
      </c>
      <c r="AW13" s="49">
        <v>75492.258605495503</v>
      </c>
      <c r="AX13" s="49">
        <v>75009.352350917005</v>
      </c>
      <c r="AY13" s="49">
        <v>74577.154728666312</v>
      </c>
      <c r="AZ13" s="49">
        <v>74069.885352783633</v>
      </c>
      <c r="BA13" s="49">
        <v>73558.62179177448</v>
      </c>
      <c r="BB13" s="49">
        <v>72170.77212432478</v>
      </c>
      <c r="BC13" s="49">
        <v>71542.88963087961</v>
      </c>
      <c r="BD13" s="49">
        <v>70927.782128513922</v>
      </c>
      <c r="BE13" s="49">
        <v>70241.551733001397</v>
      </c>
      <c r="BF13" s="49">
        <v>69631.492932649664</v>
      </c>
      <c r="BG13" s="49">
        <v>68996.802343753487</v>
      </c>
      <c r="BH13" s="49">
        <v>68246.546099899759</v>
      </c>
      <c r="BI13" s="49">
        <v>67471.48829044422</v>
      </c>
      <c r="BJ13" s="49">
        <v>66686.312203627996</v>
      </c>
      <c r="BK13" s="49">
        <v>65860.939248086739</v>
      </c>
      <c r="BL13" s="49">
        <v>65175.760485852734</v>
      </c>
    </row>
    <row r="15" spans="1:64" x14ac:dyDescent="0.35">
      <c r="B15" s="2" t="s">
        <v>276</v>
      </c>
    </row>
    <row r="16" spans="1:64" x14ac:dyDescent="0.35">
      <c r="B16"/>
      <c r="C16" t="s">
        <v>277</v>
      </c>
      <c r="AJ16" s="49">
        <v>6620.9908420040156</v>
      </c>
      <c r="AK16" s="49">
        <v>6651.9365357424467</v>
      </c>
      <c r="AL16" s="49">
        <v>6623.0742603473564</v>
      </c>
      <c r="AM16" s="49">
        <v>6781.0132823336562</v>
      </c>
      <c r="AN16" s="49">
        <v>6655.4278799325484</v>
      </c>
      <c r="AO16" s="49">
        <v>6520.2655424442164</v>
      </c>
      <c r="AP16" s="49">
        <v>6381.1722963376496</v>
      </c>
      <c r="AQ16" s="49">
        <v>6506.8181755559981</v>
      </c>
      <c r="AR16" s="49">
        <v>5905.7546362980283</v>
      </c>
      <c r="AS16" s="49">
        <v>6056.9236928479868</v>
      </c>
      <c r="AT16" s="49">
        <v>5596.3274752384068</v>
      </c>
      <c r="AU16" s="49">
        <v>5575.3850894832731</v>
      </c>
      <c r="AV16" s="49">
        <v>5553.3302124000502</v>
      </c>
      <c r="AW16" s="49">
        <v>5530.0692020666729</v>
      </c>
      <c r="AX16" s="49">
        <v>5508.3372809716711</v>
      </c>
      <c r="AY16" s="49">
        <v>5486.3649459419757</v>
      </c>
      <c r="AZ16" s="49">
        <v>5464.1052126909472</v>
      </c>
      <c r="BA16" s="49">
        <v>5441.3209115873624</v>
      </c>
      <c r="BB16" s="49">
        <v>4693.1623595116353</v>
      </c>
      <c r="BC16" s="49">
        <v>4687.5318918158255</v>
      </c>
      <c r="BD16" s="49">
        <v>4675.1679036541736</v>
      </c>
      <c r="BE16" s="49">
        <v>4660.8554220651004</v>
      </c>
      <c r="BF16" s="49">
        <v>4650.3727437467523</v>
      </c>
      <c r="BG16" s="49">
        <v>4641.8397784768504</v>
      </c>
      <c r="BH16" s="49">
        <v>4632.513868560528</v>
      </c>
      <c r="BI16" s="49">
        <v>4622.4723960533047</v>
      </c>
      <c r="BJ16" s="49">
        <v>4612.0205272079347</v>
      </c>
      <c r="BK16" s="49">
        <v>4601.4331171459862</v>
      </c>
      <c r="BL16" s="49">
        <v>4590.5735422366097</v>
      </c>
    </row>
    <row r="17" spans="2:64" x14ac:dyDescent="0.35">
      <c r="C17" t="s">
        <v>278</v>
      </c>
      <c r="AJ17" s="49">
        <v>4049.1322740102487</v>
      </c>
      <c r="AK17" s="49">
        <v>3428.3695003524099</v>
      </c>
      <c r="AL17" s="49">
        <v>2832.5929019292289</v>
      </c>
      <c r="AM17" s="49">
        <v>2263.2776941608327</v>
      </c>
      <c r="AN17" s="49">
        <v>2215.8523617844685</v>
      </c>
      <c r="AO17" s="49">
        <v>2196.8470931643315</v>
      </c>
      <c r="AP17" s="49">
        <v>2188.8218979057656</v>
      </c>
      <c r="AQ17" s="49">
        <v>2181.2097135671584</v>
      </c>
      <c r="AR17" s="49">
        <v>2172.4146739653902</v>
      </c>
      <c r="AS17" s="49">
        <v>2164.9566142960257</v>
      </c>
      <c r="AT17" s="49">
        <v>2156.7094040132351</v>
      </c>
      <c r="AU17" s="49">
        <v>2150.3654782321478</v>
      </c>
      <c r="AV17" s="49">
        <v>2142.1635105779969</v>
      </c>
      <c r="AW17" s="49">
        <v>2134.6178289605787</v>
      </c>
      <c r="AX17" s="49">
        <v>2130.2054583104941</v>
      </c>
      <c r="AY17" s="49">
        <v>2126.3579867520425</v>
      </c>
      <c r="AZ17" s="49">
        <v>2121.5512342574516</v>
      </c>
      <c r="BA17" s="49">
        <v>2115.1605963523398</v>
      </c>
      <c r="BB17" s="49">
        <v>2107.9628985075756</v>
      </c>
      <c r="BC17" s="49">
        <v>2098.7262863800825</v>
      </c>
      <c r="BD17" s="49">
        <v>2090.6828978486301</v>
      </c>
      <c r="BE17" s="49">
        <v>2081.7064902144566</v>
      </c>
      <c r="BF17" s="49">
        <v>2072.2145455251039</v>
      </c>
      <c r="BG17" s="49">
        <v>2065.297977092926</v>
      </c>
      <c r="BH17" s="49">
        <v>2056.0296498819534</v>
      </c>
      <c r="BI17" s="49">
        <v>2046.1535253377517</v>
      </c>
      <c r="BJ17" s="49">
        <v>2035.3263541819028</v>
      </c>
      <c r="BK17" s="49">
        <v>2025.3608390620393</v>
      </c>
      <c r="BL17" s="49">
        <v>2016.8375422424319</v>
      </c>
    </row>
    <row r="18" spans="2:64" x14ac:dyDescent="0.35">
      <c r="C18" t="s">
        <v>67</v>
      </c>
      <c r="AJ18" s="49">
        <v>20433.290905889564</v>
      </c>
      <c r="AK18" s="49">
        <v>20578.804893116045</v>
      </c>
      <c r="AL18" s="49">
        <v>20664.492229812891</v>
      </c>
      <c r="AM18" s="49">
        <v>20732.293963648026</v>
      </c>
      <c r="AN18" s="49">
        <v>20795.579153854243</v>
      </c>
      <c r="AO18" s="49">
        <v>20851.952385192257</v>
      </c>
      <c r="AP18" s="49">
        <v>20885.798844725174</v>
      </c>
      <c r="AQ18" s="49">
        <v>20850.887584675816</v>
      </c>
      <c r="AR18" s="49">
        <v>20791.965177878599</v>
      </c>
      <c r="AS18" s="49">
        <v>20683.381339506814</v>
      </c>
      <c r="AT18" s="49">
        <v>20529.040874710903</v>
      </c>
      <c r="AU18" s="49">
        <v>20312.395039764655</v>
      </c>
      <c r="AV18" s="49">
        <v>20040.584532820285</v>
      </c>
      <c r="AW18" s="49">
        <v>19736.44716393081</v>
      </c>
      <c r="AX18" s="49">
        <v>19347.408390621316</v>
      </c>
      <c r="AY18" s="49">
        <v>18983.942023013784</v>
      </c>
      <c r="AZ18" s="49">
        <v>18525.08540928721</v>
      </c>
      <c r="BA18" s="49">
        <v>18065.387753302308</v>
      </c>
      <c r="BB18" s="49">
        <v>17547.828311139801</v>
      </c>
      <c r="BC18" s="49">
        <v>16979.964581579832</v>
      </c>
      <c r="BD18" s="49">
        <v>16415.880240849569</v>
      </c>
      <c r="BE18" s="49">
        <v>15778.843072595493</v>
      </c>
      <c r="BF18" s="49">
        <v>15208.935359949894</v>
      </c>
      <c r="BG18" s="49">
        <v>14563.298659416418</v>
      </c>
      <c r="BH18" s="49">
        <v>13829.731716144684</v>
      </c>
      <c r="BI18" s="49">
        <v>13090.383729716654</v>
      </c>
      <c r="BJ18" s="49">
        <v>12348.719423665176</v>
      </c>
      <c r="BK18" s="49">
        <v>11553.56030436181</v>
      </c>
      <c r="BL18" s="49">
        <v>10885.501170377982</v>
      </c>
    </row>
    <row r="19" spans="2:64" x14ac:dyDescent="0.35">
      <c r="C19" t="s">
        <v>279</v>
      </c>
      <c r="AJ19" s="49">
        <v>118.96259807191089</v>
      </c>
      <c r="AK19" s="49">
        <v>119.1936523354848</v>
      </c>
      <c r="AL19" s="49">
        <v>119.67666575848375</v>
      </c>
      <c r="AM19" s="49">
        <v>120.18987601464052</v>
      </c>
      <c r="AN19" s="49">
        <v>120.67211637945564</v>
      </c>
      <c r="AO19" s="49">
        <v>121.12977181664805</v>
      </c>
      <c r="AP19" s="49">
        <v>121.55735738720179</v>
      </c>
      <c r="AQ19" s="49">
        <v>121.97471697118148</v>
      </c>
      <c r="AR19" s="49">
        <v>122.33277427795721</v>
      </c>
      <c r="AS19" s="49">
        <v>122.65912962367568</v>
      </c>
      <c r="AT19" s="49">
        <v>122.98972981726227</v>
      </c>
      <c r="AU19" s="49">
        <v>123.27505065429928</v>
      </c>
      <c r="AV19" s="49">
        <v>123.51241254614196</v>
      </c>
      <c r="AW19" s="49">
        <v>123.72422173752589</v>
      </c>
      <c r="AX19" s="49">
        <v>123.92140026516942</v>
      </c>
      <c r="AY19" s="49">
        <v>124.1081010095255</v>
      </c>
      <c r="AZ19" s="49">
        <v>124.28462837424598</v>
      </c>
      <c r="BA19" s="49">
        <v>124.45293230548957</v>
      </c>
      <c r="BB19" s="49">
        <v>124.61304802158079</v>
      </c>
      <c r="BC19" s="49">
        <v>124.76524336592634</v>
      </c>
      <c r="BD19" s="49">
        <v>125.07200459289938</v>
      </c>
      <c r="BE19" s="49">
        <v>125.37179246706846</v>
      </c>
      <c r="BF19" s="49">
        <v>125.54847703300841</v>
      </c>
      <c r="BG19" s="49">
        <v>125.67307822959638</v>
      </c>
      <c r="BH19" s="49">
        <v>125.79028332682392</v>
      </c>
      <c r="BI19" s="49">
        <v>125.90111858459153</v>
      </c>
      <c r="BJ19" s="49">
        <v>126.00711859445441</v>
      </c>
      <c r="BK19" s="49">
        <v>126.10736405379724</v>
      </c>
      <c r="BL19" s="49">
        <v>126.20084694302008</v>
      </c>
    </row>
    <row r="21" spans="2:64" x14ac:dyDescent="0.35">
      <c r="B21" s="2" t="s">
        <v>280</v>
      </c>
      <c r="AJ21" s="49">
        <v>1161.9495465072846</v>
      </c>
      <c r="AK21" s="49">
        <v>1146.7712236842483</v>
      </c>
      <c r="AL21" s="49">
        <v>1137.3131155080739</v>
      </c>
      <c r="AM21" s="49">
        <v>1129.9447250604785</v>
      </c>
      <c r="AN21" s="49">
        <v>1123.5755361147676</v>
      </c>
      <c r="AO21" s="49">
        <v>1118.4273244398114</v>
      </c>
      <c r="AP21" s="49">
        <v>1114.4310852896397</v>
      </c>
      <c r="AQ21" s="49">
        <v>1111.4593753355593</v>
      </c>
      <c r="AR21" s="49">
        <v>1109.2563975632295</v>
      </c>
      <c r="AS21" s="49">
        <v>1107.6574800963419</v>
      </c>
      <c r="AT21" s="49">
        <v>1106.6124157931963</v>
      </c>
      <c r="AU21" s="49">
        <v>1106.1450478194379</v>
      </c>
      <c r="AV21" s="49">
        <v>1106.1694584496231</v>
      </c>
      <c r="AW21" s="49">
        <v>1106.9798795750185</v>
      </c>
      <c r="AX21" s="49">
        <v>1108.115161744983</v>
      </c>
      <c r="AY21" s="49">
        <v>1109.6853827085258</v>
      </c>
      <c r="AZ21" s="49">
        <v>1111.7430761861017</v>
      </c>
      <c r="BA21" s="49">
        <v>1114.1522687974546</v>
      </c>
      <c r="BB21" s="49">
        <v>1117.252125139305</v>
      </c>
      <c r="BC21" s="49">
        <v>1120.8278848192194</v>
      </c>
      <c r="BD21" s="49">
        <v>1124.7920753721492</v>
      </c>
      <c r="BE21" s="49">
        <v>1129.1899173601998</v>
      </c>
      <c r="BF21" s="49">
        <v>1133.902903105869</v>
      </c>
      <c r="BG21" s="49">
        <v>1139.1924429514847</v>
      </c>
      <c r="BH21" s="49">
        <v>1144.7363774849107</v>
      </c>
      <c r="BI21" s="49">
        <v>1150.1917884750994</v>
      </c>
      <c r="BJ21" s="49">
        <v>1155.765892186454</v>
      </c>
      <c r="BK21" s="49">
        <v>1161.5634944921014</v>
      </c>
      <c r="BL21" s="49">
        <v>1167.6341315086681</v>
      </c>
    </row>
    <row r="22" spans="2:64" x14ac:dyDescent="0.35">
      <c r="B22"/>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r="23" spans="2:64" x14ac:dyDescent="0.35">
      <c r="B23" s="2" t="s">
        <v>281</v>
      </c>
      <c r="AJ23" s="49">
        <v>1532.7389575698896</v>
      </c>
      <c r="AK23" s="49">
        <v>1571.1963531860279</v>
      </c>
      <c r="AL23" s="49">
        <v>1604.5458079697476</v>
      </c>
      <c r="AM23" s="49">
        <v>1574.8765590979046</v>
      </c>
      <c r="AN23" s="49">
        <v>1564.1784699259267</v>
      </c>
      <c r="AO23" s="49">
        <v>1521.6792093466731</v>
      </c>
      <c r="AP23" s="49">
        <v>1484.3617317689443</v>
      </c>
      <c r="AQ23" s="49">
        <v>1465.9411792079748</v>
      </c>
      <c r="AR23" s="49">
        <v>1438.4546911116267</v>
      </c>
      <c r="AS23" s="49">
        <v>1400.4281133020238</v>
      </c>
      <c r="AT23" s="49">
        <v>1364.1812757520793</v>
      </c>
      <c r="AU23" s="49">
        <v>1317.6330145857228</v>
      </c>
      <c r="AV23" s="49">
        <v>1278.5605964590591</v>
      </c>
      <c r="AW23" s="49">
        <v>1254.3232394352876</v>
      </c>
      <c r="AX23" s="49">
        <v>1221.6349532444035</v>
      </c>
      <c r="AY23" s="49">
        <v>1199.5392006569834</v>
      </c>
      <c r="AZ23" s="49">
        <v>1179.3495754813059</v>
      </c>
      <c r="BA23" s="49">
        <v>1161.1481785073604</v>
      </c>
      <c r="BB23" s="49">
        <v>1144.9945147222995</v>
      </c>
      <c r="BC23" s="49">
        <v>1132.5461661544232</v>
      </c>
      <c r="BD23" s="49">
        <v>1122.76832421105</v>
      </c>
      <c r="BE23" s="49">
        <v>1118.0561385821702</v>
      </c>
      <c r="BF23" s="49">
        <v>1116.2110733309969</v>
      </c>
      <c r="BG23" s="49">
        <v>1116.903836874573</v>
      </c>
      <c r="BH23" s="49">
        <v>1120.8750550832701</v>
      </c>
      <c r="BI23" s="49">
        <v>1128.2423366845119</v>
      </c>
      <c r="BJ23" s="49">
        <v>1137.6610845196117</v>
      </c>
      <c r="BK23" s="49">
        <v>1148.2541453011199</v>
      </c>
      <c r="BL23" s="49">
        <v>1161.810181334916</v>
      </c>
    </row>
    <row r="24" spans="2:64" x14ac:dyDescent="0.35">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2:64" x14ac:dyDescent="0.35">
      <c r="B25" s="2" t="s">
        <v>282</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v>1792.9671172047294</v>
      </c>
      <c r="AK25" s="49">
        <v>1792.9671172047294</v>
      </c>
      <c r="AL25" s="49">
        <v>1792.9671172047294</v>
      </c>
      <c r="AM25" s="49">
        <v>1792.9671172047294</v>
      </c>
      <c r="AN25" s="49">
        <v>1792.9671172047294</v>
      </c>
      <c r="AO25" s="49">
        <v>1792.9671172047294</v>
      </c>
      <c r="AP25" s="49">
        <v>1792.9671172047294</v>
      </c>
      <c r="AQ25" s="49">
        <v>1792.9671172047294</v>
      </c>
      <c r="AR25" s="49">
        <v>1792.9671172047294</v>
      </c>
      <c r="AS25" s="49">
        <v>1792.9671172047294</v>
      </c>
      <c r="AT25" s="49">
        <v>1792.9671172047294</v>
      </c>
      <c r="AU25" s="49">
        <v>1792.9671172047294</v>
      </c>
      <c r="AV25" s="49">
        <v>1792.9671172047294</v>
      </c>
      <c r="AW25" s="49">
        <v>1792.9671172047294</v>
      </c>
      <c r="AX25" s="49">
        <v>1792.9671172047294</v>
      </c>
      <c r="AY25" s="49">
        <v>1792.9671172047294</v>
      </c>
      <c r="AZ25" s="49">
        <v>1792.9671172047294</v>
      </c>
      <c r="BA25" s="49">
        <v>1792.9671172047294</v>
      </c>
      <c r="BB25" s="49">
        <v>1792.9671172047294</v>
      </c>
      <c r="BC25" s="49">
        <v>1792.9671172047294</v>
      </c>
      <c r="BD25" s="49">
        <v>1792.9671172047294</v>
      </c>
      <c r="BE25" s="49">
        <v>1792.9671172047294</v>
      </c>
      <c r="BF25" s="49">
        <v>1792.9671172047294</v>
      </c>
      <c r="BG25" s="49">
        <v>1792.9671172047294</v>
      </c>
      <c r="BH25" s="49">
        <v>1792.9671172047294</v>
      </c>
      <c r="BI25" s="49">
        <v>1792.9671172047294</v>
      </c>
      <c r="BJ25" s="49">
        <v>1792.9671172047294</v>
      </c>
      <c r="BK25" s="49">
        <v>1792.9671172047294</v>
      </c>
      <c r="BL25" s="49">
        <v>1792.9671172047294</v>
      </c>
    </row>
    <row r="26" spans="2:64" x14ac:dyDescent="0.35">
      <c r="B26"/>
    </row>
    <row r="27" spans="2:64" x14ac:dyDescent="0.35">
      <c r="B27" s="2" t="s">
        <v>283</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49">
        <v>69.418684532459778</v>
      </c>
      <c r="AK27" s="49">
        <v>61.966553591525333</v>
      </c>
      <c r="AL27" s="49">
        <v>54.82282094400928</v>
      </c>
      <c r="AM27" s="49">
        <v>47.996558547454221</v>
      </c>
      <c r="AN27" s="49">
        <v>47.425745980033732</v>
      </c>
      <c r="AO27" s="49">
        <v>47.197670095949555</v>
      </c>
      <c r="AP27" s="49">
        <v>47.100590504614409</v>
      </c>
      <c r="AQ27" s="49">
        <v>47.008568354668313</v>
      </c>
      <c r="AR27" s="49">
        <v>46.901763400847173</v>
      </c>
      <c r="AS27" s="49">
        <v>46.811514097394038</v>
      </c>
      <c r="AT27" s="49">
        <v>46.711384981231902</v>
      </c>
      <c r="AU27" s="49">
        <v>46.634862857162346</v>
      </c>
      <c r="AV27" s="49">
        <v>46.535176604293774</v>
      </c>
      <c r="AW27" s="49">
        <v>46.443601982785729</v>
      </c>
      <c r="AX27" s="49">
        <v>46.39095754408541</v>
      </c>
      <c r="AY27" s="49">
        <v>46.345311796886001</v>
      </c>
      <c r="AZ27" s="49">
        <v>46.287712567953051</v>
      </c>
      <c r="BA27" s="49">
        <v>46.210395546575526</v>
      </c>
      <c r="BB27" s="49">
        <v>46.123021681633979</v>
      </c>
      <c r="BC27" s="49">
        <v>46.010273156728488</v>
      </c>
      <c r="BD27" s="49">
        <v>45.91234447542638</v>
      </c>
      <c r="BE27" s="49">
        <v>45.802795430376243</v>
      </c>
      <c r="BF27" s="49">
        <v>45.686817575454334</v>
      </c>
      <c r="BG27" s="49">
        <v>45.602848217687594</v>
      </c>
      <c r="BH27" s="49">
        <v>45.489616832614828</v>
      </c>
      <c r="BI27" s="49">
        <v>45.368811082040274</v>
      </c>
      <c r="BJ27" s="49">
        <v>45.236164366179736</v>
      </c>
      <c r="BK27" s="49">
        <v>45.114217875582597</v>
      </c>
      <c r="BL27" s="49">
        <v>45.010190319119147</v>
      </c>
    </row>
    <row r="28" spans="2:64" x14ac:dyDescent="0.35">
      <c r="AJ28" s="49"/>
    </row>
    <row r="29" spans="2:64" x14ac:dyDescent="0.35">
      <c r="B29" s="2" t="s">
        <v>284</v>
      </c>
      <c r="AJ29" s="49">
        <v>230.7912012229863</v>
      </c>
      <c r="AK29" s="49">
        <v>234.54361925936306</v>
      </c>
      <c r="AL29" s="49">
        <v>236.93173160768461</v>
      </c>
      <c r="AM29" s="49">
        <v>239.652711465576</v>
      </c>
      <c r="AN29" s="49">
        <v>242.39264001998779</v>
      </c>
      <c r="AO29" s="49">
        <v>245.06235580497241</v>
      </c>
      <c r="AP29" s="49">
        <v>247.64218204036609</v>
      </c>
      <c r="AQ29" s="49">
        <v>250.00883736241119</v>
      </c>
      <c r="AR29" s="49">
        <v>252.18728832902565</v>
      </c>
      <c r="AS29" s="49">
        <v>254.29602332857206</v>
      </c>
      <c r="AT29" s="49">
        <v>256.34440580371319</v>
      </c>
      <c r="AU29" s="49">
        <v>258.3364170615265</v>
      </c>
      <c r="AV29" s="49">
        <v>260.28728633968012</v>
      </c>
      <c r="AW29" s="49">
        <v>262.20961404882837</v>
      </c>
      <c r="AX29" s="49">
        <v>264.14380279832176</v>
      </c>
      <c r="AY29" s="49">
        <v>266.11300143713333</v>
      </c>
      <c r="AZ29" s="49">
        <v>268.12425155210212</v>
      </c>
      <c r="BA29" s="49">
        <v>270.1866541211229</v>
      </c>
      <c r="BB29" s="49">
        <v>272.30366163286669</v>
      </c>
      <c r="BC29" s="49">
        <v>274.4794879602814</v>
      </c>
      <c r="BD29" s="49">
        <v>276.72017611261424</v>
      </c>
      <c r="BE29" s="49">
        <v>279.03752173605756</v>
      </c>
      <c r="BF29" s="49">
        <v>281.43507418514582</v>
      </c>
      <c r="BG29" s="49">
        <v>283.92611102105741</v>
      </c>
      <c r="BH29" s="49">
        <v>286.52299784053287</v>
      </c>
      <c r="BI29" s="49">
        <v>289.22855098255184</v>
      </c>
      <c r="BJ29" s="49">
        <v>292.01625151684846</v>
      </c>
      <c r="BK29" s="49">
        <v>294.77303471731796</v>
      </c>
      <c r="BL29" s="49">
        <v>297.46302854253133</v>
      </c>
    </row>
    <row r="30" spans="2:64" x14ac:dyDescent="0.35">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row>
    <row r="31" spans="2:64" x14ac:dyDescent="0.35">
      <c r="B31" s="2" t="s">
        <v>285</v>
      </c>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2:64" x14ac:dyDescent="0.35">
      <c r="B32"/>
      <c r="C32" t="s">
        <v>286</v>
      </c>
      <c r="AJ32" s="49">
        <v>-3985.1730109819578</v>
      </c>
      <c r="AK32" s="49">
        <v>-3894.6536050157156</v>
      </c>
      <c r="AL32" s="49">
        <v>-4006.5523825188502</v>
      </c>
      <c r="AM32" s="49">
        <v>-5160.2670117195357</v>
      </c>
      <c r="AN32" s="49">
        <v>-6915.8288262020351</v>
      </c>
      <c r="AO32" s="49">
        <v>-8731.0249845038434</v>
      </c>
      <c r="AP32" s="49">
        <v>-10679.447969989504</v>
      </c>
      <c r="AQ32" s="49">
        <v>-11830.746673836391</v>
      </c>
      <c r="AR32" s="49">
        <v>-12321.620173322999</v>
      </c>
      <c r="AS32" s="49">
        <v>-13239.4590808008</v>
      </c>
      <c r="AT32" s="49">
        <v>-14097.752919506598</v>
      </c>
      <c r="AU32" s="49">
        <v>-15028.896944564327</v>
      </c>
      <c r="AV32" s="49">
        <v>-15813.967011003726</v>
      </c>
      <c r="AW32" s="49">
        <v>-16527.634484015238</v>
      </c>
      <c r="AX32" s="49">
        <v>-17571.549706155922</v>
      </c>
      <c r="AY32" s="49">
        <v>-18786.591214874356</v>
      </c>
      <c r="AZ32" s="49">
        <v>-19906.31041443034</v>
      </c>
      <c r="BA32" s="49">
        <v>-21114.56269647559</v>
      </c>
      <c r="BB32" s="49">
        <v>-22328.275221283602</v>
      </c>
      <c r="BC32" s="49">
        <v>-23550.103182231229</v>
      </c>
      <c r="BD32" s="49">
        <v>-24198.316654946895</v>
      </c>
      <c r="BE32" s="49">
        <v>-24359.478717852984</v>
      </c>
      <c r="BF32" s="49">
        <v>-24265.407162143834</v>
      </c>
      <c r="BG32" s="49">
        <v>-23944.067294781122</v>
      </c>
      <c r="BH32" s="49">
        <v>-24199.956320963793</v>
      </c>
      <c r="BI32" s="49">
        <v>-24436.122716051566</v>
      </c>
      <c r="BJ32" s="49">
        <v>-24640.689028898203</v>
      </c>
      <c r="BK32" s="49">
        <v>-24739.423210251567</v>
      </c>
      <c r="BL32" s="49">
        <v>-24972.739204865902</v>
      </c>
    </row>
    <row r="33" spans="1:64" x14ac:dyDescent="0.35">
      <c r="C33" t="s">
        <v>218</v>
      </c>
      <c r="AJ33" s="49">
        <v>-2173.0897334414153</v>
      </c>
      <c r="AK33" s="49">
        <v>-2050.6019703907405</v>
      </c>
      <c r="AL33" s="49">
        <v>-1821.5195092326003</v>
      </c>
      <c r="AM33" s="49">
        <v>-1341.452333135232</v>
      </c>
      <c r="AN33" s="49">
        <v>-856.31781763044</v>
      </c>
      <c r="AO33" s="49">
        <v>-516.62014015337445</v>
      </c>
      <c r="AP33" s="49">
        <v>-425.6420758207114</v>
      </c>
      <c r="AQ33" s="49">
        <v>-309.12622204602667</v>
      </c>
      <c r="AR33" s="49">
        <v>-242.80055688681205</v>
      </c>
      <c r="AS33" s="49">
        <v>-157.08602297784819</v>
      </c>
      <c r="AT33" s="49">
        <v>38.329083286735113</v>
      </c>
      <c r="AU33" s="49">
        <v>241.92346843237465</v>
      </c>
      <c r="AV33" s="49">
        <v>382.79467302635021</v>
      </c>
      <c r="AW33" s="49">
        <v>391.56733443062694</v>
      </c>
      <c r="AX33" s="49">
        <v>416.34522161642599</v>
      </c>
      <c r="AY33" s="49">
        <v>-384.93683145525938</v>
      </c>
      <c r="AZ33" s="49">
        <v>-334.85015093418406</v>
      </c>
      <c r="BA33" s="49">
        <v>-225.60832889554877</v>
      </c>
      <c r="BB33" s="49">
        <v>-92.008894939870515</v>
      </c>
      <c r="BC33" s="49">
        <v>72.909387930067169</v>
      </c>
      <c r="BD33" s="49">
        <v>102.44591892237804</v>
      </c>
      <c r="BE33" s="49">
        <v>124.48186940250162</v>
      </c>
      <c r="BF33" s="49">
        <v>148.60498481168543</v>
      </c>
      <c r="BG33" s="49">
        <v>173.48521778921349</v>
      </c>
      <c r="BH33" s="49">
        <v>190.79968959626422</v>
      </c>
      <c r="BI33" s="49">
        <v>203.64802527284337</v>
      </c>
      <c r="BJ33" s="49">
        <v>217.12873998893338</v>
      </c>
      <c r="BK33" s="49">
        <v>228.96895109288744</v>
      </c>
      <c r="BL33" s="49">
        <v>240.4180820053225</v>
      </c>
    </row>
    <row r="35" spans="1:64" s="59" customFormat="1" x14ac:dyDescent="0.35">
      <c r="A35" s="58" t="s">
        <v>287</v>
      </c>
    </row>
    <row r="37" spans="1:64" x14ac:dyDescent="0.35">
      <c r="B37" s="2" t="s">
        <v>299</v>
      </c>
    </row>
    <row r="38" spans="1:64" x14ac:dyDescent="0.35">
      <c r="B38"/>
      <c r="C38" t="s">
        <v>273</v>
      </c>
      <c r="D38" s="49">
        <v>8126.1945618773643</v>
      </c>
      <c r="E38" s="49">
        <v>8106.661121873205</v>
      </c>
      <c r="F38" s="49">
        <v>8469.9964545997555</v>
      </c>
      <c r="G38" s="49">
        <v>8922.6885824844103</v>
      </c>
      <c r="H38" s="49">
        <v>9583.8002483498967</v>
      </c>
      <c r="I38" s="49">
        <v>10247.564720783123</v>
      </c>
      <c r="J38" s="49">
        <v>10378.724398951666</v>
      </c>
      <c r="K38" s="49">
        <v>10605.333888617772</v>
      </c>
      <c r="L38" s="49">
        <v>10810.458340752642</v>
      </c>
      <c r="M38" s="49">
        <v>11096.605458727845</v>
      </c>
      <c r="N38" s="49">
        <v>11648.310343290637</v>
      </c>
      <c r="O38" s="49">
        <v>11705.871223077451</v>
      </c>
      <c r="P38" s="49">
        <v>12162.021231248526</v>
      </c>
      <c r="Q38" s="49">
        <v>12697.797549640931</v>
      </c>
      <c r="R38" s="49">
        <v>12992.367162928625</v>
      </c>
      <c r="S38" s="49">
        <v>13063.440862686894</v>
      </c>
      <c r="T38" s="49">
        <v>13182.198504199005</v>
      </c>
      <c r="U38" s="49">
        <v>13284.806809600492</v>
      </c>
      <c r="V38" s="49">
        <v>13293.959706338926</v>
      </c>
      <c r="W38" s="49">
        <v>13101.086214174264</v>
      </c>
      <c r="X38" s="49">
        <v>13348.937535477718</v>
      </c>
      <c r="Y38" s="49">
        <v>13331.827621000642</v>
      </c>
      <c r="Z38" s="49">
        <v>13006.487718579234</v>
      </c>
      <c r="AA38" s="49">
        <v>13081.360160828839</v>
      </c>
      <c r="AB38" s="49">
        <v>13339.646613066796</v>
      </c>
      <c r="AC38" s="49">
        <v>13805.025309105527</v>
      </c>
      <c r="AD38" s="49">
        <v>13906.520809611657</v>
      </c>
      <c r="AE38" s="49">
        <v>14803.702978914342</v>
      </c>
      <c r="AF38" s="49">
        <v>15126.124771992951</v>
      </c>
      <c r="AG38" s="49">
        <v>14654.704680232724</v>
      </c>
      <c r="AH38" s="49">
        <v>13175.66592208733</v>
      </c>
      <c r="AI38" s="49">
        <v>14394.791851582964</v>
      </c>
      <c r="AJ38" s="49">
        <v>15140.265259996118</v>
      </c>
      <c r="AK38" s="49">
        <v>15362.634241297063</v>
      </c>
      <c r="AL38" s="49">
        <v>15411.853216975163</v>
      </c>
      <c r="AM38" s="49">
        <v>15439.957772643442</v>
      </c>
      <c r="AN38" s="49">
        <v>15464.39986047041</v>
      </c>
      <c r="AO38" s="49">
        <v>15459.410553025085</v>
      </c>
      <c r="AP38" s="49">
        <v>15408.544359356772</v>
      </c>
      <c r="AQ38" s="49">
        <v>15308.574350898249</v>
      </c>
      <c r="AR38" s="49">
        <v>15204.131988598185</v>
      </c>
      <c r="AS38" s="49">
        <v>15052.30748579924</v>
      </c>
      <c r="AT38" s="49">
        <v>14859.334651530886</v>
      </c>
      <c r="AU38" s="49">
        <v>14608.520120619491</v>
      </c>
      <c r="AV38" s="49">
        <v>14307.818800629859</v>
      </c>
      <c r="AW38" s="49">
        <v>13979.681295824417</v>
      </c>
      <c r="AX38" s="49">
        <v>13570.962086277796</v>
      </c>
      <c r="AY38" s="49">
        <v>13193.364585992662</v>
      </c>
      <c r="AZ38" s="49">
        <v>12727.103228419008</v>
      </c>
      <c r="BA38" s="49">
        <v>12267.954843576324</v>
      </c>
      <c r="BB38" s="49">
        <v>11760.201738205411</v>
      </c>
      <c r="BC38" s="49">
        <v>11213.048249656971</v>
      </c>
      <c r="BD38" s="49">
        <v>10681.689522277311</v>
      </c>
      <c r="BE38" s="49">
        <v>10091.440324232382</v>
      </c>
      <c r="BF38" s="49">
        <v>9584.5311393793017</v>
      </c>
      <c r="BG38" s="49">
        <v>9020.1523329331922</v>
      </c>
      <c r="BH38" s="49">
        <v>8390.0096776042246</v>
      </c>
      <c r="BI38" s="49">
        <v>7779.4250243551405</v>
      </c>
      <c r="BJ38" s="49">
        <v>7186.1050085689149</v>
      </c>
      <c r="BK38" s="49">
        <v>6538.4981434189594</v>
      </c>
      <c r="BL38" s="49">
        <v>6012.4657141952848</v>
      </c>
    </row>
    <row r="39" spans="1:64" x14ac:dyDescent="0.35">
      <c r="C39" t="s">
        <v>274</v>
      </c>
      <c r="D39" s="49">
        <v>15751.457119942432</v>
      </c>
      <c r="E39" s="49">
        <v>16260.763635184612</v>
      </c>
      <c r="F39" s="49">
        <v>17758.189935011564</v>
      </c>
      <c r="G39" s="49">
        <v>16839.732611162875</v>
      </c>
      <c r="H39" s="49">
        <v>16497.457587552446</v>
      </c>
      <c r="I39" s="49">
        <v>15618.085712577753</v>
      </c>
      <c r="J39" s="49">
        <v>17083.054848425389</v>
      </c>
      <c r="K39" s="49">
        <v>18888.501120561912</v>
      </c>
      <c r="L39" s="49">
        <v>17101.107279390875</v>
      </c>
      <c r="M39" s="49">
        <v>18186.151145039094</v>
      </c>
      <c r="N39" s="49">
        <v>18370.06129168706</v>
      </c>
      <c r="O39" s="49">
        <v>20332.557983234976</v>
      </c>
      <c r="P39" s="49">
        <v>19826.561624475569</v>
      </c>
      <c r="Q39" s="49">
        <v>20715.372328325397</v>
      </c>
      <c r="R39" s="49">
        <v>20063.148999961377</v>
      </c>
      <c r="S39" s="49">
        <v>21585.171872315932</v>
      </c>
      <c r="T39" s="49">
        <v>21864.599123014294</v>
      </c>
      <c r="U39" s="49">
        <v>20354.048014398646</v>
      </c>
      <c r="V39" s="49">
        <v>21480.730358969609</v>
      </c>
      <c r="W39" s="49">
        <v>18989.974763630606</v>
      </c>
      <c r="X39" s="49">
        <v>18897.274228602691</v>
      </c>
      <c r="Y39" s="49">
        <v>18238.205068148098</v>
      </c>
      <c r="Z39" s="49">
        <v>19945.036100062269</v>
      </c>
      <c r="AA39" s="49">
        <v>19006.798121776083</v>
      </c>
      <c r="AB39" s="49">
        <v>18818.737812995834</v>
      </c>
      <c r="AC39" s="49">
        <v>18599.558463781785</v>
      </c>
      <c r="AD39" s="49">
        <v>17094.00307321069</v>
      </c>
      <c r="AE39" s="49">
        <v>17648.574192506356</v>
      </c>
      <c r="AF39" s="49">
        <v>17397.469601782203</v>
      </c>
      <c r="AG39" s="49">
        <v>19264.921922553574</v>
      </c>
      <c r="AH39" s="49">
        <v>18284.708741332448</v>
      </c>
      <c r="AI39" s="49">
        <v>18599.735859371383</v>
      </c>
      <c r="AJ39" s="49">
        <v>17542.666010720466</v>
      </c>
      <c r="AK39" s="49">
        <v>16939.579526678874</v>
      </c>
      <c r="AL39" s="49">
        <v>16375.984751507589</v>
      </c>
      <c r="AM39" s="49">
        <v>15998.840706560077</v>
      </c>
      <c r="AN39" s="49">
        <v>15857.999737150982</v>
      </c>
      <c r="AO39" s="49">
        <v>15759.566293226779</v>
      </c>
      <c r="AP39" s="49">
        <v>15691.866314950455</v>
      </c>
      <c r="AQ39" s="49">
        <v>15874.326967947667</v>
      </c>
      <c r="AR39" s="49">
        <v>15270.121196893801</v>
      </c>
      <c r="AS39" s="49">
        <v>15456.492134845294</v>
      </c>
      <c r="AT39" s="49">
        <v>15015.026042177145</v>
      </c>
      <c r="AU39" s="49">
        <v>15018.433926891523</v>
      </c>
      <c r="AV39" s="49">
        <v>15014.385284339</v>
      </c>
      <c r="AW39" s="49">
        <v>15004.819333405767</v>
      </c>
      <c r="AX39" s="49">
        <v>14995.964296508435</v>
      </c>
      <c r="AY39" s="49">
        <v>14981.754240673257</v>
      </c>
      <c r="AZ39" s="49">
        <v>14960.226904248746</v>
      </c>
      <c r="BA39" s="49">
        <v>14928.604021463965</v>
      </c>
      <c r="BB39" s="49">
        <v>14123.108945824009</v>
      </c>
      <c r="BC39" s="49">
        <v>14087.045488999875</v>
      </c>
      <c r="BD39" s="49">
        <v>14033.608906521829</v>
      </c>
      <c r="BE39" s="49">
        <v>13963.977549803471</v>
      </c>
      <c r="BF39" s="49">
        <v>13883.553478014559</v>
      </c>
      <c r="BG39" s="49">
        <v>13789.38103276527</v>
      </c>
      <c r="BH39" s="49">
        <v>13669.798638698718</v>
      </c>
      <c r="BI39" s="49">
        <v>13523.130955677607</v>
      </c>
      <c r="BJ39" s="49">
        <v>13355.196480335764</v>
      </c>
      <c r="BK39" s="49">
        <v>13188.598605197616</v>
      </c>
      <c r="BL39" s="49">
        <v>13027.937191342417</v>
      </c>
    </row>
    <row r="40" spans="1:64" x14ac:dyDescent="0.35">
      <c r="C40" t="s">
        <v>60</v>
      </c>
      <c r="D40" s="49">
        <v>3579.9241346438948</v>
      </c>
      <c r="E40" s="49">
        <v>3728.6111222987829</v>
      </c>
      <c r="F40" s="49">
        <v>3374.0926125681876</v>
      </c>
      <c r="G40" s="49">
        <v>3213.4642440055904</v>
      </c>
      <c r="H40" s="49">
        <v>3082.8039477327038</v>
      </c>
      <c r="I40" s="49">
        <v>3174.4319661035479</v>
      </c>
      <c r="J40" s="49">
        <v>3365.5491486420492</v>
      </c>
      <c r="K40" s="49">
        <v>3253.3568142669214</v>
      </c>
      <c r="L40" s="49">
        <v>3237.0127278299415</v>
      </c>
      <c r="M40" s="49">
        <v>3412.9403172224529</v>
      </c>
      <c r="N40" s="49">
        <v>3443.2215068220407</v>
      </c>
      <c r="O40" s="49">
        <v>3558.4810172775565</v>
      </c>
      <c r="P40" s="49">
        <v>3680.4558967406147</v>
      </c>
      <c r="Q40" s="49">
        <v>3916.5350179642096</v>
      </c>
      <c r="R40" s="49">
        <v>3952.997270519284</v>
      </c>
      <c r="S40" s="49">
        <v>4061.6484302342874</v>
      </c>
      <c r="T40" s="49">
        <v>4171.1765319764372</v>
      </c>
      <c r="U40" s="49">
        <v>4431.1900620868064</v>
      </c>
      <c r="V40" s="49">
        <v>4322.4399267639474</v>
      </c>
      <c r="W40" s="49">
        <v>4274.5913164439062</v>
      </c>
      <c r="X40" s="49">
        <v>4591.1325441158442</v>
      </c>
      <c r="Y40" s="49">
        <v>4627.3865476130059</v>
      </c>
      <c r="Z40" s="49">
        <v>4703.1898738720029</v>
      </c>
      <c r="AA40" s="49">
        <v>4836.3461555290796</v>
      </c>
      <c r="AB40" s="49">
        <v>5006.9811906990517</v>
      </c>
      <c r="AC40" s="49">
        <v>5137.3234307296034</v>
      </c>
      <c r="AD40" s="49">
        <v>4883.0727657886491</v>
      </c>
      <c r="AE40" s="49">
        <v>4928.4399302853481</v>
      </c>
      <c r="AF40" s="49">
        <v>4825.0737740304521</v>
      </c>
      <c r="AG40" s="49">
        <v>4861.0458918188215</v>
      </c>
      <c r="AH40" s="49">
        <v>4618.3537995997167</v>
      </c>
      <c r="AI40" s="49">
        <v>4833.9717039196803</v>
      </c>
      <c r="AJ40" s="49">
        <v>4766.3422517844256</v>
      </c>
      <c r="AK40" s="49">
        <v>4782.1770594119616</v>
      </c>
      <c r="AL40" s="49">
        <v>4819.942125109972</v>
      </c>
      <c r="AM40" s="49">
        <v>4790.9847798226383</v>
      </c>
      <c r="AN40" s="49">
        <v>4782.2276651172815</v>
      </c>
      <c r="AO40" s="49">
        <v>4739.5722793136283</v>
      </c>
      <c r="AP40" s="49">
        <v>4702.3433479037976</v>
      </c>
      <c r="AQ40" s="49">
        <v>4685.0133898624972</v>
      </c>
      <c r="AR40" s="49">
        <v>4614.5103710100302</v>
      </c>
      <c r="AS40" s="49">
        <v>4576.0759476789881</v>
      </c>
      <c r="AT40" s="49">
        <v>4539.4770698062439</v>
      </c>
      <c r="AU40" s="49">
        <v>4491.8652480055471</v>
      </c>
      <c r="AV40" s="49">
        <v>4452.1670520196722</v>
      </c>
      <c r="AW40" s="49">
        <v>4428.2235037360906</v>
      </c>
      <c r="AX40" s="49">
        <v>4395.3009637344021</v>
      </c>
      <c r="AY40" s="49">
        <v>4373.6806029388508</v>
      </c>
      <c r="AZ40" s="49">
        <v>4354.1283069166175</v>
      </c>
      <c r="BA40" s="49">
        <v>4336.7401322813221</v>
      </c>
      <c r="BB40" s="49">
        <v>4278.2344695560978</v>
      </c>
      <c r="BC40" s="49">
        <v>4267.0751769047974</v>
      </c>
      <c r="BD40" s="49">
        <v>4258.8189622217687</v>
      </c>
      <c r="BE40" s="49">
        <v>4256.0251529285324</v>
      </c>
      <c r="BF40" s="49">
        <v>4256.3582799671167</v>
      </c>
      <c r="BG40" s="49">
        <v>4259.4807481020116</v>
      </c>
      <c r="BH40" s="49">
        <v>4266.1922988321176</v>
      </c>
      <c r="BI40" s="49">
        <v>4276.6207448288624</v>
      </c>
      <c r="BJ40" s="49">
        <v>4289.3102683232992</v>
      </c>
      <c r="BK40" s="49">
        <v>4303.2194536172829</v>
      </c>
      <c r="BL40" s="49">
        <v>4320.2167808939503</v>
      </c>
    </row>
    <row r="41" spans="1:64" x14ac:dyDescent="0.35">
      <c r="C41" t="s">
        <v>43</v>
      </c>
      <c r="D41" s="49">
        <v>33792.883792640801</v>
      </c>
      <c r="E41" s="49">
        <v>34022.507497623636</v>
      </c>
      <c r="F41" s="49">
        <v>33570.976096954386</v>
      </c>
      <c r="G41" s="49">
        <v>33956.386055454059</v>
      </c>
      <c r="H41" s="49">
        <v>35133.357696970474</v>
      </c>
      <c r="I41" s="49">
        <v>35734.697114699826</v>
      </c>
      <c r="J41" s="49">
        <v>36038.256988676847</v>
      </c>
      <c r="K41" s="49">
        <v>36893.059160199904</v>
      </c>
      <c r="L41" s="49">
        <v>36287.57602729107</v>
      </c>
      <c r="M41" s="49">
        <v>36468.192719340499</v>
      </c>
      <c r="N41" s="49">
        <v>37614.876691713245</v>
      </c>
      <c r="O41" s="49">
        <v>38445.135385291032</v>
      </c>
      <c r="P41" s="49">
        <v>38452.902957963292</v>
      </c>
      <c r="Q41" s="49">
        <v>39075.42676975514</v>
      </c>
      <c r="R41" s="49">
        <v>39219.068962221187</v>
      </c>
      <c r="S41" s="49">
        <v>39571.899890630833</v>
      </c>
      <c r="T41" s="49">
        <v>39427.397347479411</v>
      </c>
      <c r="U41" s="49">
        <v>38508.095057663355</v>
      </c>
      <c r="V41" s="49">
        <v>37332.251308305429</v>
      </c>
      <c r="W41" s="49">
        <v>37535.958522506568</v>
      </c>
      <c r="X41" s="49">
        <v>37711.495238636984</v>
      </c>
      <c r="Y41" s="49">
        <v>38362.26954703615</v>
      </c>
      <c r="Z41" s="49">
        <v>39203.363521824562</v>
      </c>
      <c r="AA41" s="49">
        <v>39306.762181725338</v>
      </c>
      <c r="AB41" s="49">
        <v>39922.7718055964</v>
      </c>
      <c r="AC41" s="49">
        <v>39415.789030060478</v>
      </c>
      <c r="AD41" s="49">
        <v>39042.960218724664</v>
      </c>
      <c r="AE41" s="49">
        <v>39082.390698957628</v>
      </c>
      <c r="AF41" s="49">
        <v>39368.286753731292</v>
      </c>
      <c r="AG41" s="49">
        <v>39518.641021140895</v>
      </c>
      <c r="AH41" s="49">
        <v>39425.54384512121</v>
      </c>
      <c r="AI41" s="49">
        <v>38629.75065976211</v>
      </c>
      <c r="AJ41" s="49">
        <v>38324.800005369769</v>
      </c>
      <c r="AK41" s="49">
        <v>38052.719424996598</v>
      </c>
      <c r="AL41" s="49">
        <v>37782.580392247022</v>
      </c>
      <c r="AM41" s="49">
        <v>37525.900775084301</v>
      </c>
      <c r="AN41" s="49">
        <v>37357.753250134716</v>
      </c>
      <c r="AO41" s="49">
        <v>37214.499530972855</v>
      </c>
      <c r="AP41" s="49">
        <v>37064.774631999768</v>
      </c>
      <c r="AQ41" s="49">
        <v>36928.845195703238</v>
      </c>
      <c r="AR41" s="49">
        <v>36795.047519691412</v>
      </c>
      <c r="AS41" s="49">
        <v>36666.191408321829</v>
      </c>
      <c r="AT41" s="49">
        <v>36516.8920962665</v>
      </c>
      <c r="AU41" s="49">
        <v>36378.013149917446</v>
      </c>
      <c r="AV41" s="49">
        <v>36231.838882763332</v>
      </c>
      <c r="AW41" s="49">
        <v>36104.956818667255</v>
      </c>
      <c r="AX41" s="49">
        <v>36074.638082217542</v>
      </c>
      <c r="AY41" s="49">
        <v>36057.304802055005</v>
      </c>
      <c r="AZ41" s="49">
        <v>36056.955100066771</v>
      </c>
      <c r="BA41" s="49">
        <v>36053.266317609101</v>
      </c>
      <c r="BB41" s="49">
        <v>36043.379779420284</v>
      </c>
      <c r="BC41" s="49">
        <v>36010.142482322779</v>
      </c>
      <c r="BD41" s="49">
        <v>35987.385461287304</v>
      </c>
      <c r="BE41" s="49">
        <v>35963.002029485724</v>
      </c>
      <c r="BF41" s="49">
        <v>35938.965362957912</v>
      </c>
      <c r="BG41" s="49">
        <v>35955.41117517394</v>
      </c>
      <c r="BH41" s="49">
        <v>35945.3360173603</v>
      </c>
      <c r="BI41" s="49">
        <v>35915.889709316703</v>
      </c>
      <c r="BJ41" s="49">
        <v>35878.544679365019</v>
      </c>
      <c r="BK41" s="49">
        <v>35851.93626583583</v>
      </c>
      <c r="BL41" s="49">
        <v>35834.37876370272</v>
      </c>
    </row>
    <row r="42" spans="1:64" x14ac:dyDescent="0.35">
      <c r="C42" t="s">
        <v>44</v>
      </c>
      <c r="D42" s="49">
        <v>3943.1148437609995</v>
      </c>
      <c r="E42" s="49">
        <v>4053.4902087141354</v>
      </c>
      <c r="F42" s="49">
        <v>4155.4982918697824</v>
      </c>
      <c r="G42" s="49">
        <v>4258.3736048143737</v>
      </c>
      <c r="H42" s="49">
        <v>4142.4834030932479</v>
      </c>
      <c r="I42" s="49">
        <v>4234.5138945425988</v>
      </c>
      <c r="J42" s="49">
        <v>4322.4105568753039</v>
      </c>
      <c r="K42" s="49">
        <v>4383.88162653171</v>
      </c>
      <c r="L42" s="49">
        <v>4382.3146435590279</v>
      </c>
      <c r="M42" s="49">
        <v>4408.2468195561178</v>
      </c>
      <c r="N42" s="49">
        <v>4434.5633502413211</v>
      </c>
      <c r="O42" s="49">
        <v>4457.6683229025284</v>
      </c>
      <c r="P42" s="49">
        <v>4468.9149716222946</v>
      </c>
      <c r="Q42" s="49">
        <v>4375.0104850215394</v>
      </c>
      <c r="R42" s="49">
        <v>4388.9774342791543</v>
      </c>
      <c r="S42" s="49">
        <v>4378.2979179897802</v>
      </c>
      <c r="T42" s="49">
        <v>4181.7615086289525</v>
      </c>
      <c r="U42" s="49">
        <v>4143.9617197080097</v>
      </c>
      <c r="V42" s="49">
        <v>4059.4482204096253</v>
      </c>
      <c r="W42" s="49">
        <v>3927.6535894400477</v>
      </c>
      <c r="X42" s="49">
        <v>3871.670532727172</v>
      </c>
      <c r="Y42" s="49">
        <v>3724.6524301970594</v>
      </c>
      <c r="Z42" s="49">
        <v>3618.6264952923921</v>
      </c>
      <c r="AA42" s="49">
        <v>3569.6605244596872</v>
      </c>
      <c r="AB42" s="49">
        <v>3525.876975920713</v>
      </c>
      <c r="AC42" s="49">
        <v>3487.8272949084953</v>
      </c>
      <c r="AD42" s="49">
        <v>3460.678767352797</v>
      </c>
      <c r="AE42" s="49">
        <v>3422.2815565735123</v>
      </c>
      <c r="AF42" s="49">
        <v>3358.3579591975863</v>
      </c>
      <c r="AG42" s="49">
        <v>3312.6998150132395</v>
      </c>
      <c r="AH42" s="49">
        <v>3268.8701197571045</v>
      </c>
      <c r="AI42" s="49">
        <v>3261.5672554341481</v>
      </c>
      <c r="AJ42" s="49">
        <v>3234.7619412004233</v>
      </c>
      <c r="AK42" s="49">
        <v>3216.0413046366002</v>
      </c>
      <c r="AL42" s="49">
        <v>3202.6915772824796</v>
      </c>
      <c r="AM42" s="49">
        <v>3192.2455105189688</v>
      </c>
      <c r="AN42" s="49">
        <v>3182.7385204809634</v>
      </c>
      <c r="AO42" s="49">
        <v>3174.5928209350127</v>
      </c>
      <c r="AP42" s="49">
        <v>3167.6717800569158</v>
      </c>
      <c r="AQ42" s="49">
        <v>3161.8949518744184</v>
      </c>
      <c r="AR42" s="49">
        <v>3156.9626944940683</v>
      </c>
      <c r="AS42" s="49">
        <v>3152.4579831245214</v>
      </c>
      <c r="AT42" s="49">
        <v>3148.5738724375619</v>
      </c>
      <c r="AU42" s="49">
        <v>3145.3331848794301</v>
      </c>
      <c r="AV42" s="49">
        <v>3142.5882713736146</v>
      </c>
      <c r="AW42" s="49">
        <v>3140.598522949535</v>
      </c>
      <c r="AX42" s="49">
        <v>3139.0529169578531</v>
      </c>
      <c r="AY42" s="49">
        <v>3138.0289065151392</v>
      </c>
      <c r="AZ42" s="49">
        <v>3137.595970952741</v>
      </c>
      <c r="BA42" s="49">
        <v>3137.561639432543</v>
      </c>
      <c r="BB42" s="49">
        <v>3138.2630134245242</v>
      </c>
      <c r="BC42" s="49">
        <v>3139.5127466740128</v>
      </c>
      <c r="BD42" s="49">
        <v>3141.2313139015687</v>
      </c>
      <c r="BE42" s="49">
        <v>3143.4577851406457</v>
      </c>
      <c r="BF42" s="49">
        <v>3146.0487759838365</v>
      </c>
      <c r="BG42" s="49">
        <v>3149.262095601242</v>
      </c>
      <c r="BH42" s="49">
        <v>3152.7707776119396</v>
      </c>
      <c r="BI42" s="49">
        <v>3156.2467103900954</v>
      </c>
      <c r="BJ42" s="49">
        <v>3159.9526910277586</v>
      </c>
      <c r="BK42" s="49">
        <v>3163.8797366004928</v>
      </c>
      <c r="BL42" s="49">
        <v>3168.274141686898</v>
      </c>
    </row>
    <row r="43" spans="1:64" x14ac:dyDescent="0.35">
      <c r="C43" t="s">
        <v>275</v>
      </c>
      <c r="D43" s="49">
        <v>819.97524190854506</v>
      </c>
      <c r="E43" s="49">
        <v>828.0017286520922</v>
      </c>
      <c r="F43" s="49">
        <v>1085.1429139052391</v>
      </c>
      <c r="G43" s="49">
        <v>1158.2562175334988</v>
      </c>
      <c r="H43" s="49">
        <v>1294.5870452996453</v>
      </c>
      <c r="I43" s="49">
        <v>850.67438092522423</v>
      </c>
      <c r="J43" s="49">
        <v>38.592400303365025</v>
      </c>
      <c r="K43" s="49">
        <v>-1334.618596753277</v>
      </c>
      <c r="L43" s="49">
        <v>-3370.636542665608</v>
      </c>
      <c r="M43" s="49">
        <v>-5881.7403115761681</v>
      </c>
      <c r="N43" s="49">
        <v>-5840.6097105786448</v>
      </c>
      <c r="O43" s="49">
        <v>-8163.9905713630314</v>
      </c>
      <c r="P43" s="49">
        <v>-10155.899721608017</v>
      </c>
      <c r="Q43" s="49">
        <v>-9621.5624173653105</v>
      </c>
      <c r="R43" s="49">
        <v>-6746.7760646318911</v>
      </c>
      <c r="S43" s="49">
        <v>-909.81870967752047</v>
      </c>
      <c r="T43" s="49">
        <v>1895.2611011701449</v>
      </c>
      <c r="U43" s="49">
        <v>7426.246871923152</v>
      </c>
      <c r="V43" s="49">
        <v>-13411.996596017498</v>
      </c>
      <c r="W43" s="49">
        <v>-11081.405660283805</v>
      </c>
      <c r="X43" s="49">
        <v>-10565.307562466487</v>
      </c>
      <c r="Y43" s="49">
        <v>-12067.105918642314</v>
      </c>
      <c r="Z43" s="49">
        <v>-10202.075435723556</v>
      </c>
      <c r="AA43" s="49">
        <v>-7134.8699893356697</v>
      </c>
      <c r="AB43" s="49">
        <v>-10405.283669066264</v>
      </c>
      <c r="AC43" s="49">
        <v>-11945.163408270339</v>
      </c>
      <c r="AD43" s="49">
        <v>-11969.110093922558</v>
      </c>
      <c r="AE43" s="49">
        <v>-12080.174618702731</v>
      </c>
      <c r="AF43" s="49">
        <v>-11085.271780708874</v>
      </c>
      <c r="AG43" s="49">
        <v>-7702.6878138183429</v>
      </c>
      <c r="AH43" s="49">
        <v>-8060.2252194320736</v>
      </c>
      <c r="AI43" s="49">
        <v>-7272.2101365835315</v>
      </c>
      <c r="AJ43" s="49">
        <v>-6158.2627444233731</v>
      </c>
      <c r="AK43" s="49">
        <v>-5945.255575406456</v>
      </c>
      <c r="AL43" s="49">
        <v>-5828.0718917514505</v>
      </c>
      <c r="AM43" s="49">
        <v>-6501.7193448547678</v>
      </c>
      <c r="AN43" s="49">
        <v>-7772.1466438324751</v>
      </c>
      <c r="AO43" s="49">
        <v>-9247.6451246572178</v>
      </c>
      <c r="AP43" s="49">
        <v>-11105.090045810215</v>
      </c>
      <c r="AQ43" s="49">
        <v>-12139.872895882418</v>
      </c>
      <c r="AR43" s="49">
        <v>-12564.420730209811</v>
      </c>
      <c r="AS43" s="49">
        <v>-13396.545103778648</v>
      </c>
      <c r="AT43" s="49">
        <v>-14059.423836219863</v>
      </c>
      <c r="AU43" s="49">
        <v>-14786.973476131952</v>
      </c>
      <c r="AV43" s="49">
        <v>-15431.172337977376</v>
      </c>
      <c r="AW43" s="49">
        <v>-16136.067149584611</v>
      </c>
      <c r="AX43" s="49">
        <v>-17155.204484539496</v>
      </c>
      <c r="AY43" s="49">
        <v>-19171.528046329615</v>
      </c>
      <c r="AZ43" s="49">
        <v>-20241.160565364524</v>
      </c>
      <c r="BA43" s="49">
        <v>-21340.171025371139</v>
      </c>
      <c r="BB43" s="49">
        <v>-22420.284116223473</v>
      </c>
      <c r="BC43" s="49">
        <v>-23477.193794301162</v>
      </c>
      <c r="BD43" s="49">
        <v>-24095.870736024517</v>
      </c>
      <c r="BE43" s="49">
        <v>-24234.996848450483</v>
      </c>
      <c r="BF43" s="49">
        <v>-24116.802177332149</v>
      </c>
      <c r="BG43" s="49">
        <v>-23770.582076991908</v>
      </c>
      <c r="BH43" s="49">
        <v>-24009.156631367528</v>
      </c>
      <c r="BI43" s="49">
        <v>-24232.474690778723</v>
      </c>
      <c r="BJ43" s="49">
        <v>-24423.56028890927</v>
      </c>
      <c r="BK43" s="49">
        <v>-24510.45425915868</v>
      </c>
      <c r="BL43" s="49">
        <v>-24732.32112286058</v>
      </c>
    </row>
    <row r="44" spans="1:64" x14ac:dyDescent="0.35">
      <c r="C44" t="s">
        <v>65</v>
      </c>
      <c r="D44" s="49">
        <v>66013.549694774047</v>
      </c>
      <c r="E44" s="49">
        <v>67000.03531434646</v>
      </c>
      <c r="F44" s="49">
        <v>68413.896304908907</v>
      </c>
      <c r="G44" s="49">
        <v>68348.901315454816</v>
      </c>
      <c r="H44" s="49">
        <v>69734.489928998417</v>
      </c>
      <c r="I44" s="49">
        <v>69859.967789632065</v>
      </c>
      <c r="J44" s="49">
        <v>71226.588341874609</v>
      </c>
      <c r="K44" s="49">
        <v>72689.514013424938</v>
      </c>
      <c r="L44" s="49">
        <v>68447.832476157957</v>
      </c>
      <c r="M44" s="49">
        <v>67690.396148309839</v>
      </c>
      <c r="N44" s="49">
        <v>69670.423473175659</v>
      </c>
      <c r="O44" s="49">
        <v>70335.72336042051</v>
      </c>
      <c r="P44" s="49">
        <v>68434.956960442272</v>
      </c>
      <c r="Q44" s="49">
        <v>71158.579733341918</v>
      </c>
      <c r="R44" s="49">
        <v>73869.783765277738</v>
      </c>
      <c r="S44" s="49">
        <v>81750.640264180198</v>
      </c>
      <c r="T44" s="49">
        <v>84722.394116468262</v>
      </c>
      <c r="U44" s="49">
        <v>88148.348535380457</v>
      </c>
      <c r="V44" s="49">
        <v>67076.832924770031</v>
      </c>
      <c r="W44" s="49">
        <v>66747.858745911566</v>
      </c>
      <c r="X44" s="49">
        <v>67855.202517093931</v>
      </c>
      <c r="Y44" s="49">
        <v>66217.235295352657</v>
      </c>
      <c r="Z44" s="49">
        <v>70274.628273906899</v>
      </c>
      <c r="AA44" s="49">
        <v>72666.057154983355</v>
      </c>
      <c r="AB44" s="49">
        <v>70208.730729212519</v>
      </c>
      <c r="AC44" s="49">
        <v>68500.360120315541</v>
      </c>
      <c r="AD44" s="49">
        <v>66418.125540765905</v>
      </c>
      <c r="AE44" s="49">
        <v>67805.214738534458</v>
      </c>
      <c r="AF44" s="49">
        <v>68990.041080025607</v>
      </c>
      <c r="AG44" s="49">
        <v>73909.325516940924</v>
      </c>
      <c r="AH44" s="49">
        <v>70712.917208465733</v>
      </c>
      <c r="AI44" s="49">
        <v>72447.60719348675</v>
      </c>
      <c r="AJ44" s="49">
        <v>72850.572724647849</v>
      </c>
      <c r="AK44" s="49">
        <v>72407.895981614653</v>
      </c>
      <c r="AL44" s="49">
        <v>71764.980171370771</v>
      </c>
      <c r="AM44" s="49">
        <v>70446.210199774665</v>
      </c>
      <c r="AN44" s="49">
        <v>68872.972389521878</v>
      </c>
      <c r="AO44" s="49">
        <v>67099.996352816146</v>
      </c>
      <c r="AP44" s="49">
        <v>64930.110388457499</v>
      </c>
      <c r="AQ44" s="49">
        <v>63818.781960403649</v>
      </c>
      <c r="AR44" s="49">
        <v>62476.353040477698</v>
      </c>
      <c r="AS44" s="49">
        <v>61506.979855991223</v>
      </c>
      <c r="AT44" s="49">
        <v>60019.879895998471</v>
      </c>
      <c r="AU44" s="49">
        <v>58855.192154181481</v>
      </c>
      <c r="AV44" s="49">
        <v>57717.625953148105</v>
      </c>
      <c r="AW44" s="49">
        <v>56522.212324998451</v>
      </c>
      <c r="AX44" s="49">
        <v>55020.713861156531</v>
      </c>
      <c r="AY44" s="49">
        <v>52572.605091845304</v>
      </c>
      <c r="AZ44" s="49">
        <v>50994.848945239355</v>
      </c>
      <c r="BA44" s="49">
        <v>49383.955928992131</v>
      </c>
      <c r="BB44" s="49">
        <v>46922.903830206851</v>
      </c>
      <c r="BC44" s="49">
        <v>45239.63035025727</v>
      </c>
      <c r="BD44" s="49">
        <v>44006.863430185273</v>
      </c>
      <c r="BE44" s="49">
        <v>43182.905993140273</v>
      </c>
      <c r="BF44" s="49">
        <v>42692.654858970578</v>
      </c>
      <c r="BG44" s="49">
        <v>42403.105307583741</v>
      </c>
      <c r="BH44" s="49">
        <v>41414.950778739774</v>
      </c>
      <c r="BI44" s="49">
        <v>40418.838453789678</v>
      </c>
      <c r="BJ44" s="49">
        <v>39445.548838711482</v>
      </c>
      <c r="BK44" s="49">
        <v>38535.677945511503</v>
      </c>
      <c r="BL44" s="49">
        <v>37630.951468960688</v>
      </c>
    </row>
    <row r="45" spans="1:64" x14ac:dyDescent="0.35">
      <c r="C45" t="s">
        <v>64</v>
      </c>
      <c r="D45" s="49">
        <v>65193.574452865498</v>
      </c>
      <c r="E45" s="49">
        <v>66172.033585694371</v>
      </c>
      <c r="F45" s="49">
        <v>67328.753391003673</v>
      </c>
      <c r="G45" s="49">
        <v>67190.645097921311</v>
      </c>
      <c r="H45" s="49">
        <v>68439.902883698771</v>
      </c>
      <c r="I45" s="49">
        <v>69009.293408706842</v>
      </c>
      <c r="J45" s="49">
        <v>71187.995941571251</v>
      </c>
      <c r="K45" s="49">
        <v>74024.132610178218</v>
      </c>
      <c r="L45" s="49">
        <v>71818.469018823569</v>
      </c>
      <c r="M45" s="49">
        <v>73572.136459886009</v>
      </c>
      <c r="N45" s="49">
        <v>75511.033183754305</v>
      </c>
      <c r="O45" s="49">
        <v>78499.713931783539</v>
      </c>
      <c r="P45" s="49">
        <v>78590.856682050289</v>
      </c>
      <c r="Q45" s="49">
        <v>80780.142150707223</v>
      </c>
      <c r="R45" s="49">
        <v>80616.559829909631</v>
      </c>
      <c r="S45" s="49">
        <v>82660.45897385772</v>
      </c>
      <c r="T45" s="49">
        <v>82827.13301529811</v>
      </c>
      <c r="U45" s="49">
        <v>80722.101663457302</v>
      </c>
      <c r="V45" s="49">
        <v>80488.829520787534</v>
      </c>
      <c r="W45" s="49">
        <v>77829.264406195376</v>
      </c>
      <c r="X45" s="49">
        <v>78420.510079560423</v>
      </c>
      <c r="Y45" s="49">
        <v>78284.341213994965</v>
      </c>
      <c r="Z45" s="49">
        <v>80476.703709630456</v>
      </c>
      <c r="AA45" s="49">
        <v>79800.927144319023</v>
      </c>
      <c r="AB45" s="49">
        <v>80614.014398278785</v>
      </c>
      <c r="AC45" s="49">
        <v>80445.52352858588</v>
      </c>
      <c r="AD45" s="49">
        <v>78387.235634688463</v>
      </c>
      <c r="AE45" s="49">
        <v>79885.389357237189</v>
      </c>
      <c r="AF45" s="49">
        <v>80075.312860734484</v>
      </c>
      <c r="AG45" s="49">
        <v>81612.013330759262</v>
      </c>
      <c r="AH45" s="49">
        <v>78773.142427897808</v>
      </c>
      <c r="AI45" s="49">
        <v>79719.817330070277</v>
      </c>
      <c r="AJ45" s="49">
        <v>79008.835469071215</v>
      </c>
      <c r="AK45" s="49">
        <v>78353.151557021105</v>
      </c>
      <c r="AL45" s="49">
        <v>77593.052063122217</v>
      </c>
      <c r="AM45" s="49">
        <v>76947.929544629427</v>
      </c>
      <c r="AN45" s="49">
        <v>76645.119033354349</v>
      </c>
      <c r="AO45" s="49">
        <v>76347.641477473357</v>
      </c>
      <c r="AP45" s="49">
        <v>76035.20043426771</v>
      </c>
      <c r="AQ45" s="49">
        <v>75958.65485628607</v>
      </c>
      <c r="AR45" s="49">
        <v>75040.773770687505</v>
      </c>
      <c r="AS45" s="49">
        <v>74903.524959769871</v>
      </c>
      <c r="AT45" s="49">
        <v>74079.303732218337</v>
      </c>
      <c r="AU45" s="49">
        <v>73642.165630313437</v>
      </c>
      <c r="AV45" s="49">
        <v>73148.79829112548</v>
      </c>
      <c r="AW45" s="49">
        <v>72658.279474583062</v>
      </c>
      <c r="AX45" s="49">
        <v>72175.918345696031</v>
      </c>
      <c r="AY45" s="49">
        <v>71744.133138174919</v>
      </c>
      <c r="AZ45" s="49">
        <v>71236.009510603879</v>
      </c>
      <c r="BA45" s="49">
        <v>70724.126954363266</v>
      </c>
      <c r="BB45" s="49">
        <v>69343.18794643032</v>
      </c>
      <c r="BC45" s="49">
        <v>68716.824144558428</v>
      </c>
      <c r="BD45" s="49">
        <v>68102.73416620979</v>
      </c>
      <c r="BE45" s="49">
        <v>67417.902841590752</v>
      </c>
      <c r="BF45" s="49">
        <v>66809.457036302731</v>
      </c>
      <c r="BG45" s="49">
        <v>66173.687384575649</v>
      </c>
      <c r="BH45" s="49">
        <v>65424.107410107303</v>
      </c>
      <c r="BI45" s="49">
        <v>64651.313144568405</v>
      </c>
      <c r="BJ45" s="49">
        <v>63869.109127620752</v>
      </c>
      <c r="BK45" s="49">
        <v>63046.132204670183</v>
      </c>
      <c r="BL45" s="49">
        <v>62363.272591821267</v>
      </c>
    </row>
    <row r="47" spans="1:64" x14ac:dyDescent="0.35">
      <c r="B47" s="2" t="s">
        <v>289</v>
      </c>
    </row>
    <row r="48" spans="1:64" x14ac:dyDescent="0.35">
      <c r="B48" s="10" t="s">
        <v>290</v>
      </c>
      <c r="C48" t="s">
        <v>291</v>
      </c>
      <c r="D48" s="50">
        <v>7936.4519923625339</v>
      </c>
      <c r="E48" s="50">
        <v>7915.2400768344296</v>
      </c>
      <c r="F48" s="50">
        <v>8271.9670866086362</v>
      </c>
      <c r="G48" s="50">
        <v>8720.4036366341952</v>
      </c>
      <c r="H48" s="50">
        <v>9373.6607571457498</v>
      </c>
      <c r="I48" s="50">
        <v>10029.855538148871</v>
      </c>
      <c r="J48" s="50">
        <v>10161.48201972811</v>
      </c>
      <c r="K48" s="50">
        <v>10383.51008208942</v>
      </c>
      <c r="L48" s="50">
        <v>10587.775390176601</v>
      </c>
      <c r="M48" s="50">
        <v>10868.588364366557</v>
      </c>
      <c r="N48" s="50">
        <v>11410.883603204908</v>
      </c>
      <c r="O48" s="50">
        <v>11473.859569671025</v>
      </c>
      <c r="P48" s="50">
        <v>11925.65915449601</v>
      </c>
      <c r="Q48" s="50">
        <v>12453.654510825265</v>
      </c>
      <c r="R48" s="50">
        <v>12742.478818994343</v>
      </c>
      <c r="S48" s="50">
        <v>12817.902091308622</v>
      </c>
      <c r="T48" s="50">
        <v>12944.514454651089</v>
      </c>
      <c r="U48" s="50">
        <v>13053.077943993681</v>
      </c>
      <c r="V48" s="50">
        <v>13073.537726958531</v>
      </c>
      <c r="W48" s="50">
        <v>12886.83695541684</v>
      </c>
      <c r="X48" s="50">
        <v>13144.981504109392</v>
      </c>
      <c r="Y48" s="50">
        <v>13136.569401589086</v>
      </c>
      <c r="Z48" s="50">
        <v>12820.096319621582</v>
      </c>
      <c r="AA48" s="50">
        <v>12899.199072133002</v>
      </c>
      <c r="AB48" s="50">
        <v>13163.397966357803</v>
      </c>
      <c r="AC48" s="50">
        <v>13633.9503819733</v>
      </c>
      <c r="AD48" s="50">
        <v>13739.538672436074</v>
      </c>
      <c r="AE48" s="50">
        <v>14658.300228448785</v>
      </c>
      <c r="AF48" s="50">
        <v>14985.763453404979</v>
      </c>
      <c r="AG48" s="50">
        <v>14517.302553626343</v>
      </c>
      <c r="AH48" s="50">
        <v>13077.931253317818</v>
      </c>
      <c r="AI48" s="50">
        <v>14294.160526523137</v>
      </c>
      <c r="AJ48" s="50">
        <v>15038.668090115392</v>
      </c>
      <c r="AK48" s="50">
        <v>15261.079564346615</v>
      </c>
      <c r="AL48" s="50">
        <v>15311.058328479296</v>
      </c>
      <c r="AM48" s="50">
        <v>15339.437797255985</v>
      </c>
      <c r="AN48" s="50">
        <v>15364.131129550055</v>
      </c>
      <c r="AO48" s="50">
        <v>15359.427098589094</v>
      </c>
      <c r="AP48" s="50">
        <v>15308.943479967636</v>
      </c>
      <c r="AQ48" s="50">
        <v>15208.842284444749</v>
      </c>
      <c r="AR48" s="50">
        <v>15108.680591634899</v>
      </c>
      <c r="AS48" s="50">
        <v>14956.870858278642</v>
      </c>
      <c r="AT48" s="50">
        <v>14765.705049066957</v>
      </c>
      <c r="AU48" s="50">
        <v>14515.712084068828</v>
      </c>
      <c r="AV48" s="50">
        <v>14216.013287156953</v>
      </c>
      <c r="AW48" s="50">
        <v>13888.980109551265</v>
      </c>
      <c r="AX48" s="50">
        <v>13481.632591390888</v>
      </c>
      <c r="AY48" s="50">
        <v>13105.306558113307</v>
      </c>
      <c r="AZ48" s="50">
        <v>12640.628439445471</v>
      </c>
      <c r="BA48" s="50">
        <v>12183.057722369282</v>
      </c>
      <c r="BB48" s="50">
        <v>11681.411545627334</v>
      </c>
      <c r="BC48" s="50">
        <v>11136.115156739363</v>
      </c>
      <c r="BD48" s="50">
        <v>10606.589840941288</v>
      </c>
      <c r="BE48" s="50">
        <v>10018.394310998063</v>
      </c>
      <c r="BF48" s="50">
        <v>9513.3033146530761</v>
      </c>
      <c r="BG48" s="50">
        <v>8950.9587110669891</v>
      </c>
      <c r="BH48" s="50">
        <v>8323.1063410146962</v>
      </c>
      <c r="BI48" s="50">
        <v>7714.8103466652001</v>
      </c>
      <c r="BJ48" s="50">
        <v>7123.7579427414803</v>
      </c>
      <c r="BK48" s="50">
        <v>6478.5900268221139</v>
      </c>
      <c r="BL48" s="50">
        <v>5954.5933019423492</v>
      </c>
    </row>
    <row r="49" spans="2:64" x14ac:dyDescent="0.35">
      <c r="C49" t="s">
        <v>292</v>
      </c>
      <c r="D49" s="50">
        <v>3.1708663193209801</v>
      </c>
      <c r="E49" s="50">
        <v>3.0663103601685999</v>
      </c>
      <c r="F49" s="50">
        <v>3.0002577473681198</v>
      </c>
      <c r="G49" s="50">
        <v>2.9159336912653702</v>
      </c>
      <c r="H49" s="50">
        <v>2.8692408755091101</v>
      </c>
      <c r="I49" s="50">
        <v>2.8248952284873701</v>
      </c>
      <c r="J49" s="50">
        <v>2.6950225833844899</v>
      </c>
      <c r="K49" s="50">
        <v>2.6211561724973098</v>
      </c>
      <c r="L49" s="50">
        <v>2.5117652272979201</v>
      </c>
      <c r="M49" s="50">
        <v>2.40850249551728</v>
      </c>
      <c r="N49" s="50">
        <v>2.2833551456871102</v>
      </c>
      <c r="O49" s="50">
        <v>2.1766764218630499</v>
      </c>
      <c r="P49" s="50">
        <v>2.1202654466977999</v>
      </c>
      <c r="Q49" s="50">
        <v>2.0447488026715899</v>
      </c>
      <c r="R49" s="50">
        <v>1.9554843707465801</v>
      </c>
      <c r="S49" s="50">
        <v>1.8434861122090502</v>
      </c>
      <c r="T49" s="50">
        <v>1.7142325557895399</v>
      </c>
      <c r="U49" s="50">
        <v>1.6354205207540999</v>
      </c>
      <c r="V49" s="50">
        <v>1.51723097476102</v>
      </c>
      <c r="W49" s="50">
        <v>1.4441045339946199</v>
      </c>
      <c r="X49" s="50">
        <v>1.3738009454905302</v>
      </c>
      <c r="Y49" s="50">
        <v>1.2868833021543</v>
      </c>
      <c r="Z49" s="50">
        <v>1.2197899932079601</v>
      </c>
      <c r="AA49" s="50">
        <v>1.1906744712561601</v>
      </c>
      <c r="AB49" s="50">
        <v>1.1493045596067599</v>
      </c>
      <c r="AC49" s="50">
        <v>1.10843973361673</v>
      </c>
      <c r="AD49" s="50">
        <v>1.06954514378592</v>
      </c>
      <c r="AE49" s="50">
        <v>0.89513402722861002</v>
      </c>
      <c r="AF49" s="50">
        <v>0.83199233835184006</v>
      </c>
      <c r="AG49" s="50">
        <v>0.77385198552219014</v>
      </c>
      <c r="AH49" s="50">
        <v>0.61604912779851995</v>
      </c>
      <c r="AI49" s="50">
        <v>0.67316089731047069</v>
      </c>
      <c r="AJ49" s="50">
        <v>0.70854140388629105</v>
      </c>
      <c r="AK49" s="50">
        <v>0.71903957343840164</v>
      </c>
      <c r="AL49" s="50">
        <v>0.72124612966478141</v>
      </c>
      <c r="AM49" s="50">
        <v>0.72253591189929056</v>
      </c>
      <c r="AN49" s="50">
        <v>0.72360376305381069</v>
      </c>
      <c r="AO49" s="50">
        <v>0.72331873634674604</v>
      </c>
      <c r="AP49" s="50">
        <v>0.72084621967839591</v>
      </c>
      <c r="AQ49" s="50">
        <v>0.71604641922600298</v>
      </c>
      <c r="AR49" s="50">
        <v>0.71108848687182358</v>
      </c>
      <c r="AS49" s="50">
        <v>0.70389286814596919</v>
      </c>
      <c r="AT49" s="50">
        <v>0.69469845952454423</v>
      </c>
      <c r="AU49" s="50">
        <v>0.68280601991284118</v>
      </c>
      <c r="AV49" s="50">
        <v>0.66855440971671942</v>
      </c>
      <c r="AW49" s="50">
        <v>0.6530205274294103</v>
      </c>
      <c r="AX49" s="50">
        <v>0.63360791054881849</v>
      </c>
      <c r="AY49" s="50">
        <v>0.61578494911921755</v>
      </c>
      <c r="AZ49" s="50">
        <v>0.59365917803756385</v>
      </c>
      <c r="BA49" s="50">
        <v>0.57188069313212575</v>
      </c>
      <c r="BB49" s="50">
        <v>0.54785954316113605</v>
      </c>
      <c r="BC49" s="50">
        <v>0.52203924041135508</v>
      </c>
      <c r="BD49" s="50">
        <v>0.49691072635460354</v>
      </c>
      <c r="BE49" s="50">
        <v>0.46909704602217139</v>
      </c>
      <c r="BF49" s="50">
        <v>0.44520162394376939</v>
      </c>
      <c r="BG49" s="50">
        <v>0.41866466028523885</v>
      </c>
      <c r="BH49" s="50">
        <v>0.38917119714430987</v>
      </c>
      <c r="BI49" s="50">
        <v>0.3605162537104683</v>
      </c>
      <c r="BJ49" s="50">
        <v>0.33278777076377436</v>
      </c>
      <c r="BK49" s="50">
        <v>0.30254648031927522</v>
      </c>
      <c r="BL49" s="50">
        <v>0.27795714310184366</v>
      </c>
    </row>
    <row r="50" spans="2:64" x14ac:dyDescent="0.35">
      <c r="C50" t="s">
        <v>293</v>
      </c>
      <c r="D50" s="50">
        <v>0.37070775681814</v>
      </c>
      <c r="E50" s="50">
        <v>0.38511169810255003</v>
      </c>
      <c r="F50" s="50">
        <v>0.41282860505676999</v>
      </c>
      <c r="G50" s="50">
        <v>0.43418323345160997</v>
      </c>
      <c r="H50" s="50">
        <v>0.46445795072623997</v>
      </c>
      <c r="I50" s="50">
        <v>0.49357987222170002</v>
      </c>
      <c r="J50" s="50">
        <v>0.50290877395619005</v>
      </c>
      <c r="K50" s="50">
        <v>0.52447953763731003</v>
      </c>
      <c r="L50" s="50">
        <v>0.53653966407246001</v>
      </c>
      <c r="M50" s="50">
        <v>0.56310245628642996</v>
      </c>
      <c r="N50" s="50">
        <v>0.60517738739447002</v>
      </c>
      <c r="O50" s="50">
        <v>0.59595551295251004</v>
      </c>
      <c r="P50" s="50">
        <v>0.61528671337272001</v>
      </c>
      <c r="Q50" s="50">
        <v>0.64773261325125997</v>
      </c>
      <c r="R50" s="50">
        <v>0.67450078746852005</v>
      </c>
      <c r="S50" s="50">
        <v>0.66930073346659003</v>
      </c>
      <c r="T50" s="50">
        <v>0.6537860256818</v>
      </c>
      <c r="U50" s="50">
        <v>0.64041393485891995</v>
      </c>
      <c r="V50" s="50">
        <v>0.61238659399787998</v>
      </c>
      <c r="W50" s="50">
        <v>0.59780753492468997</v>
      </c>
      <c r="X50" s="50">
        <v>0.56916445547337002</v>
      </c>
      <c r="Y50" s="50">
        <v>0.54726891562986002</v>
      </c>
      <c r="Z50" s="50">
        <v>0.52314311787736001</v>
      </c>
      <c r="AA50" s="50">
        <v>0.51139002320280003</v>
      </c>
      <c r="AB50" s="50">
        <v>0.49502024402289996</v>
      </c>
      <c r="AC50" s="50">
        <v>0.48108702614701004</v>
      </c>
      <c r="AD50" s="50">
        <v>0.47061580060716002</v>
      </c>
      <c r="AE50" s="50">
        <v>0.41283355632496999</v>
      </c>
      <c r="AF50" s="50">
        <v>0.40121312123884001</v>
      </c>
      <c r="AG50" s="50">
        <v>0.39616049318230001</v>
      </c>
      <c r="AH50" s="50">
        <v>0.27628671333741001</v>
      </c>
      <c r="AI50" s="50">
        <v>0.28121578062773561</v>
      </c>
      <c r="AJ50" s="50">
        <v>0.28148870732741565</v>
      </c>
      <c r="AK50" s="50">
        <v>0.28046539467948622</v>
      </c>
      <c r="AL50" s="50">
        <v>0.27773065521559837</v>
      </c>
      <c r="AM50" s="50">
        <v>0.2766999247985702</v>
      </c>
      <c r="AN50" s="50">
        <v>0.27576723773157358</v>
      </c>
      <c r="AO50" s="50">
        <v>0.27483384572926717</v>
      </c>
      <c r="AP50" s="50">
        <v>0.27375746274219864</v>
      </c>
      <c r="AQ50" s="50">
        <v>0.2746003556135958</v>
      </c>
      <c r="AR50" s="50">
        <v>0.26065162681708559</v>
      </c>
      <c r="AS50" s="50">
        <v>0.26120572421794613</v>
      </c>
      <c r="AT50" s="50">
        <v>0.25591322475106237</v>
      </c>
      <c r="AU50" s="50">
        <v>0.25415398004309675</v>
      </c>
      <c r="AV50" s="50">
        <v>0.25198541352344384</v>
      </c>
      <c r="AW50" s="50">
        <v>0.24958279559535962</v>
      </c>
      <c r="AX50" s="50">
        <v>0.24660837960800894</v>
      </c>
      <c r="AY50" s="50">
        <v>0.2438369266824657</v>
      </c>
      <c r="AZ50" s="50">
        <v>0.24038023329731048</v>
      </c>
      <c r="BA50" s="50">
        <v>0.23691310026422899</v>
      </c>
      <c r="BB50" s="50">
        <v>0.21843524831895769</v>
      </c>
      <c r="BC50" s="50">
        <v>0.21436950304471539</v>
      </c>
      <c r="BD50" s="50">
        <v>0.21032521200388712</v>
      </c>
      <c r="BE50" s="50">
        <v>0.20576707075089323</v>
      </c>
      <c r="BF50" s="50">
        <v>0.20167041653567624</v>
      </c>
      <c r="BG50" s="50">
        <v>0.19707048778212249</v>
      </c>
      <c r="BH50" s="50">
        <v>0.19185925054000322</v>
      </c>
      <c r="BI50" s="50">
        <v>0.1865831253261013</v>
      </c>
      <c r="BJ50" s="50">
        <v>0.18129990455818729</v>
      </c>
      <c r="BK50" s="50">
        <v>0.17565253217739238</v>
      </c>
      <c r="BL50" s="50">
        <v>0.17088417340734752</v>
      </c>
    </row>
    <row r="51" spans="2:64" x14ac:dyDescent="0.35">
      <c r="B51" s="10" t="s">
        <v>274</v>
      </c>
      <c r="C51" t="s">
        <v>291</v>
      </c>
      <c r="D51" s="50">
        <v>14550.030981098405</v>
      </c>
      <c r="E51" s="50">
        <v>15076.659352919838</v>
      </c>
      <c r="F51" s="50">
        <v>16584.937570404265</v>
      </c>
      <c r="G51" s="50">
        <v>15589.82198645115</v>
      </c>
      <c r="H51" s="50">
        <v>15160.983373310251</v>
      </c>
      <c r="I51" s="50">
        <v>14439.353225445664</v>
      </c>
      <c r="J51" s="50">
        <v>15642.858394408015</v>
      </c>
      <c r="K51" s="50">
        <v>17453.650580070611</v>
      </c>
      <c r="L51" s="50">
        <v>15683.361737245015</v>
      </c>
      <c r="M51" s="50">
        <v>16750.700998567205</v>
      </c>
      <c r="N51" s="50">
        <v>16970.08454184356</v>
      </c>
      <c r="O51" s="50">
        <v>18876.142823578786</v>
      </c>
      <c r="P51" s="50">
        <v>18464.425597000558</v>
      </c>
      <c r="Q51" s="50">
        <v>19507.673279696097</v>
      </c>
      <c r="R51" s="50">
        <v>18828.439162033264</v>
      </c>
      <c r="S51" s="50">
        <v>20210.388636212108</v>
      </c>
      <c r="T51" s="50">
        <v>20153.024722444945</v>
      </c>
      <c r="U51" s="50">
        <v>18866.722346131399</v>
      </c>
      <c r="V51" s="50">
        <v>20221.039610528373</v>
      </c>
      <c r="W51" s="50">
        <v>17634.861462762692</v>
      </c>
      <c r="X51" s="50">
        <v>17273.632418391448</v>
      </c>
      <c r="Y51" s="50">
        <v>16706.090118246539</v>
      </c>
      <c r="Z51" s="50">
        <v>18703.932285745428</v>
      </c>
      <c r="AA51" s="50">
        <v>17950.838087133321</v>
      </c>
      <c r="AB51" s="50">
        <v>17774.78771430354</v>
      </c>
      <c r="AC51" s="50">
        <v>17516.328404938708</v>
      </c>
      <c r="AD51" s="50">
        <v>16098.215374762001</v>
      </c>
      <c r="AE51" s="50">
        <v>16751.328994174273</v>
      </c>
      <c r="AF51" s="50">
        <v>16522.351521439505</v>
      </c>
      <c r="AG51" s="50">
        <v>18404.234200695155</v>
      </c>
      <c r="AH51" s="50">
        <v>17470.408108272961</v>
      </c>
      <c r="AI51" s="50">
        <v>17754.787240061403</v>
      </c>
      <c r="AJ51" s="50">
        <v>16700.21448174429</v>
      </c>
      <c r="AK51" s="50">
        <v>16091.021455378997</v>
      </c>
      <c r="AL51" s="50">
        <v>15527.217389655503</v>
      </c>
      <c r="AM51" s="50">
        <v>15152.874246182228</v>
      </c>
      <c r="AN51" s="50">
        <v>15014.104234600629</v>
      </c>
      <c r="AO51" s="50">
        <v>14917.523533558147</v>
      </c>
      <c r="AP51" s="50">
        <v>14851.73066443421</v>
      </c>
      <c r="AQ51" s="50">
        <v>15031.065427679794</v>
      </c>
      <c r="AR51" s="50">
        <v>14457.952277819335</v>
      </c>
      <c r="AS51" s="50">
        <v>14641.532207973827</v>
      </c>
      <c r="AT51" s="50">
        <v>14209.840109664363</v>
      </c>
      <c r="AU51" s="50">
        <v>14214.594715925312</v>
      </c>
      <c r="AV51" s="50">
        <v>14212.130356598966</v>
      </c>
      <c r="AW51" s="50">
        <v>14204.333505969336</v>
      </c>
      <c r="AX51" s="50">
        <v>14197.39485470744</v>
      </c>
      <c r="AY51" s="50">
        <v>14185.02491666541</v>
      </c>
      <c r="AZ51" s="50">
        <v>14165.562447466849</v>
      </c>
      <c r="BA51" s="50">
        <v>14136.048643571838</v>
      </c>
      <c r="BB51" s="50">
        <v>13366.400319589271</v>
      </c>
      <c r="BC51" s="50">
        <v>13332.311338608089</v>
      </c>
      <c r="BD51" s="50">
        <v>13280.757351918704</v>
      </c>
      <c r="BE51" s="50">
        <v>13213.56420201225</v>
      </c>
      <c r="BF51" s="50">
        <v>13134.947389141507</v>
      </c>
      <c r="BG51" s="50">
        <v>13042.8219254428</v>
      </c>
      <c r="BH51" s="50">
        <v>12925.659942614149</v>
      </c>
      <c r="BI51" s="50">
        <v>12781.580894030974</v>
      </c>
      <c r="BJ51" s="50">
        <v>12616.344212287351</v>
      </c>
      <c r="BK51" s="50">
        <v>12452.685346589882</v>
      </c>
      <c r="BL51" s="50">
        <v>12294.711365618907</v>
      </c>
    </row>
    <row r="52" spans="2:64" x14ac:dyDescent="0.35">
      <c r="C52" t="s">
        <v>292</v>
      </c>
      <c r="D52" s="50">
        <v>43.689236384759724</v>
      </c>
      <c r="E52" s="50">
        <v>43.136028196882343</v>
      </c>
      <c r="F52" s="50">
        <v>42.370784734338343</v>
      </c>
      <c r="G52" s="50">
        <v>45.490729829929059</v>
      </c>
      <c r="H52" s="50">
        <v>48.642951699257466</v>
      </c>
      <c r="I52" s="50">
        <v>42.384378795374694</v>
      </c>
      <c r="J52" s="50">
        <v>52.975807448633716</v>
      </c>
      <c r="K52" s="50">
        <v>52.726042493037973</v>
      </c>
      <c r="L52" s="50">
        <v>52.213941142234461</v>
      </c>
      <c r="M52" s="50">
        <v>52.645758927624009</v>
      </c>
      <c r="N52" s="50">
        <v>51.169607018712021</v>
      </c>
      <c r="O52" s="50">
        <v>53.210947160023942</v>
      </c>
      <c r="P52" s="50">
        <v>49.223035859385497</v>
      </c>
      <c r="Q52" s="50">
        <v>42.629892983466895</v>
      </c>
      <c r="R52" s="50">
        <v>43.497866912277935</v>
      </c>
      <c r="S52" s="50">
        <v>48.84280066748827</v>
      </c>
      <c r="T52" s="50">
        <v>62.354420394438485</v>
      </c>
      <c r="U52" s="50">
        <v>53.764544482946079</v>
      </c>
      <c r="V52" s="50">
        <v>44.563290394249982</v>
      </c>
      <c r="W52" s="50">
        <v>48.938864799909169</v>
      </c>
      <c r="X52" s="50">
        <v>59.857136871476563</v>
      </c>
      <c r="Y52" s="50">
        <v>56.071906861362102</v>
      </c>
      <c r="Z52" s="50">
        <v>44.0716600682399</v>
      </c>
      <c r="AA52" s="50">
        <v>36.700152189000079</v>
      </c>
      <c r="AB52" s="50">
        <v>36.459637394592001</v>
      </c>
      <c r="AC52" s="50">
        <v>37.99776773365582</v>
      </c>
      <c r="AD52" s="50">
        <v>34.565581810417513</v>
      </c>
      <c r="AE52" s="50">
        <v>30.690946761958138</v>
      </c>
      <c r="AF52" s="50">
        <v>29.694716701258521</v>
      </c>
      <c r="AG52" s="50">
        <v>28.676851670989468</v>
      </c>
      <c r="AH52" s="50">
        <v>27.039251325087321</v>
      </c>
      <c r="AI52" s="50">
        <v>28.166463837645594</v>
      </c>
      <c r="AJ52" s="50">
        <v>28.061114736181718</v>
      </c>
      <c r="AK52" s="50">
        <v>28.3258687558912</v>
      </c>
      <c r="AL52" s="50">
        <v>28.389004847875189</v>
      </c>
      <c r="AM52" s="50">
        <v>28.297609660052458</v>
      </c>
      <c r="AN52" s="50">
        <v>28.233448852973652</v>
      </c>
      <c r="AO52" s="50">
        <v>28.178030760393735</v>
      </c>
      <c r="AP52" s="50">
        <v>28.123301480064182</v>
      </c>
      <c r="AQ52" s="50">
        <v>28.231457735958482</v>
      </c>
      <c r="AR52" s="50">
        <v>27.267082874989793</v>
      </c>
      <c r="AS52" s="50">
        <v>27.367627120561046</v>
      </c>
      <c r="AT52" s="50">
        <v>27.082652187385758</v>
      </c>
      <c r="AU52" s="50">
        <v>27.06401304488773</v>
      </c>
      <c r="AV52" s="50">
        <v>27.044068300877651</v>
      </c>
      <c r="AW52" s="50">
        <v>27.02141786552259</v>
      </c>
      <c r="AX52" s="50">
        <v>27.00432654738027</v>
      </c>
      <c r="AY52" s="50">
        <v>26.986221510235012</v>
      </c>
      <c r="AZ52" s="50">
        <v>26.972848764760457</v>
      </c>
      <c r="BA52" s="50">
        <v>26.957916611692006</v>
      </c>
      <c r="BB52" s="50">
        <v>25.894074396296993</v>
      </c>
      <c r="BC52" s="50">
        <v>25.89651386244525</v>
      </c>
      <c r="BD52" s="50">
        <v>25.902198899447296</v>
      </c>
      <c r="BE52" s="50">
        <v>25.895949592564243</v>
      </c>
      <c r="BF52" s="50">
        <v>25.905696702076963</v>
      </c>
      <c r="BG52" s="50">
        <v>25.915933220395189</v>
      </c>
      <c r="BH52" s="50">
        <v>25.923474297010717</v>
      </c>
      <c r="BI52" s="50">
        <v>25.925585858393198</v>
      </c>
      <c r="BJ52" s="50">
        <v>25.923473145237775</v>
      </c>
      <c r="BK52" s="50">
        <v>25.919004109152397</v>
      </c>
      <c r="BL52" s="50">
        <v>25.906995466017996</v>
      </c>
    </row>
    <row r="53" spans="2:64" x14ac:dyDescent="0.35">
      <c r="C53" t="s">
        <v>293</v>
      </c>
      <c r="D53" s="50">
        <v>0.36642694370815998</v>
      </c>
      <c r="E53" s="50">
        <v>0.35470999108293</v>
      </c>
      <c r="F53" s="50">
        <v>0.38249243707663999</v>
      </c>
      <c r="G53" s="50">
        <v>0.37799456028020001</v>
      </c>
      <c r="H53" s="50">
        <v>0.40402826094213001</v>
      </c>
      <c r="I53" s="50">
        <v>0.39974166861652</v>
      </c>
      <c r="J53" s="50">
        <v>0.38859485839440999</v>
      </c>
      <c r="K53" s="50">
        <v>0.39160898713207004</v>
      </c>
      <c r="L53" s="50">
        <v>0.37717118654362003</v>
      </c>
      <c r="M53" s="50">
        <v>0.40035628617881996</v>
      </c>
      <c r="N53" s="50">
        <v>0.40515628985136004</v>
      </c>
      <c r="O53" s="50">
        <v>0.42329355924693995</v>
      </c>
      <c r="P53" s="50">
        <v>0.44147694963213002</v>
      </c>
      <c r="Q53" s="50">
        <v>0.47634806725715001</v>
      </c>
      <c r="R53" s="50">
        <v>0.49417169503745995</v>
      </c>
      <c r="S53" s="50">
        <v>0.51581617253897005</v>
      </c>
      <c r="T53" s="50">
        <v>0.51246272049793995</v>
      </c>
      <c r="U53" s="50">
        <v>0.48057736977717996</v>
      </c>
      <c r="V53" s="50">
        <v>0.48861908921137004</v>
      </c>
      <c r="W53" s="50">
        <v>0.44175060694691992</v>
      </c>
      <c r="X53" s="50">
        <v>0.42689056518231999</v>
      </c>
      <c r="Y53" s="50">
        <v>0.43730630324666991</v>
      </c>
      <c r="Z53" s="50">
        <v>0.46749098191557997</v>
      </c>
      <c r="AA53" s="50">
        <v>0.46461822120052004</v>
      </c>
      <c r="AB53" s="50">
        <v>0.44449383834728001</v>
      </c>
      <c r="AC53" s="50">
        <v>0.44726800503922004</v>
      </c>
      <c r="AD53" s="50">
        <v>0.44177232613505996</v>
      </c>
      <c r="AE53" s="50">
        <v>0.43614607141988998</v>
      </c>
      <c r="AF53" s="50">
        <v>0.44547034500414007</v>
      </c>
      <c r="AG53" s="50">
        <v>0.48243768484458999</v>
      </c>
      <c r="AH53" s="50">
        <v>0.46415889239030006</v>
      </c>
      <c r="AI53" s="50">
        <v>0.47243967573437912</v>
      </c>
      <c r="AJ53" s="50">
        <v>0.47289818983770676</v>
      </c>
      <c r="AK53" s="50">
        <v>0.4711790349080528</v>
      </c>
      <c r="AL53" s="50">
        <v>0.46658470018525311</v>
      </c>
      <c r="AM53" s="50">
        <v>0.46485308347831256</v>
      </c>
      <c r="AN53" s="50">
        <v>0.46328617861077648</v>
      </c>
      <c r="AO53" s="50">
        <v>0.46171808945902848</v>
      </c>
      <c r="AP53" s="50">
        <v>0.45990977689477069</v>
      </c>
      <c r="AQ53" s="50">
        <v>0.46132582841916531</v>
      </c>
      <c r="AR53" s="50">
        <v>0.43789210469704731</v>
      </c>
      <c r="AS53" s="50">
        <v>0.43882298274309273</v>
      </c>
      <c r="AT53" s="50">
        <v>0.42993163700716874</v>
      </c>
      <c r="AU53" s="50">
        <v>0.4269761236376366</v>
      </c>
      <c r="AV53" s="50">
        <v>0.42333295375198399</v>
      </c>
      <c r="AW53" s="50">
        <v>0.41929657986029151</v>
      </c>
      <c r="AX53" s="50">
        <v>0.41429959099492158</v>
      </c>
      <c r="AY53" s="50">
        <v>0.40964357802675166</v>
      </c>
      <c r="AZ53" s="50">
        <v>0.40383636799625294</v>
      </c>
      <c r="BA53" s="50">
        <v>0.39801161946250929</v>
      </c>
      <c r="BB53" s="50">
        <v>0.36696901452118885</v>
      </c>
      <c r="BC53" s="50">
        <v>0.36013860345857379</v>
      </c>
      <c r="BD53" s="50">
        <v>0.3533442352917544</v>
      </c>
      <c r="BE53" s="50">
        <v>0.34568660395005318</v>
      </c>
      <c r="BF53" s="50">
        <v>0.33880426617827991</v>
      </c>
      <c r="BG53" s="50">
        <v>0.33107643225701439</v>
      </c>
      <c r="BH53" s="50">
        <v>0.3223216062392637</v>
      </c>
      <c r="BI53" s="50">
        <v>0.31345776908323481</v>
      </c>
      <c r="BJ53" s="50">
        <v>0.30458201146801561</v>
      </c>
      <c r="BK53" s="50">
        <v>0.29509448281518402</v>
      </c>
      <c r="BL53" s="50">
        <v>0.28708368816462598</v>
      </c>
    </row>
    <row r="54" spans="2:64" x14ac:dyDescent="0.35">
      <c r="B54" s="10" t="s">
        <v>294</v>
      </c>
      <c r="C54" t="s">
        <v>291</v>
      </c>
      <c r="D54" s="50">
        <v>2519.9565575373808</v>
      </c>
      <c r="E54" s="50">
        <v>2659.4860926475949</v>
      </c>
      <c r="F54" s="50">
        <v>2757.6030127995591</v>
      </c>
      <c r="G54" s="50">
        <v>2847.573039225395</v>
      </c>
      <c r="H54" s="50">
        <v>2725.6161551550372</v>
      </c>
      <c r="I54" s="50">
        <v>2813.8337178611105</v>
      </c>
      <c r="J54" s="50">
        <v>2826.0859206680966</v>
      </c>
      <c r="K54" s="50">
        <v>2732.1930435050358</v>
      </c>
      <c r="L54" s="50">
        <v>2792.1921973718781</v>
      </c>
      <c r="M54" s="50">
        <v>2944.2874457034563</v>
      </c>
      <c r="N54" s="50">
        <v>2922.4829407837447</v>
      </c>
      <c r="O54" s="50">
        <v>2986.8974577091049</v>
      </c>
      <c r="P54" s="50">
        <v>2984.8085614413958</v>
      </c>
      <c r="Q54" s="50">
        <v>3152.9626677903907</v>
      </c>
      <c r="R54" s="50">
        <v>3131.4872800634166</v>
      </c>
      <c r="S54" s="50">
        <v>3208.6354189567705</v>
      </c>
      <c r="T54" s="50">
        <v>3180.8810962824796</v>
      </c>
      <c r="U54" s="50">
        <v>3376.8667499328376</v>
      </c>
      <c r="V54" s="50">
        <v>3158.9914137622636</v>
      </c>
      <c r="W54" s="50">
        <v>3022.3787157649267</v>
      </c>
      <c r="X54" s="50">
        <v>3319.0049733416399</v>
      </c>
      <c r="Y54" s="50">
        <v>3294.4141985105807</v>
      </c>
      <c r="Z54" s="50">
        <v>3254.9237020985429</v>
      </c>
      <c r="AA54" s="50">
        <v>3319.3619782430392</v>
      </c>
      <c r="AB54" s="50">
        <v>3396.5353679654536</v>
      </c>
      <c r="AC54" s="50">
        <v>3509.692940089657</v>
      </c>
      <c r="AD54" s="50">
        <v>3213.6045926507077</v>
      </c>
      <c r="AE54" s="50">
        <v>3213.8824154864624</v>
      </c>
      <c r="AF54" s="50">
        <v>3085.4485327591519</v>
      </c>
      <c r="AG54" s="50">
        <v>3085.5223067679485</v>
      </c>
      <c r="AH54" s="50">
        <v>2863.6712337629397</v>
      </c>
      <c r="AI54" s="50">
        <v>3067.7985342584043</v>
      </c>
      <c r="AJ54" s="50">
        <v>2967.444683605212</v>
      </c>
      <c r="AK54" s="50">
        <v>2935.741440213299</v>
      </c>
      <c r="AL54" s="50">
        <v>2936.5702576951653</v>
      </c>
      <c r="AM54" s="50">
        <v>2937.5146000648242</v>
      </c>
      <c r="AN54" s="50">
        <v>2938.4655187628314</v>
      </c>
      <c r="AO54" s="50">
        <v>2939.3920694403</v>
      </c>
      <c r="AP54" s="50">
        <v>2940.2874230804132</v>
      </c>
      <c r="AQ54" s="50">
        <v>2941.1087936938357</v>
      </c>
      <c r="AR54" s="50">
        <v>2941.8648461659009</v>
      </c>
      <c r="AS54" s="50">
        <v>2942.5967030374914</v>
      </c>
      <c r="AT54" s="50">
        <v>2943.3076139819186</v>
      </c>
      <c r="AU54" s="50">
        <v>2943.9989607503021</v>
      </c>
      <c r="AV54" s="50">
        <v>2944.6760287968318</v>
      </c>
      <c r="AW54" s="50">
        <v>2945.3431912158585</v>
      </c>
      <c r="AX54" s="50">
        <v>2946.0144701236277</v>
      </c>
      <c r="AY54" s="50">
        <v>2946.6978995520049</v>
      </c>
      <c r="AZ54" s="50">
        <v>2947.3959233517908</v>
      </c>
      <c r="BA54" s="50">
        <v>2948.1117001053635</v>
      </c>
      <c r="BB54" s="50">
        <v>2948.846428032301</v>
      </c>
      <c r="BC54" s="50">
        <v>2949.6015695979545</v>
      </c>
      <c r="BD54" s="50">
        <v>2950.3792220871137</v>
      </c>
      <c r="BE54" s="50">
        <v>2951.1834792928457</v>
      </c>
      <c r="BF54" s="50">
        <v>2952.0155730529618</v>
      </c>
      <c r="BG54" s="50">
        <v>2952.8801114734542</v>
      </c>
      <c r="BH54" s="50">
        <v>2953.7813861542372</v>
      </c>
      <c r="BI54" s="50">
        <v>2954.7203745329875</v>
      </c>
      <c r="BJ54" s="50">
        <v>2955.6878729585351</v>
      </c>
      <c r="BK54" s="50">
        <v>2956.6446412244295</v>
      </c>
      <c r="BL54" s="50">
        <v>2957.5782295918334</v>
      </c>
    </row>
    <row r="55" spans="2:64" x14ac:dyDescent="0.35">
      <c r="C55" t="s">
        <v>292</v>
      </c>
      <c r="D55" s="50">
        <v>1.1040000000000001</v>
      </c>
      <c r="E55" s="50">
        <v>1.8859999999999999</v>
      </c>
      <c r="F55" s="50">
        <v>1.5985</v>
      </c>
      <c r="G55" s="50">
        <v>1.794</v>
      </c>
      <c r="H55" s="50">
        <v>2.2494000000000001</v>
      </c>
      <c r="I55" s="50">
        <v>3.1649932000000001</v>
      </c>
      <c r="J55" s="50">
        <v>4.2472927</v>
      </c>
      <c r="K55" s="50">
        <v>4.3812746000000002</v>
      </c>
      <c r="L55" s="50">
        <v>4.1248360999999996</v>
      </c>
      <c r="M55" s="50">
        <v>4.7440306000000003</v>
      </c>
      <c r="N55" s="50">
        <v>5.5445272000000001</v>
      </c>
      <c r="O55" s="50">
        <v>4.9043567000000001</v>
      </c>
      <c r="P55" s="50">
        <v>5.2471694000000006</v>
      </c>
      <c r="Q55" s="50">
        <v>2.2257490999999998</v>
      </c>
      <c r="R55" s="50">
        <v>2.5019607000000001</v>
      </c>
      <c r="S55" s="50">
        <v>0.78939449999999989</v>
      </c>
      <c r="T55" s="50">
        <v>0.92968300000000004</v>
      </c>
      <c r="U55" s="50">
        <v>0.9997663</v>
      </c>
      <c r="V55" s="50">
        <v>1.3117314</v>
      </c>
      <c r="W55" s="50">
        <v>1.8914280000000003</v>
      </c>
      <c r="X55" s="50">
        <v>1.9061802000000001</v>
      </c>
      <c r="Y55" s="50">
        <v>1.9159529</v>
      </c>
      <c r="Z55" s="50">
        <v>2.5473925999999998</v>
      </c>
      <c r="AA55" s="50">
        <v>3.2659701000000001</v>
      </c>
      <c r="AB55" s="50">
        <v>5.0592594000000002</v>
      </c>
      <c r="AC55" s="50">
        <v>4.2680433000000004</v>
      </c>
      <c r="AD55" s="50">
        <v>5.01110799875506</v>
      </c>
      <c r="AE55" s="50">
        <v>4.4807196999999999</v>
      </c>
      <c r="AF55" s="50">
        <v>3.6906674000000006</v>
      </c>
      <c r="AG55" s="50">
        <v>4.2892700000000001</v>
      </c>
      <c r="AH55" s="50">
        <v>3.8459956000000002</v>
      </c>
      <c r="AI55" s="50">
        <v>3.1382012340873802</v>
      </c>
      <c r="AJ55" s="50">
        <v>3.294464632839424</v>
      </c>
      <c r="AK55" s="50">
        <v>3.4678575082520253</v>
      </c>
      <c r="AL55" s="50">
        <v>3.4678575082520253</v>
      </c>
      <c r="AM55" s="50">
        <v>3.4678575082520253</v>
      </c>
      <c r="AN55" s="50">
        <v>3.4678575082520253</v>
      </c>
      <c r="AO55" s="50">
        <v>3.4678575082520253</v>
      </c>
      <c r="AP55" s="50">
        <v>3.4678575082520253</v>
      </c>
      <c r="AQ55" s="50">
        <v>3.4678575082520253</v>
      </c>
      <c r="AR55" s="50">
        <v>1.7339287541260127</v>
      </c>
      <c r="AS55" s="50">
        <v>1.7339287541260127</v>
      </c>
      <c r="AT55" s="50">
        <v>1.7339287541260127</v>
      </c>
      <c r="AU55" s="50">
        <v>1.7339287541260127</v>
      </c>
      <c r="AV55" s="50">
        <v>1.7339287541260127</v>
      </c>
      <c r="AW55" s="50">
        <v>1.7339287541260127</v>
      </c>
      <c r="AX55" s="50">
        <v>1.7339287541260127</v>
      </c>
      <c r="AY55" s="50">
        <v>1.7339287541260127</v>
      </c>
      <c r="AZ55" s="50">
        <v>1.7339287541260127</v>
      </c>
      <c r="BA55" s="50">
        <v>1.7339287541260127</v>
      </c>
      <c r="BB55" s="50">
        <v>0</v>
      </c>
      <c r="BC55" s="50">
        <v>0</v>
      </c>
      <c r="BD55" s="50">
        <v>0</v>
      </c>
      <c r="BE55" s="50">
        <v>0</v>
      </c>
      <c r="BF55" s="50">
        <v>0</v>
      </c>
      <c r="BG55" s="50">
        <v>0</v>
      </c>
      <c r="BH55" s="50">
        <v>0</v>
      </c>
      <c r="BI55" s="50">
        <v>0</v>
      </c>
      <c r="BJ55" s="50">
        <v>0</v>
      </c>
      <c r="BK55" s="50">
        <v>0</v>
      </c>
      <c r="BL55" s="50">
        <v>0</v>
      </c>
    </row>
    <row r="56" spans="2:64" x14ac:dyDescent="0.35">
      <c r="C56" t="s">
        <v>293</v>
      </c>
      <c r="D56" s="50">
        <v>0.34377660773997987</v>
      </c>
      <c r="E56" s="50">
        <v>0.32658777735298</v>
      </c>
      <c r="F56" s="50">
        <v>0.31025838848532999</v>
      </c>
      <c r="G56" s="50">
        <v>0.29474546906105997</v>
      </c>
      <c r="H56" s="50">
        <v>0.28000819560800999</v>
      </c>
      <c r="I56" s="50">
        <v>0.26600778582760998</v>
      </c>
      <c r="J56" s="50">
        <v>0.25270739653622998</v>
      </c>
      <c r="K56" s="50">
        <v>0.24007202670941999</v>
      </c>
      <c r="L56" s="50">
        <v>0.22806842537395</v>
      </c>
      <c r="M56" s="50">
        <v>0.21666500410525003</v>
      </c>
      <c r="N56" s="50">
        <v>0.20583175389999001</v>
      </c>
      <c r="O56" s="50">
        <v>0.19554016620499001</v>
      </c>
      <c r="P56" s="50">
        <v>0.18576315789473999</v>
      </c>
      <c r="Q56" s="50">
        <v>0.17499999999999999</v>
      </c>
      <c r="R56" s="50">
        <v>0.16250000000000001</v>
      </c>
      <c r="S56" s="50">
        <v>0.14949999999999999</v>
      </c>
      <c r="T56" s="50">
        <v>0.13650000000000001</v>
      </c>
      <c r="U56" s="50">
        <v>0.14785000000000001</v>
      </c>
      <c r="V56" s="50">
        <v>0.1767</v>
      </c>
      <c r="W56" s="50">
        <v>0.17805000000000001</v>
      </c>
      <c r="X56" s="50">
        <v>0.17924999999999999</v>
      </c>
      <c r="Y56" s="50">
        <v>0.1789</v>
      </c>
      <c r="Z56" s="50">
        <v>0.18140000000000001</v>
      </c>
      <c r="AA56" s="50">
        <v>0.19520000000000001</v>
      </c>
      <c r="AB56" s="50">
        <v>0.19520000000000001</v>
      </c>
      <c r="AC56" s="50">
        <v>0.2011</v>
      </c>
      <c r="AD56" s="50">
        <v>0.19739999999999999</v>
      </c>
      <c r="AE56" s="50">
        <v>0.20655000000000001</v>
      </c>
      <c r="AF56" s="50">
        <v>0.27334999999999998</v>
      </c>
      <c r="AG56" s="50">
        <v>0.27655000000000002</v>
      </c>
      <c r="AH56" s="50">
        <v>0.24790000000000001</v>
      </c>
      <c r="AI56" s="50">
        <v>0.28553419675133507</v>
      </c>
      <c r="AJ56" s="50">
        <v>0.2884650779910215</v>
      </c>
      <c r="AK56" s="50">
        <v>0.29615335362270645</v>
      </c>
      <c r="AL56" s="50">
        <v>0.30104632284823946</v>
      </c>
      <c r="AM56" s="50">
        <v>0.30662129955204281</v>
      </c>
      <c r="AN56" s="50">
        <v>0.31223509996906201</v>
      </c>
      <c r="AO56" s="50">
        <v>0.31770504244728348</v>
      </c>
      <c r="AP56" s="50">
        <v>0.32299081151333098</v>
      </c>
      <c r="AQ56" s="50">
        <v>0.32783981774469578</v>
      </c>
      <c r="AR56" s="50">
        <v>0.33230321476471825</v>
      </c>
      <c r="AS56" s="50">
        <v>0.33662377173718933</v>
      </c>
      <c r="AT56" s="50">
        <v>0.34082067328582494</v>
      </c>
      <c r="AU56" s="50">
        <v>0.34490207665373868</v>
      </c>
      <c r="AV56" s="50">
        <v>0.34889918480811533</v>
      </c>
      <c r="AW56" s="50">
        <v>0.35283781455007962</v>
      </c>
      <c r="AX56" s="50">
        <v>0.35680074620792024</v>
      </c>
      <c r="AY56" s="50">
        <v>0.36083540912712436</v>
      </c>
      <c r="AZ56" s="50">
        <v>0.36495623071422789</v>
      </c>
      <c r="BA56" s="50">
        <v>0.36918185783263857</v>
      </c>
      <c r="BB56" s="50">
        <v>0.37351936423700216</v>
      </c>
      <c r="BC56" s="50">
        <v>0.377977383671317</v>
      </c>
      <c r="BD56" s="50">
        <v>0.38256829757077693</v>
      </c>
      <c r="BE56" s="50">
        <v>0.38731627386611361</v>
      </c>
      <c r="BF56" s="50">
        <v>0.39222858477905514</v>
      </c>
      <c r="BG56" s="50">
        <v>0.39733243451474742</v>
      </c>
      <c r="BH56" s="50">
        <v>0.40265315876744689</v>
      </c>
      <c r="BI56" s="50">
        <v>0.40819652789379773</v>
      </c>
      <c r="BJ56" s="50">
        <v>0.41390820763696484</v>
      </c>
      <c r="BK56" s="50">
        <v>0.41955654129716474</v>
      </c>
      <c r="BL56" s="50">
        <v>0.42506803116190811</v>
      </c>
    </row>
    <row r="57" spans="2:64" x14ac:dyDescent="0.35">
      <c r="B57" s="10" t="s">
        <v>43</v>
      </c>
      <c r="C57" t="s">
        <v>291</v>
      </c>
      <c r="D57" s="50">
        <v>335.67906394986551</v>
      </c>
      <c r="E57" s="50">
        <v>371.90615144539862</v>
      </c>
      <c r="F57" s="50">
        <v>394.76661751230108</v>
      </c>
      <c r="G57" s="50">
        <v>442.64120143539054</v>
      </c>
      <c r="H57" s="50">
        <v>500.41393488597515</v>
      </c>
      <c r="I57" s="50">
        <v>582.37680129054763</v>
      </c>
      <c r="J57" s="50">
        <v>541.38352744044118</v>
      </c>
      <c r="K57" s="50">
        <v>568.00528006658749</v>
      </c>
      <c r="L57" s="50">
        <v>644.77509589686201</v>
      </c>
      <c r="M57" s="50">
        <v>743.18277005521338</v>
      </c>
      <c r="N57" s="50">
        <v>790.77977686270037</v>
      </c>
      <c r="O57" s="50">
        <v>901.74608397623422</v>
      </c>
      <c r="P57" s="50">
        <v>1033.9005688849297</v>
      </c>
      <c r="Q57" s="50">
        <v>1001.7259659101927</v>
      </c>
      <c r="R57" s="50">
        <v>1006.9082663458823</v>
      </c>
      <c r="S57" s="50">
        <v>1064.1014054721436</v>
      </c>
      <c r="T57" s="50">
        <v>929.82371529257409</v>
      </c>
      <c r="U57" s="50">
        <v>995.82021578551576</v>
      </c>
      <c r="V57" s="50">
        <v>942.63769463709173</v>
      </c>
      <c r="W57" s="50">
        <v>965.77074526788181</v>
      </c>
      <c r="X57" s="50">
        <v>961.19529071648606</v>
      </c>
      <c r="Y57" s="50">
        <v>1019.7067219571727</v>
      </c>
      <c r="Z57" s="50">
        <v>1056.7803060078841</v>
      </c>
      <c r="AA57" s="50">
        <v>965.93459048107616</v>
      </c>
      <c r="AB57" s="50">
        <v>998.76015646956523</v>
      </c>
      <c r="AC57" s="50">
        <v>1050.2374492579709</v>
      </c>
      <c r="AD57" s="50">
        <v>998.14629608115945</v>
      </c>
      <c r="AE57" s="50">
        <v>967.08786414964322</v>
      </c>
      <c r="AF57" s="50">
        <v>1016.1405826729523</v>
      </c>
      <c r="AG57" s="50">
        <v>1020.5033795478262</v>
      </c>
      <c r="AH57" s="50">
        <v>951.50682644057974</v>
      </c>
      <c r="AI57" s="50">
        <v>1024.7056539762423</v>
      </c>
      <c r="AJ57" s="50">
        <v>1021.854441283048</v>
      </c>
      <c r="AK57" s="50">
        <v>1019.0393945623937</v>
      </c>
      <c r="AL57" s="50">
        <v>1016.3922795785015</v>
      </c>
      <c r="AM57" s="50">
        <v>1013.8136804983183</v>
      </c>
      <c r="AN57" s="50">
        <v>1008.8330923241924</v>
      </c>
      <c r="AO57" s="50">
        <v>1004.3432354713354</v>
      </c>
      <c r="AP57" s="50">
        <v>999.54435841450345</v>
      </c>
      <c r="AQ57" s="50">
        <v>995.08973428445915</v>
      </c>
      <c r="AR57" s="50">
        <v>990.84856191760764</v>
      </c>
      <c r="AS57" s="50">
        <v>986.73537224855443</v>
      </c>
      <c r="AT57" s="50">
        <v>982.38230735787477</v>
      </c>
      <c r="AU57" s="50">
        <v>978.41423054998768</v>
      </c>
      <c r="AV57" s="50">
        <v>974.27324902666453</v>
      </c>
      <c r="AW57" s="50">
        <v>970.25551734793328</v>
      </c>
      <c r="AX57" s="50">
        <v>969.67596465872248</v>
      </c>
      <c r="AY57" s="50">
        <v>969.4507531273124</v>
      </c>
      <c r="AZ57" s="50">
        <v>969.58200400736246</v>
      </c>
      <c r="BA57" s="50">
        <v>969.62262141026656</v>
      </c>
      <c r="BB57" s="50">
        <v>969.63704063092871</v>
      </c>
      <c r="BC57" s="50">
        <v>969.15223227734657</v>
      </c>
      <c r="BD57" s="50">
        <v>968.88747918440731</v>
      </c>
      <c r="BE57" s="50">
        <v>968.57473673358072</v>
      </c>
      <c r="BF57" s="50">
        <v>968.30844894272866</v>
      </c>
      <c r="BG57" s="50">
        <v>968.84641124992481</v>
      </c>
      <c r="BH57" s="50">
        <v>968.87504690469632</v>
      </c>
      <c r="BI57" s="50">
        <v>968.52803631111908</v>
      </c>
      <c r="BJ57" s="50">
        <v>968.1099662647066</v>
      </c>
      <c r="BK57" s="50">
        <v>967.81334024806733</v>
      </c>
      <c r="BL57" s="50">
        <v>967.85550042467719</v>
      </c>
    </row>
    <row r="58" spans="2:64" x14ac:dyDescent="0.35">
      <c r="C58" t="s">
        <v>292</v>
      </c>
      <c r="D58" s="50">
        <v>1124.0323944711226</v>
      </c>
      <c r="E58" s="50">
        <v>1128.9729801915744</v>
      </c>
      <c r="F58" s="50">
        <v>1109.409858197685</v>
      </c>
      <c r="G58" s="50">
        <v>1114.153030123332</v>
      </c>
      <c r="H58" s="50">
        <v>1150.2557948244678</v>
      </c>
      <c r="I58" s="50">
        <v>1161.7941454379124</v>
      </c>
      <c r="J58" s="50">
        <v>1172.3073513050249</v>
      </c>
      <c r="K58" s="50">
        <v>1202.2978184512447</v>
      </c>
      <c r="L58" s="50">
        <v>1177.6460056346693</v>
      </c>
      <c r="M58" s="50">
        <v>1180.2957302601314</v>
      </c>
      <c r="N58" s="50">
        <v>1212.7593290552397</v>
      </c>
      <c r="O58" s="50">
        <v>1226.9104389816055</v>
      </c>
      <c r="P58" s="50">
        <v>1218.0231584301353</v>
      </c>
      <c r="Q58" s="50">
        <v>1234.3820870006064</v>
      </c>
      <c r="R58" s="50">
        <v>1235.0267222505195</v>
      </c>
      <c r="S58" s="50">
        <v>1244.0513706633783</v>
      </c>
      <c r="T58" s="50">
        <v>1251.4714353181407</v>
      </c>
      <c r="U58" s="50">
        <v>1219.2192171961103</v>
      </c>
      <c r="V58" s="50">
        <v>1174.4171331029038</v>
      </c>
      <c r="W58" s="50">
        <v>1180.8735542598756</v>
      </c>
      <c r="X58" s="50">
        <v>1182.080527686546</v>
      </c>
      <c r="Y58" s="50">
        <v>1198.506947382406</v>
      </c>
      <c r="Z58" s="50">
        <v>1226.5024960821286</v>
      </c>
      <c r="AA58" s="50">
        <v>1233.1197375786612</v>
      </c>
      <c r="AB58" s="50">
        <v>1245.505022944317</v>
      </c>
      <c r="AC58" s="50">
        <v>1226.5112558874318</v>
      </c>
      <c r="AD58" s="50">
        <v>1212.5347332470756</v>
      </c>
      <c r="AE58" s="50">
        <v>1213.6780109474446</v>
      </c>
      <c r="AF58" s="50">
        <v>1219.3143475064498</v>
      </c>
      <c r="AG58" s="50">
        <v>1224.2961396757501</v>
      </c>
      <c r="AH58" s="50">
        <v>1218.8801349496384</v>
      </c>
      <c r="AI58" s="50">
        <v>1193.0224827631187</v>
      </c>
      <c r="AJ58" s="50">
        <v>1182.763981106408</v>
      </c>
      <c r="AK58" s="50">
        <v>1173.7222907982482</v>
      </c>
      <c r="AL58" s="50">
        <v>1164.7702153906903</v>
      </c>
      <c r="AM58" s="50">
        <v>1156.2709349938921</v>
      </c>
      <c r="AN58" s="50">
        <v>1151.279079779561</v>
      </c>
      <c r="AO58" s="50">
        <v>1147.0502584166125</v>
      </c>
      <c r="AP58" s="50">
        <v>1142.6648135956107</v>
      </c>
      <c r="AQ58" s="50">
        <v>1138.6758204641706</v>
      </c>
      <c r="AR58" s="50">
        <v>1134.7416831508829</v>
      </c>
      <c r="AS58" s="50">
        <v>1130.9328262210747</v>
      </c>
      <c r="AT58" s="50">
        <v>1126.4863101676945</v>
      </c>
      <c r="AU58" s="50">
        <v>1122.3404394468398</v>
      </c>
      <c r="AV58" s="50">
        <v>1117.9792609760975</v>
      </c>
      <c r="AW58" s="50">
        <v>1114.2663202888025</v>
      </c>
      <c r="AX58" s="50">
        <v>1113.2936540095764</v>
      </c>
      <c r="AY58" s="50">
        <v>1112.6954349007224</v>
      </c>
      <c r="AZ58" s="50">
        <v>1112.6340923028326</v>
      </c>
      <c r="BA58" s="50">
        <v>1112.4838809143323</v>
      </c>
      <c r="BB58" s="50">
        <v>1112.1357133869997</v>
      </c>
      <c r="BC58" s="50">
        <v>1111.0791178739157</v>
      </c>
      <c r="BD58" s="50">
        <v>1110.3248287429135</v>
      </c>
      <c r="BE58" s="50">
        <v>1109.5199439879548</v>
      </c>
      <c r="BF58" s="50">
        <v>1108.7051607708961</v>
      </c>
      <c r="BG58" s="50">
        <v>1109.1281284948245</v>
      </c>
      <c r="BH58" s="50">
        <v>1108.7720173982527</v>
      </c>
      <c r="BI58" s="50">
        <v>1107.8165188484886</v>
      </c>
      <c r="BJ58" s="50">
        <v>1106.6083971793119</v>
      </c>
      <c r="BK58" s="50">
        <v>1105.7084902761655</v>
      </c>
      <c r="BL58" s="50">
        <v>1105.0259381555688</v>
      </c>
    </row>
    <row r="59" spans="2:64" x14ac:dyDescent="0.35">
      <c r="C59" t="s">
        <v>293</v>
      </c>
      <c r="D59" s="50">
        <v>17.974479419170716</v>
      </c>
      <c r="E59" s="50">
        <v>18.208982689224438</v>
      </c>
      <c r="F59" s="50">
        <v>18.258265182885783</v>
      </c>
      <c r="G59" s="50">
        <v>18.993017117232782</v>
      </c>
      <c r="H59" s="50">
        <v>19.71996272306308</v>
      </c>
      <c r="I59" s="50">
        <v>20.494854622353913</v>
      </c>
      <c r="J59" s="50">
        <v>20.76909288124423</v>
      </c>
      <c r="K59" s="50">
        <v>21.032243016282543</v>
      </c>
      <c r="L59" s="50">
        <v>20.810908693045217</v>
      </c>
      <c r="M59" s="50">
        <v>20.864485546248325</v>
      </c>
      <c r="N59" s="50">
        <v>21.829240565334064</v>
      </c>
      <c r="O59" s="50">
        <v>23.055799754277373</v>
      </c>
      <c r="P59" s="50">
        <v>23.383971235989868</v>
      </c>
      <c r="Q59" s="50">
        <v>24.208552445737563</v>
      </c>
      <c r="R59" s="50">
        <v>24.619102817491001</v>
      </c>
      <c r="S59" s="50">
        <v>24.854074558973934</v>
      </c>
      <c r="T59" s="50">
        <v>24.197274326286305</v>
      </c>
      <c r="U59" s="50">
        <v>23.596625543540551</v>
      </c>
      <c r="V59" s="50">
        <v>23.587870087569605</v>
      </c>
      <c r="W59" s="50">
        <v>23.652177586381878</v>
      </c>
      <c r="X59" s="50">
        <v>24.155324683747807</v>
      </c>
      <c r="Y59" s="50">
        <v>24.76472865945918</v>
      </c>
      <c r="Z59" s="50">
        <v>25.114163804575355</v>
      </c>
      <c r="AA59" s="50">
        <v>25.210852858314524</v>
      </c>
      <c r="AB59" s="50">
        <v>26.12881233395608</v>
      </c>
      <c r="AC59" s="50">
        <v>25.848222092673527</v>
      </c>
      <c r="AD59" s="50">
        <v>25.944448293512139</v>
      </c>
      <c r="AE59" s="50">
        <v>26.08507570846265</v>
      </c>
      <c r="AF59" s="50">
        <v>26.4070049778426</v>
      </c>
      <c r="AG59" s="50">
        <v>26.478973656709112</v>
      </c>
      <c r="AH59" s="50">
        <v>26.852461895770688</v>
      </c>
      <c r="AI59" s="50">
        <v>26.105647438617105</v>
      </c>
      <c r="AJ59" s="50">
        <v>25.952503477941338</v>
      </c>
      <c r="AK59" s="50">
        <v>25.807458927778516</v>
      </c>
      <c r="AL59" s="50">
        <v>25.660848080205579</v>
      </c>
      <c r="AM59" s="50">
        <v>25.521186978988879</v>
      </c>
      <c r="AN59" s="50">
        <v>25.392426722555374</v>
      </c>
      <c r="AO59" s="50">
        <v>25.281543070759103</v>
      </c>
      <c r="AP59" s="50">
        <v>25.163120582869119</v>
      </c>
      <c r="AQ59" s="50">
        <v>25.056577012800396</v>
      </c>
      <c r="AR59" s="50">
        <v>24.95186872148232</v>
      </c>
      <c r="AS59" s="50">
        <v>24.852803290424163</v>
      </c>
      <c r="AT59" s="50">
        <v>24.739436358108268</v>
      </c>
      <c r="AU59" s="50">
        <v>24.634523265759963</v>
      </c>
      <c r="AV59" s="50">
        <v>24.523772178973939</v>
      </c>
      <c r="AW59" s="50">
        <v>24.422964074158592</v>
      </c>
      <c r="AX59" s="50">
        <v>24.404767675568493</v>
      </c>
      <c r="AY59" s="50">
        <v>24.397544216139686</v>
      </c>
      <c r="AZ59" s="50">
        <v>24.40107647143823</v>
      </c>
      <c r="BA59" s="50">
        <v>24.40116333335747</v>
      </c>
      <c r="BB59" s="50">
        <v>24.397147329242824</v>
      </c>
      <c r="BC59" s="50">
        <v>24.375880212072268</v>
      </c>
      <c r="BD59" s="50">
        <v>24.363682092382749</v>
      </c>
      <c r="BE59" s="50">
        <v>24.350431855883464</v>
      </c>
      <c r="BF59" s="50">
        <v>24.339019781016049</v>
      </c>
      <c r="BG59" s="50">
        <v>24.356917958232899</v>
      </c>
      <c r="BH59" s="50">
        <v>24.352887703017714</v>
      </c>
      <c r="BI59" s="50">
        <v>24.33539832816566</v>
      </c>
      <c r="BJ59" s="50">
        <v>24.312834844354089</v>
      </c>
      <c r="BK59" s="50">
        <v>24.300035800951765</v>
      </c>
      <c r="BL59" s="50">
        <v>24.298237615398751</v>
      </c>
    </row>
    <row r="60" spans="2:64" x14ac:dyDescent="0.35">
      <c r="B60" s="10" t="s">
        <v>44</v>
      </c>
      <c r="C60" t="s">
        <v>291</v>
      </c>
      <c r="D60" s="50">
        <v>158.91153335176486</v>
      </c>
      <c r="E60" s="50">
        <v>157.84269804433487</v>
      </c>
      <c r="F60" s="50">
        <v>156.15086181862185</v>
      </c>
      <c r="G60" s="50">
        <v>158.91997621842884</v>
      </c>
      <c r="H60" s="50">
        <v>137.63316223492487</v>
      </c>
      <c r="I60" s="50">
        <v>136.25791438122386</v>
      </c>
      <c r="J60" s="50">
        <v>131.03051961481086</v>
      </c>
      <c r="K60" s="50">
        <v>139.86940948429088</v>
      </c>
      <c r="L60" s="50">
        <v>148.51381935377188</v>
      </c>
      <c r="M60" s="50">
        <v>156.71778922325288</v>
      </c>
      <c r="N60" s="50">
        <v>149.72520220531686</v>
      </c>
      <c r="O60" s="50">
        <v>138.52126518738186</v>
      </c>
      <c r="P60" s="50">
        <v>131.59817616944687</v>
      </c>
      <c r="Q60" s="50">
        <v>123.41705949555485</v>
      </c>
      <c r="R60" s="50">
        <v>124.25222665061285</v>
      </c>
      <c r="S60" s="50">
        <v>119.46081042446386</v>
      </c>
      <c r="T60" s="50">
        <v>118.53337957942854</v>
      </c>
      <c r="U60" s="50">
        <v>114.87540625707396</v>
      </c>
      <c r="V60" s="50">
        <v>109.90963351185434</v>
      </c>
      <c r="W60" s="50">
        <v>107.65432130150933</v>
      </c>
      <c r="X60" s="50">
        <v>108.66302434272133</v>
      </c>
      <c r="Y60" s="50">
        <v>105.30612135168033</v>
      </c>
      <c r="Z60" s="50">
        <v>105.56505373488633</v>
      </c>
      <c r="AA60" s="50">
        <v>102.90891644192334</v>
      </c>
      <c r="AB60" s="50">
        <v>102.98225190491632</v>
      </c>
      <c r="AC60" s="50">
        <v>100.33785234521093</v>
      </c>
      <c r="AD60" s="50">
        <v>100.77986838161853</v>
      </c>
      <c r="AE60" s="50">
        <v>95.215403330625037</v>
      </c>
      <c r="AF60" s="50">
        <v>92.420990082961737</v>
      </c>
      <c r="AG60" s="50">
        <v>90.261880340591432</v>
      </c>
      <c r="AH60" s="50">
        <v>89.80009559783403</v>
      </c>
      <c r="AI60" s="50">
        <v>97.967181342533991</v>
      </c>
      <c r="AJ60" s="50">
        <v>97.439009196035983</v>
      </c>
      <c r="AK60" s="50">
        <v>96.935412273761372</v>
      </c>
      <c r="AL60" s="50">
        <v>96.454204980194547</v>
      </c>
      <c r="AM60" s="50">
        <v>95.993480912457429</v>
      </c>
      <c r="AN60" s="50">
        <v>95.551567243234743</v>
      </c>
      <c r="AO60" s="50">
        <v>95.126988055892525</v>
      </c>
      <c r="AP60" s="50">
        <v>94.718434602966767</v>
      </c>
      <c r="AQ60" s="50">
        <v>94.324740976150906</v>
      </c>
      <c r="AR60" s="50">
        <v>93.944864047600248</v>
      </c>
      <c r="AS60" s="50">
        <v>93.577866813158153</v>
      </c>
      <c r="AT60" s="50">
        <v>93.222904467805833</v>
      </c>
      <c r="AU60" s="50">
        <v>92.879212692572253</v>
      </c>
      <c r="AV60" s="50">
        <v>92.546097744385563</v>
      </c>
      <c r="AW60" s="50">
        <v>92.222928025764844</v>
      </c>
      <c r="AX60" s="50">
        <v>91.90912687685163</v>
      </c>
      <c r="AY60" s="50">
        <v>91.604166383081548</v>
      </c>
      <c r="AZ60" s="50">
        <v>91.307562031464229</v>
      </c>
      <c r="BA60" s="50">
        <v>91.018868079629812</v>
      </c>
      <c r="BB60" s="50">
        <v>90.737673526516716</v>
      </c>
      <c r="BC60" s="50">
        <v>90.463598593273019</v>
      </c>
      <c r="BD60" s="50">
        <v>90.19629163875635</v>
      </c>
      <c r="BE60" s="50">
        <v>89.93542644677504</v>
      </c>
      <c r="BF60" s="50">
        <v>89.680699832571648</v>
      </c>
      <c r="BG60" s="50">
        <v>89.431829524500401</v>
      </c>
      <c r="BH60" s="50">
        <v>89.188552283782315</v>
      </c>
      <c r="BI60" s="50">
        <v>88.950622230933547</v>
      </c>
      <c r="BJ60" s="50">
        <v>88.717809352191495</v>
      </c>
      <c r="BK60" s="50">
        <v>88.489898163196429</v>
      </c>
      <c r="BL60" s="50">
        <v>88.266686510468503</v>
      </c>
    </row>
    <row r="61" spans="2:64" x14ac:dyDescent="0.35">
      <c r="C61" t="s">
        <v>292</v>
      </c>
      <c r="D61" s="50">
        <v>146.83240038291498</v>
      </c>
      <c r="E61" s="50">
        <v>151.18774900965423</v>
      </c>
      <c r="F61" s="50">
        <v>155.30193074796165</v>
      </c>
      <c r="G61" s="50">
        <v>159.24702420150098</v>
      </c>
      <c r="H61" s="50">
        <v>155.57070050467266</v>
      </c>
      <c r="I61" s="50">
        <v>159.25152753281748</v>
      </c>
      <c r="J61" s="50">
        <v>162.95329485884318</v>
      </c>
      <c r="K61" s="50">
        <v>164.94866388248357</v>
      </c>
      <c r="L61" s="50">
        <v>164.37947477693319</v>
      </c>
      <c r="M61" s="50">
        <v>164.9487519389516</v>
      </c>
      <c r="N61" s="50">
        <v>166.22884836943823</v>
      </c>
      <c r="O61" s="50">
        <v>167.54257899359308</v>
      </c>
      <c r="P61" s="50">
        <v>168.50053054165949</v>
      </c>
      <c r="Q61" s="50">
        <v>165.06515594229609</v>
      </c>
      <c r="R61" s="50">
        <v>165.54501449290157</v>
      </c>
      <c r="S61" s="50">
        <v>165.31303279235962</v>
      </c>
      <c r="T61" s="50">
        <v>157.46010681098588</v>
      </c>
      <c r="U61" s="50">
        <v>156.08143928607927</v>
      </c>
      <c r="V61" s="50">
        <v>152.89949553304521</v>
      </c>
      <c r="W61" s="50">
        <v>147.66532001687833</v>
      </c>
      <c r="X61" s="50">
        <v>145.28393742183624</v>
      </c>
      <c r="Y61" s="50">
        <v>139.4552952544955</v>
      </c>
      <c r="Z61" s="50">
        <v>135.11062754515868</v>
      </c>
      <c r="AA61" s="50">
        <v>133.13241065264089</v>
      </c>
      <c r="AB61" s="50">
        <v>131.20971696888637</v>
      </c>
      <c r="AC61" s="50">
        <v>129.61670565159892</v>
      </c>
      <c r="AD61" s="50">
        <v>128.29942101540766</v>
      </c>
      <c r="AE61" s="50">
        <v>126.83037329321982</v>
      </c>
      <c r="AF61" s="50">
        <v>124.24261898370941</v>
      </c>
      <c r="AG61" s="50">
        <v>122.32184695064457</v>
      </c>
      <c r="AH61" s="50">
        <v>120.47725170171125</v>
      </c>
      <c r="AI61" s="50">
        <v>119.78258119360257</v>
      </c>
      <c r="AJ61" s="50">
        <v>118.66358206791716</v>
      </c>
      <c r="AK61" s="50">
        <v>117.86888849325948</v>
      </c>
      <c r="AL61" s="50">
        <v>117.2921512169552</v>
      </c>
      <c r="AM61" s="50">
        <v>116.83194691578088</v>
      </c>
      <c r="AN61" s="50">
        <v>116.41218691742364</v>
      </c>
      <c r="AO61" s="50">
        <v>116.04841581782698</v>
      </c>
      <c r="AP61" s="50">
        <v>115.73551047338428</v>
      </c>
      <c r="AQ61" s="50">
        <v>115.4704342505725</v>
      </c>
      <c r="AR61" s="50">
        <v>115.24106894090215</v>
      </c>
      <c r="AS61" s="50">
        <v>115.03192319721677</v>
      </c>
      <c r="AT61" s="50">
        <v>114.84921453901602</v>
      </c>
      <c r="AU61" s="50">
        <v>114.69440353622809</v>
      </c>
      <c r="AV61" s="50">
        <v>114.56170047143618</v>
      </c>
      <c r="AW61" s="50">
        <v>114.46121576863004</v>
      </c>
      <c r="AX61" s="50">
        <v>114.37917127384532</v>
      </c>
      <c r="AY61" s="50">
        <v>114.31844383363587</v>
      </c>
      <c r="AZ61" s="50">
        <v>114.28166123710162</v>
      </c>
      <c r="BA61" s="50">
        <v>114.26117355734149</v>
      </c>
      <c r="BB61" s="50">
        <v>114.27042679983695</v>
      </c>
      <c r="BC61" s="50">
        <v>114.30182731640915</v>
      </c>
      <c r="BD61" s="50">
        <v>114.35223160380478</v>
      </c>
      <c r="BE61" s="50">
        <v>114.42308985668762</v>
      </c>
      <c r="BF61" s="50">
        <v>114.50879046878246</v>
      </c>
      <c r="BG61" s="50">
        <v>114.61955277592129</v>
      </c>
      <c r="BH61" s="50">
        <v>114.7423922050872</v>
      </c>
      <c r="BI61" s="50">
        <v>114.86430760016943</v>
      </c>
      <c r="BJ61" s="50">
        <v>114.99533653553677</v>
      </c>
      <c r="BK61" s="50">
        <v>115.13552298532832</v>
      </c>
      <c r="BL61" s="50">
        <v>115.29427492057317</v>
      </c>
    </row>
    <row r="62" spans="2:64" x14ac:dyDescent="0.35">
      <c r="C62" t="s">
        <v>293</v>
      </c>
      <c r="D62" s="50">
        <v>0.38051443233678001</v>
      </c>
      <c r="E62" s="50">
        <v>0.38910666251156001</v>
      </c>
      <c r="F62" s="50">
        <v>0.39194349447019999</v>
      </c>
      <c r="G62" s="50">
        <v>0.39690611932356001</v>
      </c>
      <c r="H62" s="50">
        <v>0.38786150416613002</v>
      </c>
      <c r="I62" s="50">
        <v>0.39250936859375002</v>
      </c>
      <c r="J62" s="50">
        <v>0.39445525432688999</v>
      </c>
      <c r="K62" s="50">
        <v>0.40367657713198002</v>
      </c>
      <c r="L62" s="50">
        <v>0.41716092208700001</v>
      </c>
      <c r="M62" s="50">
        <v>0.42889339550025002</v>
      </c>
      <c r="N62" s="50">
        <v>0.43327831812097001</v>
      </c>
      <c r="O62" s="50">
        <v>0.43819658682992996</v>
      </c>
      <c r="P62" s="50">
        <v>0.41880379836026999</v>
      </c>
      <c r="Q62" s="50">
        <v>0.41934405023013999</v>
      </c>
      <c r="R62" s="50">
        <v>0.42315384330873002</v>
      </c>
      <c r="S62" s="50">
        <v>0.42285667032323998</v>
      </c>
      <c r="T62" s="50">
        <v>0.42525321736535998</v>
      </c>
      <c r="U62" s="50">
        <v>0.42634339362064999</v>
      </c>
      <c r="V62" s="50">
        <v>0.42634630393167999</v>
      </c>
      <c r="W62" s="50">
        <v>0.43075928763952998</v>
      </c>
      <c r="X62" s="50">
        <v>0.43929219073337</v>
      </c>
      <c r="Y62" s="50">
        <v>0.44618767611742</v>
      </c>
      <c r="Z62" s="50">
        <v>0.45401259371993002</v>
      </c>
      <c r="AA62" s="50">
        <v>0.46456826074410001</v>
      </c>
      <c r="AB62" s="50">
        <v>0.47869731474375005</v>
      </c>
      <c r="AC62" s="50">
        <v>0.49352953447419995</v>
      </c>
      <c r="AD62" s="50">
        <v>0.51145427377847996</v>
      </c>
      <c r="AE62" s="50">
        <v>0.52451953326306</v>
      </c>
      <c r="AF62" s="50">
        <v>0.53648152524124004</v>
      </c>
      <c r="AG62" s="50">
        <v>0.55165020438433998</v>
      </c>
      <c r="AH62" s="50">
        <v>0.56086822690097005</v>
      </c>
      <c r="AI62" s="50">
        <v>0.56723336997164475</v>
      </c>
      <c r="AJ62" s="50">
        <v>0.57293080639751204</v>
      </c>
      <c r="AK62" s="50">
        <v>0.57846872493742363</v>
      </c>
      <c r="AL62" s="50">
        <v>0.58366977140404275</v>
      </c>
      <c r="AM62" s="50">
        <v>0.58876965339593645</v>
      </c>
      <c r="AN62" s="50">
        <v>0.59356469900046172</v>
      </c>
      <c r="AO62" s="50">
        <v>0.59817260883706613</v>
      </c>
      <c r="AP62" s="50">
        <v>0.60256907254812908</v>
      </c>
      <c r="AQ62" s="50">
        <v>0.60674280078508436</v>
      </c>
      <c r="AR62" s="50">
        <v>0.61070841249635655</v>
      </c>
      <c r="AS62" s="50">
        <v>0.61436924960048322</v>
      </c>
      <c r="AT62" s="50">
        <v>0.61785437749783867</v>
      </c>
      <c r="AU62" s="50">
        <v>0.62112041537300522</v>
      </c>
      <c r="AV62" s="50">
        <v>0.62415993907155942</v>
      </c>
      <c r="AW62" s="50">
        <v>0.62699731781214396</v>
      </c>
      <c r="AX62" s="50">
        <v>0.62974667192908951</v>
      </c>
      <c r="AY62" s="50">
        <v>0.63242833654751995</v>
      </c>
      <c r="AZ62" s="50">
        <v>0.63505663756287256</v>
      </c>
      <c r="BA62" s="50">
        <v>0.6376289678502538</v>
      </c>
      <c r="BB62" s="50">
        <v>0.64014989900028174</v>
      </c>
      <c r="BC62" s="50">
        <v>0.64262907775339217</v>
      </c>
      <c r="BD62" s="50">
        <v>0.64506453747547887</v>
      </c>
      <c r="BE62" s="50">
        <v>0.64746681972040243</v>
      </c>
      <c r="BF62" s="50">
        <v>0.64982655849564941</v>
      </c>
      <c r="BG62" s="50">
        <v>0.65215250563325267</v>
      </c>
      <c r="BH62" s="50">
        <v>0.65443765168113233</v>
      </c>
      <c r="BI62" s="50">
        <v>0.65667247702995302</v>
      </c>
      <c r="BJ62" s="50">
        <v>0.6588975445877443</v>
      </c>
      <c r="BK62" s="50">
        <v>0.66107974430902128</v>
      </c>
      <c r="BL62" s="50">
        <v>0.66325698712114201</v>
      </c>
    </row>
    <row r="63" spans="2:64" x14ac:dyDescent="0.35">
      <c r="B63" s="10" t="s">
        <v>295</v>
      </c>
      <c r="C63" t="s">
        <v>296</v>
      </c>
      <c r="D63" s="50">
        <v>929.92214799999999</v>
      </c>
      <c r="E63" s="50">
        <v>924.65187199999991</v>
      </c>
      <c r="F63" s="50">
        <v>484.07010000000002</v>
      </c>
      <c r="G63" s="50">
        <v>233.207055</v>
      </c>
      <c r="H63" s="50">
        <v>217.51035028647948</v>
      </c>
      <c r="I63" s="50">
        <v>202.20309806580977</v>
      </c>
      <c r="J63" s="50">
        <v>357.9741063061561</v>
      </c>
      <c r="K63" s="50">
        <v>340.09044180247832</v>
      </c>
      <c r="L63" s="50">
        <v>273.73523719662614</v>
      </c>
      <c r="M63" s="50">
        <v>285.48593529563186</v>
      </c>
      <c r="N63" s="50">
        <v>320.78752337609922</v>
      </c>
      <c r="O63" s="50">
        <v>390.70367253936473</v>
      </c>
      <c r="P63" s="50">
        <v>509.11067924658619</v>
      </c>
      <c r="Q63" s="50">
        <v>655.77862267381875</v>
      </c>
      <c r="R63" s="50">
        <v>710.53597295586712</v>
      </c>
      <c r="S63" s="50">
        <v>788.72714877751685</v>
      </c>
      <c r="T63" s="50">
        <v>926.37636069395774</v>
      </c>
      <c r="U63" s="50">
        <v>985.26985465396876</v>
      </c>
      <c r="V63" s="50">
        <v>1077.998628001684</v>
      </c>
      <c r="W63" s="50">
        <v>1151.8680006789793</v>
      </c>
      <c r="X63" s="50">
        <v>1171.0565657742036</v>
      </c>
      <c r="Y63" s="50">
        <v>1231.7613266024246</v>
      </c>
      <c r="Z63" s="50">
        <v>1330.5241567734602</v>
      </c>
      <c r="AA63" s="50">
        <v>1377.1653247860399</v>
      </c>
      <c r="AB63" s="50">
        <v>1425.7947377335977</v>
      </c>
      <c r="AC63" s="50">
        <v>1461.0016081399463</v>
      </c>
      <c r="AD63" s="50">
        <v>1485.3652731690643</v>
      </c>
      <c r="AE63" s="50">
        <v>1540.9876222988848</v>
      </c>
      <c r="AF63" s="50">
        <v>1565.9002562713001</v>
      </c>
      <c r="AG63" s="50">
        <v>1585.879935050873</v>
      </c>
      <c r="AH63" s="50">
        <v>1584.6584758367771</v>
      </c>
      <c r="AI63" s="50">
        <v>1602.6289481771939</v>
      </c>
      <c r="AJ63" s="50">
        <v>1630.5733591169039</v>
      </c>
      <c r="AK63" s="50">
        <v>1671.4854821127956</v>
      </c>
      <c r="AL63" s="50">
        <v>1706.9636254997315</v>
      </c>
      <c r="AM63" s="50">
        <v>1675.4005947850051</v>
      </c>
      <c r="AN63" s="50">
        <v>1664.019648857369</v>
      </c>
      <c r="AO63" s="50">
        <v>1618.8076695177374</v>
      </c>
      <c r="AP63" s="50">
        <v>1579.1082252861111</v>
      </c>
      <c r="AQ63" s="50">
        <v>1559.5118927744413</v>
      </c>
      <c r="AR63" s="50">
        <v>1530.2709479910923</v>
      </c>
      <c r="AS63" s="50">
        <v>1489.8171418106638</v>
      </c>
      <c r="AT63" s="50">
        <v>1451.2566763319992</v>
      </c>
      <c r="AU63" s="50">
        <v>1401.7372495592797</v>
      </c>
      <c r="AV63" s="50">
        <v>1360.1708472968714</v>
      </c>
      <c r="AW63" s="50">
        <v>1334.3864249311571</v>
      </c>
      <c r="AX63" s="50">
        <v>1299.6116523876633</v>
      </c>
      <c r="AY63" s="50">
        <v>1276.1055326138123</v>
      </c>
      <c r="AZ63" s="50">
        <v>1254.6272079588362</v>
      </c>
      <c r="BA63" s="50">
        <v>1235.2640196886814</v>
      </c>
      <c r="BB63" s="50">
        <v>1218.0792709811699</v>
      </c>
      <c r="BC63" s="50">
        <v>1204.8363469727906</v>
      </c>
      <c r="BD63" s="50">
        <v>1194.4343874585638</v>
      </c>
      <c r="BE63" s="50">
        <v>1189.4214240235854</v>
      </c>
      <c r="BF63" s="50">
        <v>1187.4585886499967</v>
      </c>
      <c r="BG63" s="50">
        <v>1188.1955711431629</v>
      </c>
      <c r="BH63" s="50">
        <v>1192.420271365181</v>
      </c>
      <c r="BI63" s="50">
        <v>1200.2578049835233</v>
      </c>
      <c r="BJ63" s="50">
        <v>1210.2777494889488</v>
      </c>
      <c r="BK63" s="50">
        <v>1221.5469630862979</v>
      </c>
      <c r="BL63" s="50">
        <v>1235.9682780158682</v>
      </c>
    </row>
    <row r="64" spans="2:64" x14ac:dyDescent="0.35">
      <c r="B64" s="10" t="s">
        <v>297</v>
      </c>
      <c r="C64" t="s">
        <v>291</v>
      </c>
      <c r="D64" s="50">
        <v>25501.03012829995</v>
      </c>
      <c r="E64" s="50">
        <v>26181.134371891596</v>
      </c>
      <c r="F64" s="50">
        <v>28165.425149143382</v>
      </c>
      <c r="G64" s="50">
        <v>27759.35983996456</v>
      </c>
      <c r="H64" s="50">
        <v>27898.307382731935</v>
      </c>
      <c r="I64" s="50">
        <v>28001.677197127421</v>
      </c>
      <c r="J64" s="50">
        <v>29302.840381859474</v>
      </c>
      <c r="K64" s="50">
        <v>31277.228395215941</v>
      </c>
      <c r="L64" s="50">
        <v>29856.618240044125</v>
      </c>
      <c r="M64" s="50">
        <v>31463.477367915686</v>
      </c>
      <c r="N64" s="50">
        <v>32243.956064900231</v>
      </c>
      <c r="O64" s="50">
        <v>34377.167200122531</v>
      </c>
      <c r="P64" s="50">
        <v>34540.392057992343</v>
      </c>
      <c r="Q64" s="50">
        <v>36239.433483717497</v>
      </c>
      <c r="R64" s="50">
        <v>35833.565754087518</v>
      </c>
      <c r="S64" s="50">
        <v>37420.488362374112</v>
      </c>
      <c r="T64" s="50">
        <v>37326.777368250514</v>
      </c>
      <c r="U64" s="50">
        <v>36407.362662100502</v>
      </c>
      <c r="V64" s="50">
        <v>37506.116079398111</v>
      </c>
      <c r="W64" s="50">
        <v>34617.502200513853</v>
      </c>
      <c r="X64" s="50">
        <v>34807.477210901685</v>
      </c>
      <c r="Y64" s="50">
        <v>34262.086561655058</v>
      </c>
      <c r="Z64" s="50">
        <v>35941.297667208317</v>
      </c>
      <c r="AA64" s="50">
        <v>35238.242644432357</v>
      </c>
      <c r="AB64" s="50">
        <v>35436.463457001279</v>
      </c>
      <c r="AC64" s="50">
        <v>35810.547028604844</v>
      </c>
      <c r="AD64" s="50">
        <v>34150.284804311566</v>
      </c>
      <c r="AE64" s="50">
        <v>35685.814905589788</v>
      </c>
      <c r="AF64" s="50">
        <v>35702.125080359547</v>
      </c>
      <c r="AG64" s="50">
        <v>37117.824320977859</v>
      </c>
      <c r="AH64" s="50">
        <v>34453.317517392126</v>
      </c>
      <c r="AI64" s="50">
        <v>36239.419136161727</v>
      </c>
      <c r="AJ64" s="50">
        <v>35825.620705943977</v>
      </c>
      <c r="AK64" s="50">
        <v>35403.81726677507</v>
      </c>
      <c r="AL64" s="50">
        <v>34887.692460388665</v>
      </c>
      <c r="AM64" s="50">
        <v>34539.633804913814</v>
      </c>
      <c r="AN64" s="50">
        <v>34421.085542480949</v>
      </c>
      <c r="AO64" s="50">
        <v>34315.812925114769</v>
      </c>
      <c r="AP64" s="50">
        <v>34195.224360499735</v>
      </c>
      <c r="AQ64" s="50">
        <v>34270.430981078993</v>
      </c>
      <c r="AR64" s="50">
        <v>33593.291141585338</v>
      </c>
      <c r="AS64" s="50">
        <v>33621.313008351673</v>
      </c>
      <c r="AT64" s="50">
        <v>32994.457984538916</v>
      </c>
      <c r="AU64" s="50">
        <v>32745.599203987003</v>
      </c>
      <c r="AV64" s="50">
        <v>32439.6390193238</v>
      </c>
      <c r="AW64" s="50">
        <v>32101.135252110158</v>
      </c>
      <c r="AX64" s="50">
        <v>31686.627007757532</v>
      </c>
      <c r="AY64" s="50">
        <v>31298.084293841112</v>
      </c>
      <c r="AZ64" s="50">
        <v>30814.476376302937</v>
      </c>
      <c r="BA64" s="50">
        <v>30327.859555536383</v>
      </c>
      <c r="BB64" s="50">
        <v>29057.033007406353</v>
      </c>
      <c r="BC64" s="50">
        <v>28477.643895816025</v>
      </c>
      <c r="BD64" s="50">
        <v>27896.810185770268</v>
      </c>
      <c r="BE64" s="50">
        <v>27241.65215548352</v>
      </c>
      <c r="BF64" s="50">
        <v>26658.255425622843</v>
      </c>
      <c r="BG64" s="50">
        <v>26004.938988757669</v>
      </c>
      <c r="BH64" s="50">
        <v>25260.611268971563</v>
      </c>
      <c r="BI64" s="50">
        <v>24508.590273771213</v>
      </c>
      <c r="BJ64" s="50">
        <v>23752.617803604262</v>
      </c>
      <c r="BK64" s="50">
        <v>22944.22325304769</v>
      </c>
      <c r="BL64" s="50">
        <v>22263.005084088236</v>
      </c>
    </row>
    <row r="65" spans="3:64" x14ac:dyDescent="0.35">
      <c r="C65" t="s">
        <v>292</v>
      </c>
      <c r="D65" s="50">
        <v>1318.8288975581183</v>
      </c>
      <c r="E65" s="50">
        <v>1328.2490677582796</v>
      </c>
      <c r="F65" s="50">
        <v>1311.6813314273531</v>
      </c>
      <c r="G65" s="50">
        <v>1323.6007178460275</v>
      </c>
      <c r="H65" s="50">
        <v>1359.5880879039071</v>
      </c>
      <c r="I65" s="50">
        <v>1369.4199401945921</v>
      </c>
      <c r="J65" s="50">
        <v>1395.1787688958864</v>
      </c>
      <c r="K65" s="50">
        <v>1426.9749555992635</v>
      </c>
      <c r="L65" s="50">
        <v>1400.876022881135</v>
      </c>
      <c r="M65" s="50">
        <v>1405.0427742222244</v>
      </c>
      <c r="N65" s="50">
        <v>1437.9856667890772</v>
      </c>
      <c r="O65" s="50">
        <v>1454.7449982570854</v>
      </c>
      <c r="P65" s="50">
        <v>1443.114159677878</v>
      </c>
      <c r="Q65" s="50">
        <v>1446.3476338290409</v>
      </c>
      <c r="R65" s="50">
        <v>1448.5270487264456</v>
      </c>
      <c r="S65" s="50">
        <v>1460.8400847354351</v>
      </c>
      <c r="T65" s="50">
        <v>1473.9298780793547</v>
      </c>
      <c r="U65" s="50">
        <v>1431.7003877858899</v>
      </c>
      <c r="V65" s="50">
        <v>1374.70888140496</v>
      </c>
      <c r="W65" s="50">
        <v>1380.8132716106577</v>
      </c>
      <c r="X65" s="50">
        <v>1390.5015831253495</v>
      </c>
      <c r="Y65" s="50">
        <v>1397.2369857004178</v>
      </c>
      <c r="Z65" s="50">
        <v>1409.4519662887351</v>
      </c>
      <c r="AA65" s="50">
        <v>1407.4089449915582</v>
      </c>
      <c r="AB65" s="50">
        <v>1419.3829412674022</v>
      </c>
      <c r="AC65" s="50">
        <v>1399.5022123063034</v>
      </c>
      <c r="AD65" s="50">
        <v>1381.4803892154418</v>
      </c>
      <c r="AE65" s="50">
        <v>1376.5751847298511</v>
      </c>
      <c r="AF65" s="50">
        <v>1377.7743429297698</v>
      </c>
      <c r="AG65" s="50">
        <v>1380.3579602829063</v>
      </c>
      <c r="AH65" s="50">
        <v>1370.8586827042357</v>
      </c>
      <c r="AI65" s="50">
        <v>1344.7828899257645</v>
      </c>
      <c r="AJ65" s="50">
        <v>1333.4916839472326</v>
      </c>
      <c r="AK65" s="50">
        <v>1324.1039451290892</v>
      </c>
      <c r="AL65" s="50">
        <v>1314.6404750934375</v>
      </c>
      <c r="AM65" s="50">
        <v>1305.5908849898767</v>
      </c>
      <c r="AN65" s="50">
        <v>1300.1161768212642</v>
      </c>
      <c r="AO65" s="50">
        <v>1295.4678812394318</v>
      </c>
      <c r="AP65" s="50">
        <v>1290.7123292769895</v>
      </c>
      <c r="AQ65" s="50">
        <v>1286.5616163781795</v>
      </c>
      <c r="AR65" s="50">
        <v>1279.6948522077726</v>
      </c>
      <c r="AS65" s="50">
        <v>1275.7701981611244</v>
      </c>
      <c r="AT65" s="50">
        <v>1270.8468041077467</v>
      </c>
      <c r="AU65" s="50">
        <v>1266.5155908019944</v>
      </c>
      <c r="AV65" s="50">
        <v>1261.987512912254</v>
      </c>
      <c r="AW65" s="50">
        <v>1258.1359032045107</v>
      </c>
      <c r="AX65" s="50">
        <v>1257.0446884954767</v>
      </c>
      <c r="AY65" s="50">
        <v>1256.3498139478386</v>
      </c>
      <c r="AZ65" s="50">
        <v>1256.2161902368582</v>
      </c>
      <c r="BA65" s="50">
        <v>1256.0087805306239</v>
      </c>
      <c r="BB65" s="50">
        <v>1252.8480741262947</v>
      </c>
      <c r="BC65" s="50">
        <v>1251.7994982931814</v>
      </c>
      <c r="BD65" s="50">
        <v>1251.0761699725201</v>
      </c>
      <c r="BE65" s="50">
        <v>1250.3080804832289</v>
      </c>
      <c r="BF65" s="50">
        <v>1249.5648495656994</v>
      </c>
      <c r="BG65" s="50">
        <v>1250.0822791514261</v>
      </c>
      <c r="BH65" s="50">
        <v>1249.8270550974951</v>
      </c>
      <c r="BI65" s="50">
        <v>1248.9669285607617</v>
      </c>
      <c r="BJ65" s="50">
        <v>1247.8599946308502</v>
      </c>
      <c r="BK65" s="50">
        <v>1247.0655638509656</v>
      </c>
      <c r="BL65" s="50">
        <v>1246.5051656852618</v>
      </c>
    </row>
    <row r="66" spans="3:64" x14ac:dyDescent="0.35">
      <c r="C66" t="s">
        <v>293</v>
      </c>
      <c r="D66" s="50">
        <v>19.435905159773778</v>
      </c>
      <c r="E66" s="50">
        <v>19.664498818274456</v>
      </c>
      <c r="F66" s="50">
        <v>19.755788107974723</v>
      </c>
      <c r="G66" s="50">
        <v>20.496846499349211</v>
      </c>
      <c r="H66" s="50">
        <v>21.25631863450559</v>
      </c>
      <c r="I66" s="50">
        <v>22.046693317613492</v>
      </c>
      <c r="J66" s="50">
        <v>22.307759164457948</v>
      </c>
      <c r="K66" s="50">
        <v>22.59208014489332</v>
      </c>
      <c r="L66" s="50">
        <v>22.369848891122246</v>
      </c>
      <c r="M66" s="50">
        <v>22.473502688319076</v>
      </c>
      <c r="N66" s="50">
        <v>23.478684314600855</v>
      </c>
      <c r="O66" s="50">
        <v>24.708785579511741</v>
      </c>
      <c r="P66" s="50">
        <v>25.045301855249729</v>
      </c>
      <c r="Q66" s="50">
        <v>25.926977176476115</v>
      </c>
      <c r="R66" s="50">
        <v>26.37342914330571</v>
      </c>
      <c r="S66" s="50">
        <v>26.611548135302737</v>
      </c>
      <c r="T66" s="50">
        <v>25.925276289831405</v>
      </c>
      <c r="U66" s="50">
        <v>25.2918102417973</v>
      </c>
      <c r="V66" s="50">
        <v>25.291922074710534</v>
      </c>
      <c r="W66" s="50">
        <v>25.300545015893018</v>
      </c>
      <c r="X66" s="50">
        <v>25.769921895136864</v>
      </c>
      <c r="Y66" s="50">
        <v>26.374391554453133</v>
      </c>
      <c r="Z66" s="50">
        <v>26.740210498088224</v>
      </c>
      <c r="AA66" s="50">
        <v>26.846629363461947</v>
      </c>
      <c r="AB66" s="50">
        <v>27.742223731070013</v>
      </c>
      <c r="AC66" s="50">
        <v>27.471206658333955</v>
      </c>
      <c r="AD66" s="50">
        <v>27.565690694032838</v>
      </c>
      <c r="AE66" s="50">
        <v>27.665124869470571</v>
      </c>
      <c r="AF66" s="50">
        <v>28.063519969326819</v>
      </c>
      <c r="AG66" s="50">
        <v>28.185772039120344</v>
      </c>
      <c r="AH66" s="50">
        <v>28.401675728399365</v>
      </c>
      <c r="AI66" s="50">
        <v>27.712070461702201</v>
      </c>
      <c r="AJ66" s="50">
        <v>27.568286259494993</v>
      </c>
      <c r="AK66" s="50">
        <v>27.433725435926185</v>
      </c>
      <c r="AL66" s="50">
        <v>27.289879529858712</v>
      </c>
      <c r="AM66" s="50">
        <v>27.158130940213741</v>
      </c>
      <c r="AN66" s="50">
        <v>27.037279937867247</v>
      </c>
      <c r="AO66" s="50">
        <v>26.933972657231749</v>
      </c>
      <c r="AP66" s="50">
        <v>26.822347706567548</v>
      </c>
      <c r="AQ66" s="50">
        <v>26.727085815362937</v>
      </c>
      <c r="AR66" s="50">
        <v>26.593424080257527</v>
      </c>
      <c r="AS66" s="50">
        <v>26.503825018722875</v>
      </c>
      <c r="AT66" s="50">
        <v>26.383956270650163</v>
      </c>
      <c r="AU66" s="50">
        <v>26.281675861467441</v>
      </c>
      <c r="AV66" s="50">
        <v>26.172149670129041</v>
      </c>
      <c r="AW66" s="50">
        <v>26.071678581976467</v>
      </c>
      <c r="AX66" s="50">
        <v>26.052223064308436</v>
      </c>
      <c r="AY66" s="50">
        <v>26.044288466523547</v>
      </c>
      <c r="AZ66" s="50">
        <v>26.045305941008895</v>
      </c>
      <c r="BA66" s="50">
        <v>26.042898878767101</v>
      </c>
      <c r="BB66" s="50">
        <v>25.996220855320253</v>
      </c>
      <c r="BC66" s="50">
        <v>25.970994780000265</v>
      </c>
      <c r="BD66" s="50">
        <v>25.954984374724646</v>
      </c>
      <c r="BE66" s="50">
        <v>25.936668624170927</v>
      </c>
      <c r="BF66" s="50">
        <v>25.92154960700471</v>
      </c>
      <c r="BG66" s="50">
        <v>25.934549818420038</v>
      </c>
      <c r="BH66" s="50">
        <v>25.924159370245558</v>
      </c>
      <c r="BI66" s="50">
        <v>25.900308227498748</v>
      </c>
      <c r="BJ66" s="50">
        <v>25.871522512605001</v>
      </c>
      <c r="BK66" s="50">
        <v>25.851419101550526</v>
      </c>
      <c r="BL66" s="50">
        <v>25.844530495253775</v>
      </c>
    </row>
    <row r="67" spans="3:64" x14ac:dyDescent="0.35">
      <c r="AK67" s="4"/>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45B0-4FD1-47D1-A7B7-94914039F2A6}">
  <dimension ref="A1:BL67"/>
  <sheetViews>
    <sheetView zoomScale="85" zoomScaleNormal="85" workbookViewId="0">
      <pane xSplit="3" ySplit="1" topLeftCell="D2" activePane="bottomRight" state="frozen"/>
      <selection activeCell="AM20" sqref="AM20"/>
      <selection pane="topRight" activeCell="AM20" sqref="AM20"/>
      <selection pane="bottomLeft" activeCell="AM20" sqref="AM20"/>
      <selection pane="bottomRight"/>
    </sheetView>
  </sheetViews>
  <sheetFormatPr defaultColWidth="9.1796875" defaultRowHeight="14.5" x14ac:dyDescent="0.35"/>
  <cols>
    <col min="1" max="1" width="9.1796875" customWidth="1"/>
    <col min="2" max="2" width="27.26953125" style="10" customWidth="1"/>
    <col min="3" max="3" width="22.7265625" customWidth="1"/>
    <col min="4" max="34" width="9.1796875" hidden="1" customWidth="1"/>
    <col min="35" max="35" width="9.54296875" hidden="1" customWidth="1"/>
    <col min="36" max="36" width="9.1796875" customWidth="1"/>
  </cols>
  <sheetData>
    <row r="1" spans="1:64" x14ac:dyDescent="0.35">
      <c r="A1" t="s">
        <v>270</v>
      </c>
      <c r="D1">
        <v>1990</v>
      </c>
      <c r="E1">
        <v>1991</v>
      </c>
      <c r="F1">
        <v>1992</v>
      </c>
      <c r="G1">
        <v>1993</v>
      </c>
      <c r="H1">
        <v>1994</v>
      </c>
      <c r="I1">
        <v>1995</v>
      </c>
      <c r="J1">
        <v>1996</v>
      </c>
      <c r="K1">
        <v>1997</v>
      </c>
      <c r="L1">
        <v>1998</v>
      </c>
      <c r="M1">
        <v>1999</v>
      </c>
      <c r="N1">
        <v>2000</v>
      </c>
      <c r="O1">
        <v>2001</v>
      </c>
      <c r="P1">
        <v>2002</v>
      </c>
      <c r="Q1">
        <v>2003</v>
      </c>
      <c r="R1">
        <v>2004</v>
      </c>
      <c r="S1">
        <v>2005</v>
      </c>
      <c r="T1">
        <v>2006</v>
      </c>
      <c r="U1">
        <v>2007</v>
      </c>
      <c r="V1">
        <v>2008</v>
      </c>
      <c r="W1">
        <v>2009</v>
      </c>
      <c r="X1">
        <v>2010</v>
      </c>
      <c r="Y1">
        <v>2011</v>
      </c>
      <c r="Z1">
        <v>2012</v>
      </c>
      <c r="AA1">
        <v>2013</v>
      </c>
      <c r="AB1">
        <v>2014</v>
      </c>
      <c r="AC1">
        <v>2015</v>
      </c>
      <c r="AD1">
        <v>2016</v>
      </c>
      <c r="AE1">
        <v>2017</v>
      </c>
      <c r="AF1">
        <v>2018</v>
      </c>
      <c r="AG1">
        <v>2019</v>
      </c>
      <c r="AH1">
        <v>2020</v>
      </c>
      <c r="AI1">
        <v>2021</v>
      </c>
      <c r="AJ1">
        <v>2022</v>
      </c>
      <c r="AK1">
        <v>2023</v>
      </c>
      <c r="AL1">
        <v>2024</v>
      </c>
      <c r="AM1">
        <v>2025</v>
      </c>
      <c r="AN1">
        <v>2026</v>
      </c>
      <c r="AO1">
        <v>2027</v>
      </c>
      <c r="AP1">
        <v>2028</v>
      </c>
      <c r="AQ1">
        <v>2029</v>
      </c>
      <c r="AR1">
        <v>2030</v>
      </c>
      <c r="AS1">
        <v>2031</v>
      </c>
      <c r="AT1">
        <v>2032</v>
      </c>
      <c r="AU1">
        <v>2033</v>
      </c>
      <c r="AV1">
        <v>2034</v>
      </c>
      <c r="AW1">
        <v>2035</v>
      </c>
      <c r="AX1">
        <v>2036</v>
      </c>
      <c r="AY1">
        <v>2037</v>
      </c>
      <c r="AZ1">
        <v>2038</v>
      </c>
      <c r="BA1">
        <v>2039</v>
      </c>
      <c r="BB1">
        <v>2040</v>
      </c>
      <c r="BC1">
        <v>2041</v>
      </c>
      <c r="BD1">
        <v>2042</v>
      </c>
      <c r="BE1">
        <v>2043</v>
      </c>
      <c r="BF1">
        <v>2044</v>
      </c>
      <c r="BG1">
        <v>2045</v>
      </c>
      <c r="BH1">
        <v>2046</v>
      </c>
      <c r="BI1">
        <v>2047</v>
      </c>
      <c r="BJ1">
        <v>2048</v>
      </c>
      <c r="BK1">
        <v>2049</v>
      </c>
      <c r="BL1">
        <v>2050</v>
      </c>
    </row>
    <row r="3" spans="1:64" s="59" customFormat="1" x14ac:dyDescent="0.35">
      <c r="A3" s="58" t="s">
        <v>271</v>
      </c>
    </row>
    <row r="4" spans="1:64" x14ac:dyDescent="0.35">
      <c r="A4" s="2"/>
      <c r="B4"/>
    </row>
    <row r="5" spans="1:64" x14ac:dyDescent="0.35">
      <c r="A5" s="2"/>
      <c r="B5" s="2" t="s">
        <v>272</v>
      </c>
    </row>
    <row r="6" spans="1:64" x14ac:dyDescent="0.35">
      <c r="B6"/>
      <c r="C6" t="s">
        <v>273</v>
      </c>
      <c r="D6" s="49">
        <v>8123.4738048603285</v>
      </c>
      <c r="E6" s="49">
        <v>8103.151366916326</v>
      </c>
      <c r="F6" s="49">
        <v>8465.3738838749887</v>
      </c>
      <c r="G6" s="49">
        <v>8917.1083368543023</v>
      </c>
      <c r="H6" s="49">
        <v>9577.0808586024577</v>
      </c>
      <c r="I6" s="49">
        <v>10239.751270685269</v>
      </c>
      <c r="J6" s="49">
        <v>10370.213477161265</v>
      </c>
      <c r="K6" s="49">
        <v>10595.889532393232</v>
      </c>
      <c r="L6" s="49">
        <v>10800.287827520146</v>
      </c>
      <c r="M6" s="49">
        <v>11085.248585156945</v>
      </c>
      <c r="N6" s="49">
        <v>11635.189554943681</v>
      </c>
      <c r="O6" s="49">
        <v>11692.734720415607</v>
      </c>
      <c r="P6" s="49">
        <v>12148.077566047319</v>
      </c>
      <c r="Q6" s="49">
        <v>12682.556619811654</v>
      </c>
      <c r="R6" s="49">
        <v>12975.975090054404</v>
      </c>
      <c r="S6" s="49">
        <v>13046.884396819123</v>
      </c>
      <c r="T6" s="49">
        <v>13165.766263018873</v>
      </c>
      <c r="U6" s="49">
        <v>13268.57941131241</v>
      </c>
      <c r="V6" s="49">
        <v>13278.302641661277</v>
      </c>
      <c r="W6" s="49">
        <v>13085.690879123733</v>
      </c>
      <c r="X6" s="49">
        <v>13334.27651128357</v>
      </c>
      <c r="Y6" s="49">
        <v>13317.62839669132</v>
      </c>
      <c r="Z6" s="49">
        <v>12992.883365668904</v>
      </c>
      <c r="AA6" s="49">
        <v>13068.056313476918</v>
      </c>
      <c r="AB6" s="49">
        <v>13326.758858692861</v>
      </c>
      <c r="AC6" s="49">
        <v>13792.474756443526</v>
      </c>
      <c r="AD6" s="49">
        <v>13894.199123622979</v>
      </c>
      <c r="AE6" s="49">
        <v>14792.764873637303</v>
      </c>
      <c r="AF6" s="49">
        <v>15115.380716007123</v>
      </c>
      <c r="AG6" s="49">
        <v>14643.952939914274</v>
      </c>
      <c r="AH6" s="49">
        <v>13168.39660793059</v>
      </c>
      <c r="AI6" s="49">
        <v>14385.225352102547</v>
      </c>
      <c r="AJ6" s="49">
        <v>15128.968874994676</v>
      </c>
      <c r="AK6" s="49">
        <v>15259.567468236215</v>
      </c>
      <c r="AL6" s="49">
        <v>15140.070010179808</v>
      </c>
      <c r="AM6" s="49">
        <v>14985.437009891983</v>
      </c>
      <c r="AN6" s="49">
        <v>14736.221421772678</v>
      </c>
      <c r="AO6" s="49">
        <v>14436.928327575199</v>
      </c>
      <c r="AP6" s="49">
        <v>14013.572993853402</v>
      </c>
      <c r="AQ6" s="49">
        <v>13471.687965075223</v>
      </c>
      <c r="AR6" s="49">
        <v>12812.416934443696</v>
      </c>
      <c r="AS6" s="49">
        <v>12012.970672576779</v>
      </c>
      <c r="AT6" s="49">
        <v>11201.393400169771</v>
      </c>
      <c r="AU6" s="49">
        <v>10362.791763005995</v>
      </c>
      <c r="AV6" s="49">
        <v>9568.3436605325442</v>
      </c>
      <c r="AW6" s="49">
        <v>8733.7493359329765</v>
      </c>
      <c r="AX6" s="49">
        <v>7964.3795957554476</v>
      </c>
      <c r="AY6" s="49">
        <v>7185.2634121177334</v>
      </c>
      <c r="AZ6" s="49">
        <v>6497.725009255455</v>
      </c>
      <c r="BA6" s="49">
        <v>5882.1709831005192</v>
      </c>
      <c r="BB6" s="49">
        <v>5251.9006921572427</v>
      </c>
      <c r="BC6" s="49">
        <v>4738.2300204952189</v>
      </c>
      <c r="BD6" s="49">
        <v>4232.5829817013855</v>
      </c>
      <c r="BE6" s="49">
        <v>3755.8946284745812</v>
      </c>
      <c r="BF6" s="49">
        <v>3300.3617587416993</v>
      </c>
      <c r="BG6" s="49">
        <v>2846.8915192967138</v>
      </c>
      <c r="BH6" s="49">
        <v>2519.707775449052</v>
      </c>
      <c r="BI6" s="49">
        <v>2197.9527652971842</v>
      </c>
      <c r="BJ6" s="49">
        <v>1881.1356716947362</v>
      </c>
      <c r="BK6" s="49">
        <v>1648.157390127272</v>
      </c>
      <c r="BL6" s="49">
        <v>1465.5441280249402</v>
      </c>
    </row>
    <row r="7" spans="1:64" x14ac:dyDescent="0.35">
      <c r="C7" t="s">
        <v>274</v>
      </c>
      <c r="D7" s="49">
        <v>15870.432739954342</v>
      </c>
      <c r="E7" s="49">
        <v>16378.466290069518</v>
      </c>
      <c r="F7" s="49">
        <v>17872.680038791048</v>
      </c>
      <c r="G7" s="49">
        <v>16963.730980163415</v>
      </c>
      <c r="H7" s="49">
        <v>16630.053510039124</v>
      </c>
      <c r="I7" s="49">
        <v>15732.047373899533</v>
      </c>
      <c r="J7" s="49">
        <v>17229.158640444279</v>
      </c>
      <c r="K7" s="49">
        <v>19033.756151465674</v>
      </c>
      <c r="L7" s="49">
        <v>17245.302453661639</v>
      </c>
      <c r="M7" s="49">
        <v>18330.876664378062</v>
      </c>
      <c r="N7" s="49">
        <v>18510.199955178108</v>
      </c>
      <c r="O7" s="49">
        <v>20478.222137259898</v>
      </c>
      <c r="P7" s="49">
        <v>19959.661992715868</v>
      </c>
      <c r="Q7" s="49">
        <v>20827.542521056315</v>
      </c>
      <c r="R7" s="49">
        <v>20177.334934761973</v>
      </c>
      <c r="S7" s="49">
        <v>21714.678340624607</v>
      </c>
      <c r="T7" s="49">
        <v>22034.751114421178</v>
      </c>
      <c r="U7" s="49">
        <v>20499.48259464484</v>
      </c>
      <c r="V7" s="49">
        <v>21598.295800208387</v>
      </c>
      <c r="W7" s="49">
        <v>19122.213588001083</v>
      </c>
      <c r="X7" s="49">
        <v>19062.758250566105</v>
      </c>
      <c r="Y7" s="49">
        <v>18391.989680725048</v>
      </c>
      <c r="Z7" s="49">
        <v>20061.823877863775</v>
      </c>
      <c r="AA7" s="49">
        <v>19101.56617704346</v>
      </c>
      <c r="AB7" s="49">
        <v>18913.448428514144</v>
      </c>
      <c r="AC7" s="49">
        <v>18698.791922816465</v>
      </c>
      <c r="AD7" s="49">
        <v>17183.121331879483</v>
      </c>
      <c r="AE7" s="49">
        <v>17726.254212435371</v>
      </c>
      <c r="AF7" s="49">
        <v>17471.853230500838</v>
      </c>
      <c r="AG7" s="49">
        <v>19335.032033966676</v>
      </c>
      <c r="AH7" s="49">
        <v>18350.509251858835</v>
      </c>
      <c r="AI7" s="49">
        <v>18515.498817842257</v>
      </c>
      <c r="AJ7" s="49">
        <v>17143.922579717484</v>
      </c>
      <c r="AK7" s="49">
        <v>16230.534911713732</v>
      </c>
      <c r="AL7" s="49">
        <v>15270.609768339202</v>
      </c>
      <c r="AM7" s="49">
        <v>14308.170706467447</v>
      </c>
      <c r="AN7" s="49">
        <v>14014.047750345175</v>
      </c>
      <c r="AO7" s="49">
        <v>13667.509619735816</v>
      </c>
      <c r="AP7" s="49">
        <v>13391.521985244801</v>
      </c>
      <c r="AQ7" s="49">
        <v>13148.571623303555</v>
      </c>
      <c r="AR7" s="49">
        <v>12115.275354511348</v>
      </c>
      <c r="AS7" s="49">
        <v>11765.860989321602</v>
      </c>
      <c r="AT7" s="49">
        <v>11387.805847631886</v>
      </c>
      <c r="AU7" s="49">
        <v>11115.140284842288</v>
      </c>
      <c r="AV7" s="49">
        <v>10799.169285213111</v>
      </c>
      <c r="AW7" s="49">
        <v>10392.615112636393</v>
      </c>
      <c r="AX7" s="49">
        <v>9907.4825569610675</v>
      </c>
      <c r="AY7" s="49">
        <v>9417.7892383467715</v>
      </c>
      <c r="AZ7" s="49">
        <v>8962.0657720745166</v>
      </c>
      <c r="BA7" s="49">
        <v>8553.0461726404501</v>
      </c>
      <c r="BB7" s="49">
        <v>7392.8612902056648</v>
      </c>
      <c r="BC7" s="49">
        <v>7036.8664929740025</v>
      </c>
      <c r="BD7" s="49">
        <v>6602.9944879502245</v>
      </c>
      <c r="BE7" s="49">
        <v>6209.6146711045149</v>
      </c>
      <c r="BF7" s="49">
        <v>5813.224041488179</v>
      </c>
      <c r="BG7" s="49">
        <v>5440.1354456357258</v>
      </c>
      <c r="BH7" s="49">
        <v>5082.2962398488698</v>
      </c>
      <c r="BI7" s="49">
        <v>4810.2050025501549</v>
      </c>
      <c r="BJ7" s="49">
        <v>4523.3928405969136</v>
      </c>
      <c r="BK7" s="49">
        <v>4118.3090015725802</v>
      </c>
      <c r="BL7" s="49">
        <v>3741.1868021712257</v>
      </c>
    </row>
    <row r="8" spans="1:64" x14ac:dyDescent="0.35">
      <c r="C8" t="s">
        <v>60</v>
      </c>
      <c r="D8" s="49">
        <v>3516.0961777084749</v>
      </c>
      <c r="E8" s="49">
        <v>3668.0126133261347</v>
      </c>
      <c r="F8" s="49">
        <v>3339.6053797481713</v>
      </c>
      <c r="G8" s="49">
        <v>3195.1272202265759</v>
      </c>
      <c r="H8" s="49">
        <v>3067.2612562604504</v>
      </c>
      <c r="I8" s="49">
        <v>3163.0165028872884</v>
      </c>
      <c r="J8" s="49">
        <v>3348.4732362779841</v>
      </c>
      <c r="K8" s="49">
        <v>3238.1728346773621</v>
      </c>
      <c r="L8" s="49">
        <v>3225.4368638608034</v>
      </c>
      <c r="M8" s="49">
        <v>3402.8933077692418</v>
      </c>
      <c r="N8" s="49">
        <v>3433.8153891407756</v>
      </c>
      <c r="O8" s="49">
        <v>3543.2990415404297</v>
      </c>
      <c r="P8" s="49">
        <v>3659.5205799752925</v>
      </c>
      <c r="Q8" s="49">
        <v>3878.0905479037801</v>
      </c>
      <c r="R8" s="49">
        <v>3912.5084942419317</v>
      </c>
      <c r="S8" s="49">
        <v>4011.7594848076365</v>
      </c>
      <c r="T8" s="49">
        <v>4113.8784993347999</v>
      </c>
      <c r="U8" s="49">
        <v>4370.1941197075685</v>
      </c>
      <c r="V8" s="49">
        <v>4255.8641032838468</v>
      </c>
      <c r="W8" s="49">
        <v>4205.2778704031671</v>
      </c>
      <c r="X8" s="49">
        <v>4520.672440769391</v>
      </c>
      <c r="Y8" s="49">
        <v>4553.3250267168596</v>
      </c>
      <c r="Z8" s="49">
        <v>4625.014402265595</v>
      </c>
      <c r="AA8" s="49">
        <v>4757.0725463419167</v>
      </c>
      <c r="AB8" s="49">
        <v>4930.1696846350351</v>
      </c>
      <c r="AC8" s="49">
        <v>5055.8311641412056</v>
      </c>
      <c r="AD8" s="49">
        <v>4802.46997339477</v>
      </c>
      <c r="AE8" s="49">
        <v>4842.6066820474134</v>
      </c>
      <c r="AF8" s="49">
        <v>4733.1712108541742</v>
      </c>
      <c r="AG8" s="49">
        <v>4769.6347557157696</v>
      </c>
      <c r="AH8" s="49">
        <v>4526.63157784951</v>
      </c>
      <c r="AI8" s="49">
        <v>4737.9160187399839</v>
      </c>
      <c r="AJ8" s="49">
        <v>4669.7119452294837</v>
      </c>
      <c r="AK8" s="49">
        <v>4589.598378837225</v>
      </c>
      <c r="AL8" s="49">
        <v>4625.0319241555608</v>
      </c>
      <c r="AM8" s="49">
        <v>4600.4943813770124</v>
      </c>
      <c r="AN8" s="49">
        <v>4593.3349002687701</v>
      </c>
      <c r="AO8" s="49">
        <v>4555.3908778701007</v>
      </c>
      <c r="AP8" s="49">
        <v>4522.7243018870131</v>
      </c>
      <c r="AQ8" s="49">
        <v>4508.5860611517455</v>
      </c>
      <c r="AR8" s="49">
        <v>4289.1195843866453</v>
      </c>
      <c r="AS8" s="49">
        <v>4257.8951385421287</v>
      </c>
      <c r="AT8" s="49">
        <v>4228.8395937849791</v>
      </c>
      <c r="AU8" s="49">
        <v>4191.0226574477329</v>
      </c>
      <c r="AV8" s="49">
        <v>4159.621285915784</v>
      </c>
      <c r="AW8" s="49">
        <v>4158.908752367749</v>
      </c>
      <c r="AX8" s="49">
        <v>4129.1352195146119</v>
      </c>
      <c r="AY8" s="49">
        <v>4114.2053091152211</v>
      </c>
      <c r="AZ8" s="49">
        <v>4100.8991626563056</v>
      </c>
      <c r="BA8" s="49">
        <v>4089.2123764771386</v>
      </c>
      <c r="BB8" s="49">
        <v>4018.7264661804438</v>
      </c>
      <c r="BC8" s="49">
        <v>4012.0396156153165</v>
      </c>
      <c r="BD8" s="49">
        <v>4007.7910915576981</v>
      </c>
      <c r="BE8" s="49">
        <v>4008.2569740868958</v>
      </c>
      <c r="BF8" s="49">
        <v>4010.5474135805725</v>
      </c>
      <c r="BG8" s="49">
        <v>4015.1649435360769</v>
      </c>
      <c r="BH8" s="49">
        <v>4022.4715499258182</v>
      </c>
      <c r="BI8" s="49">
        <v>4031.2510622361533</v>
      </c>
      <c r="BJ8" s="49">
        <v>4041.6218097589272</v>
      </c>
      <c r="BK8" s="49">
        <v>4052.8752238002053</v>
      </c>
      <c r="BL8" s="49">
        <v>4066.461126297489</v>
      </c>
    </row>
    <row r="9" spans="1:64" x14ac:dyDescent="0.35">
      <c r="C9" t="s">
        <v>43</v>
      </c>
      <c r="D9" s="49">
        <v>36571.823155221537</v>
      </c>
      <c r="E9" s="49">
        <v>36808.530009453956</v>
      </c>
      <c r="F9" s="49">
        <v>36296.682920512212</v>
      </c>
      <c r="G9" s="49">
        <v>36672.075580955374</v>
      </c>
      <c r="H9" s="49">
        <v>37933.366311582788</v>
      </c>
      <c r="I9" s="49">
        <v>38543.749348475882</v>
      </c>
      <c r="J9" s="49">
        <v>38869.798977510858</v>
      </c>
      <c r="K9" s="49">
        <v>39805.88859601631</v>
      </c>
      <c r="L9" s="49">
        <v>39133.754057324586</v>
      </c>
      <c r="M9" s="49">
        <v>39320.551887094705</v>
      </c>
      <c r="N9" s="49">
        <v>40532.789740222943</v>
      </c>
      <c r="O9" s="49">
        <v>41365.025310344688</v>
      </c>
      <c r="P9" s="49">
        <v>41335.30138246603</v>
      </c>
      <c r="Q9" s="49">
        <v>41979.690800047625</v>
      </c>
      <c r="R9" s="49">
        <v>42111.718735995542</v>
      </c>
      <c r="S9" s="49">
        <v>42483.869542174827</v>
      </c>
      <c r="T9" s="49">
        <v>42383.301600666382</v>
      </c>
      <c r="U9" s="49">
        <v>41387.064066314852</v>
      </c>
      <c r="V9" s="49">
        <v>40077.102994724351</v>
      </c>
      <c r="W9" s="49">
        <v>40298.057324935595</v>
      </c>
      <c r="X9" s="49">
        <v>40460.611107132943</v>
      </c>
      <c r="Y9" s="49">
        <v>41140.554343421216</v>
      </c>
      <c r="Z9" s="49">
        <v>42054.103604519951</v>
      </c>
      <c r="AA9" s="49">
        <v>42174.163250136939</v>
      </c>
      <c r="AB9" s="49">
        <v>42797.036067408801</v>
      </c>
      <c r="AC9" s="49">
        <v>42242.331468664546</v>
      </c>
      <c r="AD9" s="49">
        <v>41824.397624779995</v>
      </c>
      <c r="AE9" s="49">
        <v>41862.6172334207</v>
      </c>
      <c r="AF9" s="49">
        <v>42154.798631981837</v>
      </c>
      <c r="AG9" s="49">
        <v>42317.723309496745</v>
      </c>
      <c r="AH9" s="49">
        <v>42196.053007409682</v>
      </c>
      <c r="AI9" s="49">
        <v>41338.722464375009</v>
      </c>
      <c r="AJ9" s="49">
        <v>40731.04605066021</v>
      </c>
      <c r="AK9" s="49">
        <v>40230.832560766859</v>
      </c>
      <c r="AL9" s="49">
        <v>39764.957224016951</v>
      </c>
      <c r="AM9" s="49">
        <v>39305.255430351666</v>
      </c>
      <c r="AN9" s="49">
        <v>38946.182000135603</v>
      </c>
      <c r="AO9" s="49">
        <v>38611.716142501347</v>
      </c>
      <c r="AP9" s="49">
        <v>38236.927856504379</v>
      </c>
      <c r="AQ9" s="49">
        <v>37868.956785624025</v>
      </c>
      <c r="AR9" s="49">
        <v>37508.915932481541</v>
      </c>
      <c r="AS9" s="49">
        <v>37227.232644336218</v>
      </c>
      <c r="AT9" s="49">
        <v>36930.449057861675</v>
      </c>
      <c r="AU9" s="49">
        <v>36657.265503719165</v>
      </c>
      <c r="AV9" s="49">
        <v>36375.348152836334</v>
      </c>
      <c r="AW9" s="49">
        <v>36099.714489053484</v>
      </c>
      <c r="AX9" s="49">
        <v>35820.947488718033</v>
      </c>
      <c r="AY9" s="49">
        <v>35560.185808077134</v>
      </c>
      <c r="AZ9" s="49">
        <v>35321.785339527967</v>
      </c>
      <c r="BA9" s="49">
        <v>35079.675227602071</v>
      </c>
      <c r="BB9" s="49">
        <v>34837.134498391213</v>
      </c>
      <c r="BC9" s="49">
        <v>34672.17276960532</v>
      </c>
      <c r="BD9" s="49">
        <v>34522.249175779405</v>
      </c>
      <c r="BE9" s="49">
        <v>34371.297935802606</v>
      </c>
      <c r="BF9" s="49">
        <v>34222.500703424252</v>
      </c>
      <c r="BG9" s="49">
        <v>34114.519375504373</v>
      </c>
      <c r="BH9" s="49">
        <v>33982.77213301984</v>
      </c>
      <c r="BI9" s="49">
        <v>33836.072571380879</v>
      </c>
      <c r="BJ9" s="49">
        <v>33686.448611890941</v>
      </c>
      <c r="BK9" s="49">
        <v>33543.655046150889</v>
      </c>
      <c r="BL9" s="49">
        <v>33417.237271094513</v>
      </c>
    </row>
    <row r="10" spans="1:64" x14ac:dyDescent="0.35">
      <c r="C10" t="s">
        <v>44</v>
      </c>
      <c r="D10" s="49">
        <v>4371.0550686426304</v>
      </c>
      <c r="E10" s="49">
        <v>4494.2129358802167</v>
      </c>
      <c r="F10" s="49">
        <v>4608.4699487961507</v>
      </c>
      <c r="G10" s="49">
        <v>4723.0167754811991</v>
      </c>
      <c r="H10" s="49">
        <v>4596.3960749697844</v>
      </c>
      <c r="I10" s="49">
        <v>4699.3156679774575</v>
      </c>
      <c r="J10" s="49">
        <v>4798.2534180590455</v>
      </c>
      <c r="K10" s="49">
        <v>4865.406291133806</v>
      </c>
      <c r="L10" s="49">
        <v>4861.6867574609569</v>
      </c>
      <c r="M10" s="49">
        <v>4888.9395933214646</v>
      </c>
      <c r="N10" s="49">
        <v>4918.9517108516438</v>
      </c>
      <c r="O10" s="49">
        <v>4945.8355725179199</v>
      </c>
      <c r="P10" s="49">
        <v>4960.5960379013841</v>
      </c>
      <c r="Q10" s="49">
        <v>4856.3675991908322</v>
      </c>
      <c r="R10" s="49">
        <v>4871.6484009286705</v>
      </c>
      <c r="S10" s="49">
        <v>4860.2827462461919</v>
      </c>
      <c r="T10" s="49">
        <v>4640.1084728888536</v>
      </c>
      <c r="U10" s="49">
        <v>4598.136705576766</v>
      </c>
      <c r="V10" s="49">
        <v>4504.0772789790162</v>
      </c>
      <c r="W10" s="49">
        <v>4356.4344929985782</v>
      </c>
      <c r="X10" s="49">
        <v>4293.0257026984791</v>
      </c>
      <c r="Y10" s="49">
        <v>4128.294122648671</v>
      </c>
      <c r="Z10" s="49">
        <v>4008.975962335111</v>
      </c>
      <c r="AA10" s="49">
        <v>3953.727003813055</v>
      </c>
      <c r="AB10" s="49">
        <v>3903.7091154408281</v>
      </c>
      <c r="AC10" s="49">
        <v>3860.3909372256435</v>
      </c>
      <c r="AD10" s="49">
        <v>3828.69903936433</v>
      </c>
      <c r="AE10" s="49">
        <v>3785.4635318554911</v>
      </c>
      <c r="AF10" s="49">
        <v>3713.3819258157537</v>
      </c>
      <c r="AG10" s="49">
        <v>3661.4608991204891</v>
      </c>
      <c r="AH10" s="49">
        <v>3611.7932233745064</v>
      </c>
      <c r="AI10" s="49">
        <v>3602.1962978058914</v>
      </c>
      <c r="AJ10" s="49">
        <v>3567.1180393317809</v>
      </c>
      <c r="AK10" s="49">
        <v>3470.0201411080338</v>
      </c>
      <c r="AL10" s="49">
        <v>3372.5199123733328</v>
      </c>
      <c r="AM10" s="49">
        <v>3274.1387662152574</v>
      </c>
      <c r="AN10" s="49">
        <v>3174.1727618882733</v>
      </c>
      <c r="AO10" s="49">
        <v>3073.9032949653865</v>
      </c>
      <c r="AP10" s="49">
        <v>2973.7801521498236</v>
      </c>
      <c r="AQ10" s="49">
        <v>2874.1710651155404</v>
      </c>
      <c r="AR10" s="49">
        <v>2775.1176815141962</v>
      </c>
      <c r="AS10" s="49">
        <v>2692.4643429182897</v>
      </c>
      <c r="AT10" s="49">
        <v>2615.1860212220836</v>
      </c>
      <c r="AU10" s="49">
        <v>2541.2485493424451</v>
      </c>
      <c r="AV10" s="49">
        <v>2469.4923121471161</v>
      </c>
      <c r="AW10" s="49">
        <v>2399.528230151348</v>
      </c>
      <c r="AX10" s="49">
        <v>2330.982320145391</v>
      </c>
      <c r="AY10" s="49">
        <v>2263.7473899809106</v>
      </c>
      <c r="AZ10" s="49">
        <v>2197.7933053171269</v>
      </c>
      <c r="BA10" s="49">
        <v>2132.9326416073486</v>
      </c>
      <c r="BB10" s="49">
        <v>2069.2780237829252</v>
      </c>
      <c r="BC10" s="49">
        <v>2017.2739749528228</v>
      </c>
      <c r="BD10" s="49">
        <v>1966.2754382711491</v>
      </c>
      <c r="BE10" s="49">
        <v>1916.2799912284158</v>
      </c>
      <c r="BF10" s="49">
        <v>1867.1959224944012</v>
      </c>
      <c r="BG10" s="49">
        <v>1819.1311433093499</v>
      </c>
      <c r="BH10" s="49">
        <v>1771.937633991281</v>
      </c>
      <c r="BI10" s="49">
        <v>1725.5486956372906</v>
      </c>
      <c r="BJ10" s="49">
        <v>1680.0979571420605</v>
      </c>
      <c r="BK10" s="49">
        <v>1635.4978231830919</v>
      </c>
      <c r="BL10" s="49">
        <v>1591.9846932457758</v>
      </c>
    </row>
    <row r="11" spans="1:64" x14ac:dyDescent="0.35">
      <c r="C11" t="s">
        <v>275</v>
      </c>
      <c r="D11" s="49">
        <v>819.97524190854506</v>
      </c>
      <c r="E11" s="49">
        <v>828.0017286520922</v>
      </c>
      <c r="F11" s="49">
        <v>1085.1429139052391</v>
      </c>
      <c r="G11" s="49">
        <v>1158.2562175334988</v>
      </c>
      <c r="H11" s="49">
        <v>1294.5870452996453</v>
      </c>
      <c r="I11" s="49">
        <v>850.67438092522423</v>
      </c>
      <c r="J11" s="49">
        <v>38.592400303365025</v>
      </c>
      <c r="K11" s="49">
        <v>-1334.618596753277</v>
      </c>
      <c r="L11" s="49">
        <v>-3370.636542665608</v>
      </c>
      <c r="M11" s="49">
        <v>-5881.7403115761681</v>
      </c>
      <c r="N11" s="49">
        <v>-5840.6097105786448</v>
      </c>
      <c r="O11" s="49">
        <v>-8163.9905713630314</v>
      </c>
      <c r="P11" s="49">
        <v>-10155.899721608017</v>
      </c>
      <c r="Q11" s="49">
        <v>-9621.5624173653105</v>
      </c>
      <c r="R11" s="49">
        <v>-6746.7760646318911</v>
      </c>
      <c r="S11" s="49">
        <v>-909.81870967752047</v>
      </c>
      <c r="T11" s="49">
        <v>1895.2611011701449</v>
      </c>
      <c r="U11" s="49">
        <v>7426.246871923152</v>
      </c>
      <c r="V11" s="49">
        <v>-13411.996596017498</v>
      </c>
      <c r="W11" s="49">
        <v>-11081.405660283805</v>
      </c>
      <c r="X11" s="49">
        <v>-10565.307562466487</v>
      </c>
      <c r="Y11" s="49">
        <v>-12067.105918642314</v>
      </c>
      <c r="Z11" s="49">
        <v>-10202.075435723556</v>
      </c>
      <c r="AA11" s="49">
        <v>-7134.8699893356697</v>
      </c>
      <c r="AB11" s="49">
        <v>-10405.283669066264</v>
      </c>
      <c r="AC11" s="49">
        <v>-11945.163408270339</v>
      </c>
      <c r="AD11" s="49">
        <v>-11969.110093922558</v>
      </c>
      <c r="AE11" s="49">
        <v>-12080.174618702731</v>
      </c>
      <c r="AF11" s="49">
        <v>-11085.271780708874</v>
      </c>
      <c r="AG11" s="49">
        <v>-7702.6878138183429</v>
      </c>
      <c r="AH11" s="49">
        <v>-8060.2252194320736</v>
      </c>
      <c r="AI11" s="49">
        <v>-7272.2101365835315</v>
      </c>
      <c r="AJ11" s="49">
        <v>-6314.9021834546211</v>
      </c>
      <c r="AK11" s="49">
        <v>-6131.5328382768957</v>
      </c>
      <c r="AL11" s="49">
        <v>-6051.1349543647902</v>
      </c>
      <c r="AM11" s="49">
        <v>-6773.1877248114397</v>
      </c>
      <c r="AN11" s="49">
        <v>-8937.3453370162752</v>
      </c>
      <c r="AO11" s="49">
        <v>-10487.726934795148</v>
      </c>
      <c r="AP11" s="49">
        <v>-12435.137644175127</v>
      </c>
      <c r="AQ11" s="49">
        <v>-13576.104714315408</v>
      </c>
      <c r="AR11" s="49">
        <v>-14123.707210970422</v>
      </c>
      <c r="AS11" s="49">
        <v>-15107.454694701952</v>
      </c>
      <c r="AT11" s="49">
        <v>-15932.175982457617</v>
      </c>
      <c r="AU11" s="49">
        <v>-16834.496511115911</v>
      </c>
      <c r="AV11" s="49">
        <v>-17661.539963993455</v>
      </c>
      <c r="AW11" s="49">
        <v>-18547.650187772888</v>
      </c>
      <c r="AX11" s="49">
        <v>-19741.12495822756</v>
      </c>
      <c r="AY11" s="49">
        <v>-21421.519770765881</v>
      </c>
      <c r="AZ11" s="49">
        <v>-22578.453638518247</v>
      </c>
      <c r="BA11" s="49">
        <v>-23731.10441046573</v>
      </c>
      <c r="BB11" s="49">
        <v>-24830.126145336515</v>
      </c>
      <c r="BC11" s="49">
        <v>-25873.847335031074</v>
      </c>
      <c r="BD11" s="49">
        <v>-26458.287318640545</v>
      </c>
      <c r="BE11" s="49">
        <v>-26534.965372242725</v>
      </c>
      <c r="BF11" s="49">
        <v>-26319.688653278172</v>
      </c>
      <c r="BG11" s="49">
        <v>-25837.80599725679</v>
      </c>
      <c r="BH11" s="49">
        <v>-25902.387393477824</v>
      </c>
      <c r="BI11" s="49">
        <v>-25908.979510107845</v>
      </c>
      <c r="BJ11" s="49">
        <v>-25838.15693085147</v>
      </c>
      <c r="BK11" s="49">
        <v>-25615.983274629034</v>
      </c>
      <c r="BL11" s="49">
        <v>-25480.237098294994</v>
      </c>
    </row>
    <row r="12" spans="1:64" x14ac:dyDescent="0.35">
      <c r="C12" t="s">
        <v>65</v>
      </c>
      <c r="D12" s="49">
        <v>69272.85618829586</v>
      </c>
      <c r="E12" s="49">
        <v>70280.374944298237</v>
      </c>
      <c r="F12" s="49">
        <v>71667.955085627807</v>
      </c>
      <c r="G12" s="49">
        <v>71629.315111214368</v>
      </c>
      <c r="H12" s="49">
        <v>73098.745056754255</v>
      </c>
      <c r="I12" s="49">
        <v>73228.554544850645</v>
      </c>
      <c r="J12" s="49">
        <v>74654.490149756792</v>
      </c>
      <c r="K12" s="49">
        <v>76204.494808933116</v>
      </c>
      <c r="L12" s="49">
        <v>71895.83141716251</v>
      </c>
      <c r="M12" s="49">
        <v>71146.769726144252</v>
      </c>
      <c r="N12" s="49">
        <v>73190.336639758505</v>
      </c>
      <c r="O12" s="49">
        <v>73861.126210715505</v>
      </c>
      <c r="P12" s="49">
        <v>71907.257837497877</v>
      </c>
      <c r="Q12" s="49">
        <v>74602.685670644918</v>
      </c>
      <c r="R12" s="49">
        <v>77302.409591350617</v>
      </c>
      <c r="S12" s="49">
        <v>85207.655800994849</v>
      </c>
      <c r="T12" s="49">
        <v>88233.067051500242</v>
      </c>
      <c r="U12" s="49">
        <v>91549.703769479587</v>
      </c>
      <c r="V12" s="49">
        <v>70301.646222839379</v>
      </c>
      <c r="W12" s="49">
        <v>69986.268495178345</v>
      </c>
      <c r="X12" s="49">
        <v>71106.036449983992</v>
      </c>
      <c r="Y12" s="49">
        <v>69464.685651560809</v>
      </c>
      <c r="Z12" s="49">
        <v>73540.725776929772</v>
      </c>
      <c r="AA12" s="49">
        <v>75919.715301476608</v>
      </c>
      <c r="AB12" s="49">
        <v>73465.838485625398</v>
      </c>
      <c r="AC12" s="49">
        <v>71704.656841021046</v>
      </c>
      <c r="AD12" s="49">
        <v>69563.776999119014</v>
      </c>
      <c r="AE12" s="49">
        <v>70929.531914693551</v>
      </c>
      <c r="AF12" s="49">
        <v>72103.313934450853</v>
      </c>
      <c r="AG12" s="49">
        <v>77025.116124395616</v>
      </c>
      <c r="AH12" s="49">
        <v>73793.158448991046</v>
      </c>
      <c r="AI12" s="49">
        <v>75307.348814282159</v>
      </c>
      <c r="AJ12" s="49">
        <v>74925.865306479027</v>
      </c>
      <c r="AK12" s="49">
        <v>73649.020622385171</v>
      </c>
      <c r="AL12" s="49">
        <v>72122.053884700057</v>
      </c>
      <c r="AM12" s="49">
        <v>69700.308569491928</v>
      </c>
      <c r="AN12" s="49">
        <v>66526.613497394224</v>
      </c>
      <c r="AO12" s="49">
        <v>63857.721327852705</v>
      </c>
      <c r="AP12" s="49">
        <v>60703.389645464289</v>
      </c>
      <c r="AQ12" s="49">
        <v>58295.868785954684</v>
      </c>
      <c r="AR12" s="49">
        <v>55377.138276367004</v>
      </c>
      <c r="AS12" s="49">
        <v>52848.969092993066</v>
      </c>
      <c r="AT12" s="49">
        <v>50431.497938212779</v>
      </c>
      <c r="AU12" s="49">
        <v>48032.97224724172</v>
      </c>
      <c r="AV12" s="49">
        <v>45710.434732651433</v>
      </c>
      <c r="AW12" s="49">
        <v>43236.865732369064</v>
      </c>
      <c r="AX12" s="49">
        <v>40411.802222866987</v>
      </c>
      <c r="AY12" s="49">
        <v>37119.671386871894</v>
      </c>
      <c r="AZ12" s="49">
        <v>34501.814950313128</v>
      </c>
      <c r="BA12" s="49">
        <v>32005.932990961792</v>
      </c>
      <c r="BB12" s="49">
        <v>28739.774825380977</v>
      </c>
      <c r="BC12" s="49">
        <v>26602.735538611603</v>
      </c>
      <c r="BD12" s="49">
        <v>24873.605856619321</v>
      </c>
      <c r="BE12" s="49">
        <v>23726.37882845429</v>
      </c>
      <c r="BF12" s="49">
        <v>22894.141186450928</v>
      </c>
      <c r="BG12" s="49">
        <v>22398.036430025455</v>
      </c>
      <c r="BH12" s="49">
        <v>21476.79793875703</v>
      </c>
      <c r="BI12" s="49">
        <v>20692.050586993817</v>
      </c>
      <c r="BJ12" s="49">
        <v>19974.539960232109</v>
      </c>
      <c r="BK12" s="49">
        <v>19382.511210205004</v>
      </c>
      <c r="BL12" s="49">
        <v>18802.176922538943</v>
      </c>
    </row>
    <row r="13" spans="1:64" x14ac:dyDescent="0.35">
      <c r="C13" t="s">
        <v>64</v>
      </c>
      <c r="D13" s="49">
        <v>68452.880946387319</v>
      </c>
      <c r="E13" s="49">
        <v>69452.373215646148</v>
      </c>
      <c r="F13" s="49">
        <v>70582.812171722573</v>
      </c>
      <c r="G13" s="49">
        <v>70471.058893680864</v>
      </c>
      <c r="H13" s="49">
        <v>71804.158011454609</v>
      </c>
      <c r="I13" s="49">
        <v>72377.880163925423</v>
      </c>
      <c r="J13" s="49">
        <v>74615.897749453434</v>
      </c>
      <c r="K13" s="49">
        <v>77539.113405686396</v>
      </c>
      <c r="L13" s="49">
        <v>75266.467959828122</v>
      </c>
      <c r="M13" s="49">
        <v>77028.510037720422</v>
      </c>
      <c r="N13" s="49">
        <v>79030.946350337152</v>
      </c>
      <c r="O13" s="49">
        <v>82025.116782078534</v>
      </c>
      <c r="P13" s="49">
        <v>82063.157559105894</v>
      </c>
      <c r="Q13" s="49">
        <v>84224.248088010223</v>
      </c>
      <c r="R13" s="49">
        <v>84049.18565598251</v>
      </c>
      <c r="S13" s="49">
        <v>86117.474510672371</v>
      </c>
      <c r="T13" s="49">
        <v>86337.80595033009</v>
      </c>
      <c r="U13" s="49">
        <v>84123.456897556433</v>
      </c>
      <c r="V13" s="49">
        <v>83713.642818856883</v>
      </c>
      <c r="W13" s="49">
        <v>81067.674155462155</v>
      </c>
      <c r="X13" s="49">
        <v>81671.344012450485</v>
      </c>
      <c r="Y13" s="49">
        <v>81531.791570203117</v>
      </c>
      <c r="Z13" s="49">
        <v>83742.801212653329</v>
      </c>
      <c r="AA13" s="49">
        <v>83054.585290812276</v>
      </c>
      <c r="AB13" s="49">
        <v>83871.122154691664</v>
      </c>
      <c r="AC13" s="49">
        <v>83649.820249291384</v>
      </c>
      <c r="AD13" s="49">
        <v>81532.887093041572</v>
      </c>
      <c r="AE13" s="49">
        <v>83009.706533396282</v>
      </c>
      <c r="AF13" s="49">
        <v>83188.58571515973</v>
      </c>
      <c r="AG13" s="49">
        <v>84727.803938213954</v>
      </c>
      <c r="AH13" s="49">
        <v>81853.383668423121</v>
      </c>
      <c r="AI13" s="49">
        <v>82579.558950865685</v>
      </c>
      <c r="AJ13" s="49">
        <v>81240.767489933598</v>
      </c>
      <c r="AK13" s="49">
        <v>79780.553460662064</v>
      </c>
      <c r="AL13" s="49">
        <v>78173.188839064853</v>
      </c>
      <c r="AM13" s="49">
        <v>76473.496294303375</v>
      </c>
      <c r="AN13" s="49">
        <v>75463.9588344105</v>
      </c>
      <c r="AO13" s="49">
        <v>74345.448262647857</v>
      </c>
      <c r="AP13" s="49">
        <v>73138.527289639416</v>
      </c>
      <c r="AQ13" s="49">
        <v>71871.973500270091</v>
      </c>
      <c r="AR13" s="49">
        <v>69500.845487337428</v>
      </c>
      <c r="AS13" s="49">
        <v>67956.423787695021</v>
      </c>
      <c r="AT13" s="49">
        <v>66363.673920670393</v>
      </c>
      <c r="AU13" s="49">
        <v>64867.468758357631</v>
      </c>
      <c r="AV13" s="49">
        <v>63371.974696644887</v>
      </c>
      <c r="AW13" s="49">
        <v>61784.515920141952</v>
      </c>
      <c r="AX13" s="49">
        <v>60152.92718109455</v>
      </c>
      <c r="AY13" s="49">
        <v>58541.191157637775</v>
      </c>
      <c r="AZ13" s="49">
        <v>57080.268588831372</v>
      </c>
      <c r="BA13" s="49">
        <v>55737.037401427522</v>
      </c>
      <c r="BB13" s="49">
        <v>53569.900970717492</v>
      </c>
      <c r="BC13" s="49">
        <v>52476.582873642677</v>
      </c>
      <c r="BD13" s="49">
        <v>51331.893175259866</v>
      </c>
      <c r="BE13" s="49">
        <v>50261.344200697014</v>
      </c>
      <c r="BF13" s="49">
        <v>49213.8298397291</v>
      </c>
      <c r="BG13" s="49">
        <v>48235.842427282245</v>
      </c>
      <c r="BH13" s="49">
        <v>47379.185332234854</v>
      </c>
      <c r="BI13" s="49">
        <v>46601.030097101662</v>
      </c>
      <c r="BJ13" s="49">
        <v>45812.696891083579</v>
      </c>
      <c r="BK13" s="49">
        <v>44998.494484834038</v>
      </c>
      <c r="BL13" s="49">
        <v>44282.414020833938</v>
      </c>
    </row>
    <row r="14" spans="1:64" x14ac:dyDescent="0.35">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64" x14ac:dyDescent="0.35">
      <c r="B15" s="2" t="s">
        <v>276</v>
      </c>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64" x14ac:dyDescent="0.35">
      <c r="B16"/>
      <c r="C16" t="s">
        <v>277</v>
      </c>
      <c r="AJ16" s="49">
        <v>6481.5191950509743</v>
      </c>
      <c r="AK16" s="49">
        <v>6389.3490558121175</v>
      </c>
      <c r="AL16" s="49">
        <v>6154.8541008623115</v>
      </c>
      <c r="AM16" s="49">
        <v>5878.9154860002309</v>
      </c>
      <c r="AN16" s="49">
        <v>5722.8484318106293</v>
      </c>
      <c r="AO16" s="49">
        <v>5561.5438410105698</v>
      </c>
      <c r="AP16" s="49">
        <v>5423.6607070475347</v>
      </c>
      <c r="AQ16" s="49">
        <v>5342.8359804007823</v>
      </c>
      <c r="AR16" s="49">
        <v>4522.0112768966455</v>
      </c>
      <c r="AS16" s="49">
        <v>4360.4321910427398</v>
      </c>
      <c r="AT16" s="49">
        <v>4166.9062294274609</v>
      </c>
      <c r="AU16" s="49">
        <v>4064.406530666211</v>
      </c>
      <c r="AV16" s="49">
        <v>3956.4065708205935</v>
      </c>
      <c r="AW16" s="49">
        <v>3828.2020550886341</v>
      </c>
      <c r="AX16" s="49">
        <v>3701.924445175262</v>
      </c>
      <c r="AY16" s="49">
        <v>3584.3006779913153</v>
      </c>
      <c r="AZ16" s="49">
        <v>3461.3408972164239</v>
      </c>
      <c r="BA16" s="49">
        <v>3339.2218982167019</v>
      </c>
      <c r="BB16" s="49">
        <v>2487.6075989502215</v>
      </c>
      <c r="BC16" s="49">
        <v>2388.0312082980799</v>
      </c>
      <c r="BD16" s="49">
        <v>2205.2806206923915</v>
      </c>
      <c r="BE16" s="49">
        <v>2055.4280730513547</v>
      </c>
      <c r="BF16" s="49">
        <v>1942.5524162399181</v>
      </c>
      <c r="BG16" s="49">
        <v>1807.2604010247378</v>
      </c>
      <c r="BH16" s="49">
        <v>1665.8826505860873</v>
      </c>
      <c r="BI16" s="49">
        <v>1609.9920777594261</v>
      </c>
      <c r="BJ16" s="49">
        <v>1534.1693238963703</v>
      </c>
      <c r="BK16" s="49">
        <v>1353.2116382834636</v>
      </c>
      <c r="BL16" s="49">
        <v>1167.8183407677864</v>
      </c>
    </row>
    <row r="17" spans="2:64" x14ac:dyDescent="0.35">
      <c r="C17" t="s">
        <v>278</v>
      </c>
      <c r="AJ17" s="49">
        <v>3741.1701150001527</v>
      </c>
      <c r="AK17" s="49">
        <v>2957.4149822334175</v>
      </c>
      <c r="AL17" s="49">
        <v>2206.7939325484181</v>
      </c>
      <c r="AM17" s="49">
        <v>1538.9571177158646</v>
      </c>
      <c r="AN17" s="49">
        <v>1435.9147656156968</v>
      </c>
      <c r="AO17" s="49">
        <v>1286.4459335123177</v>
      </c>
      <c r="AP17" s="49">
        <v>1182.5940035929375</v>
      </c>
      <c r="AQ17" s="49">
        <v>1061.6356513608237</v>
      </c>
      <c r="AR17" s="49">
        <v>942.3098592969161</v>
      </c>
      <c r="AS17" s="49">
        <v>831.65738548462593</v>
      </c>
      <c r="AT17" s="49">
        <v>745.51987176204659</v>
      </c>
      <c r="AU17" s="49">
        <v>689.66998946910815</v>
      </c>
      <c r="AV17" s="49">
        <v>641.63632597562105</v>
      </c>
      <c r="AW17" s="49">
        <v>589.38037381718675</v>
      </c>
      <c r="AX17" s="49">
        <v>458.7125793398165</v>
      </c>
      <c r="AY17" s="49">
        <v>331.58914758767258</v>
      </c>
      <c r="AZ17" s="49">
        <v>259.12685517108611</v>
      </c>
      <c r="BA17" s="49">
        <v>239.88232364790537</v>
      </c>
      <c r="BB17" s="49">
        <v>238.73815251498721</v>
      </c>
      <c r="BC17" s="49">
        <v>238.42811465397108</v>
      </c>
      <c r="BD17" s="49">
        <v>238.1274258388095</v>
      </c>
      <c r="BE17" s="49">
        <v>237.82013390992006</v>
      </c>
      <c r="BF17" s="49">
        <v>237.51172653239595</v>
      </c>
      <c r="BG17" s="49">
        <v>237.24456739701515</v>
      </c>
      <c r="BH17" s="49">
        <v>236.94459317323512</v>
      </c>
      <c r="BI17" s="49">
        <v>236.62033416979543</v>
      </c>
      <c r="BJ17" s="49">
        <v>236.2891236974348</v>
      </c>
      <c r="BK17" s="49">
        <v>235.96145969616714</v>
      </c>
      <c r="BL17" s="49">
        <v>235.6485420163867</v>
      </c>
    </row>
    <row r="18" spans="2:64" x14ac:dyDescent="0.35">
      <c r="C18" t="s">
        <v>67</v>
      </c>
      <c r="AJ18" s="49">
        <v>20416.094218215625</v>
      </c>
      <c r="AK18" s="49">
        <v>20452.655033376632</v>
      </c>
      <c r="AL18" s="49">
        <v>20344.295177427801</v>
      </c>
      <c r="AM18" s="49">
        <v>20194.829228157723</v>
      </c>
      <c r="AN18" s="49">
        <v>19926.726607918445</v>
      </c>
      <c r="AO18" s="49">
        <v>19607.38517330767</v>
      </c>
      <c r="AP18" s="49">
        <v>19163.097716511802</v>
      </c>
      <c r="AQ18" s="49">
        <v>18592.589383960116</v>
      </c>
      <c r="AR18" s="49">
        <v>17893.126849922981</v>
      </c>
      <c r="AS18" s="49">
        <v>17030.453995135267</v>
      </c>
      <c r="AT18" s="49">
        <v>16133.809428978593</v>
      </c>
      <c r="AU18" s="49">
        <v>15192.298145995384</v>
      </c>
      <c r="AV18" s="49">
        <v>14249.527500484161</v>
      </c>
      <c r="AW18" s="49">
        <v>13200.750128371654</v>
      </c>
      <c r="AX18" s="49">
        <v>12216.407231460271</v>
      </c>
      <c r="AY18" s="49">
        <v>11206.275333247337</v>
      </c>
      <c r="AZ18" s="49">
        <v>10273.243106038599</v>
      </c>
      <c r="BA18" s="49">
        <v>9405.2246375185332</v>
      </c>
      <c r="BB18" s="49">
        <v>8523.7630283191465</v>
      </c>
      <c r="BC18" s="49">
        <v>7768.9856126202558</v>
      </c>
      <c r="BD18" s="49">
        <v>7030.2698979651395</v>
      </c>
      <c r="BE18" s="49">
        <v>6328.5701831137812</v>
      </c>
      <c r="BF18" s="49">
        <v>5657.6886799239237</v>
      </c>
      <c r="BG18" s="49">
        <v>4997.0493872197549</v>
      </c>
      <c r="BH18" s="49">
        <v>4476.9170578059129</v>
      </c>
      <c r="BI18" s="49">
        <v>3971.5492682018585</v>
      </c>
      <c r="BJ18" s="49">
        <v>3478.9635390440644</v>
      </c>
      <c r="BK18" s="49">
        <v>3083.6773374316517</v>
      </c>
      <c r="BL18" s="49">
        <v>2750.3558432965965</v>
      </c>
    </row>
    <row r="19" spans="2:64" x14ac:dyDescent="0.35">
      <c r="C19" t="s">
        <v>279</v>
      </c>
      <c r="AJ19" s="49">
        <v>119.70741140819536</v>
      </c>
      <c r="AK19" s="49">
        <v>120.47023708725533</v>
      </c>
      <c r="AL19" s="49">
        <v>121.27989697286772</v>
      </c>
      <c r="AM19" s="49">
        <v>122.05730212416833</v>
      </c>
      <c r="AN19" s="49">
        <v>122.72836678149071</v>
      </c>
      <c r="AO19" s="49">
        <v>123.29096732886505</v>
      </c>
      <c r="AP19" s="49">
        <v>123.75498004588582</v>
      </c>
      <c r="AQ19" s="49">
        <v>124.13574097417836</v>
      </c>
      <c r="AR19" s="49">
        <v>124.45031781607575</v>
      </c>
      <c r="AS19" s="49">
        <v>124.81577890055688</v>
      </c>
      <c r="AT19" s="49">
        <v>125.14148828536639</v>
      </c>
      <c r="AU19" s="49">
        <v>125.43073459718977</v>
      </c>
      <c r="AV19" s="49">
        <v>125.68474452373451</v>
      </c>
      <c r="AW19" s="49">
        <v>125.9097720672725</v>
      </c>
      <c r="AX19" s="49">
        <v>126.11636426151479</v>
      </c>
      <c r="AY19" s="49">
        <v>126.13411690845021</v>
      </c>
      <c r="AZ19" s="49">
        <v>126.13846123508624</v>
      </c>
      <c r="BA19" s="49">
        <v>126.13147301837326</v>
      </c>
      <c r="BB19" s="49">
        <v>126.11353686118612</v>
      </c>
      <c r="BC19" s="49">
        <v>125.91255708696424</v>
      </c>
      <c r="BD19" s="49">
        <v>125.70233498249539</v>
      </c>
      <c r="BE19" s="49">
        <v>125.48313793855517</v>
      </c>
      <c r="BF19" s="49">
        <v>125.25500301909176</v>
      </c>
      <c r="BG19" s="49">
        <v>125.2314147658989</v>
      </c>
      <c r="BH19" s="49">
        <v>125.19813063183311</v>
      </c>
      <c r="BI19" s="49">
        <v>125.15581685648962</v>
      </c>
      <c r="BJ19" s="49">
        <v>125.1058842438228</v>
      </c>
      <c r="BK19" s="49">
        <v>125.04789158694079</v>
      </c>
      <c r="BL19" s="49">
        <v>124.98137795986439</v>
      </c>
    </row>
    <row r="21" spans="2:64" x14ac:dyDescent="0.35">
      <c r="B21" s="2" t="s">
        <v>280</v>
      </c>
      <c r="AJ21" s="49">
        <v>1157.1977767372805</v>
      </c>
      <c r="AK21" s="49">
        <v>1115.874382499414</v>
      </c>
      <c r="AL21" s="49">
        <v>1076.0843577361795</v>
      </c>
      <c r="AM21" s="49">
        <v>1036.0541201426838</v>
      </c>
      <c r="AN21" s="49">
        <v>995.70752310355147</v>
      </c>
      <c r="AO21" s="49">
        <v>955.70162727814841</v>
      </c>
      <c r="AP21" s="49">
        <v>916.22815333693416</v>
      </c>
      <c r="AQ21" s="49">
        <v>877.339551362826</v>
      </c>
      <c r="AR21" s="49">
        <v>838.887409924743</v>
      </c>
      <c r="AS21" s="49">
        <v>798.69775880205736</v>
      </c>
      <c r="AT21" s="49">
        <v>763.56297227735377</v>
      </c>
      <c r="AU21" s="49">
        <v>731.44121984974322</v>
      </c>
      <c r="AV21" s="49">
        <v>701.24616550959388</v>
      </c>
      <c r="AW21" s="49">
        <v>672.58594272730011</v>
      </c>
      <c r="AX21" s="49">
        <v>644.96978294610551</v>
      </c>
      <c r="AY21" s="49">
        <v>618.30231046970812</v>
      </c>
      <c r="AZ21" s="49">
        <v>592.5178525891364</v>
      </c>
      <c r="BA21" s="49">
        <v>567.49478470568044</v>
      </c>
      <c r="BB21" s="49">
        <v>543.29296231647879</v>
      </c>
      <c r="BC21" s="49">
        <v>520.83346657163611</v>
      </c>
      <c r="BD21" s="49">
        <v>498.93821924663484</v>
      </c>
      <c r="BE21" s="49">
        <v>477.60117694989907</v>
      </c>
      <c r="BF21" s="49">
        <v>456.7658791011072</v>
      </c>
      <c r="BG21" s="49">
        <v>436.50494163865534</v>
      </c>
      <c r="BH21" s="49">
        <v>416.70657355319253</v>
      </c>
      <c r="BI21" s="49">
        <v>397.32175435699207</v>
      </c>
      <c r="BJ21" s="49">
        <v>378.39131833062197</v>
      </c>
      <c r="BK21" s="49">
        <v>359.93196695520811</v>
      </c>
      <c r="BL21" s="49">
        <v>341.94843221904455</v>
      </c>
    </row>
    <row r="22" spans="2:64" x14ac:dyDescent="0.35">
      <c r="B22"/>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r="23" spans="2:64" x14ac:dyDescent="0.35">
      <c r="B23" s="2" t="s">
        <v>281</v>
      </c>
      <c r="AJ23" s="49">
        <v>1532.8289099853675</v>
      </c>
      <c r="AK23" s="49">
        <v>1477.0866138735744</v>
      </c>
      <c r="AL23" s="49">
        <v>1509.7267885408205</v>
      </c>
      <c r="AM23" s="49">
        <v>1482.035042473475</v>
      </c>
      <c r="AN23" s="49">
        <v>1471.7503470947415</v>
      </c>
      <c r="AO23" s="49">
        <v>1430.4875881054365</v>
      </c>
      <c r="AP23" s="49">
        <v>1394.6082731517743</v>
      </c>
      <c r="AQ23" s="49">
        <v>1377.253906580464</v>
      </c>
      <c r="AR23" s="49">
        <v>1203.248904812154</v>
      </c>
      <c r="AS23" s="49">
        <v>1168.9210219649401</v>
      </c>
      <c r="AT23" s="49">
        <v>1136.8198524690963</v>
      </c>
      <c r="AU23" s="49">
        <v>1095.9009598344876</v>
      </c>
      <c r="AV23" s="49">
        <v>1061.332881668427</v>
      </c>
      <c r="AW23" s="49">
        <v>1057.1781524133937</v>
      </c>
      <c r="AX23" s="49">
        <v>1023.5355638503202</v>
      </c>
      <c r="AY23" s="49">
        <v>1004.6712928740043</v>
      </c>
      <c r="AZ23" s="49">
        <v>987.53043589776507</v>
      </c>
      <c r="BA23" s="49">
        <v>972.22237443647896</v>
      </c>
      <c r="BB23" s="49">
        <v>946.71157158325616</v>
      </c>
      <c r="BC23" s="49">
        <v>936.6771826669783</v>
      </c>
      <c r="BD23" s="49">
        <v>928.94107625807339</v>
      </c>
      <c r="BE23" s="49">
        <v>925.46924659467027</v>
      </c>
      <c r="BF23" s="49">
        <v>924.31255626521511</v>
      </c>
      <c r="BG23" s="49">
        <v>925.3279456939257</v>
      </c>
      <c r="BH23" s="49">
        <v>929.04067698582651</v>
      </c>
      <c r="BI23" s="49">
        <v>935.3851604628079</v>
      </c>
      <c r="BJ23" s="49">
        <v>943.39514599344568</v>
      </c>
      <c r="BK23" s="49">
        <v>952.36338878101765</v>
      </c>
      <c r="BL23" s="49">
        <v>963.74267987714586</v>
      </c>
    </row>
    <row r="24" spans="2:64" x14ac:dyDescent="0.35">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2:64" x14ac:dyDescent="0.35">
      <c r="B25" s="2" t="s">
        <v>282</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v>1792.9671172047294</v>
      </c>
      <c r="AK25" s="49">
        <v>1792.9671172047294</v>
      </c>
      <c r="AL25" s="49">
        <v>1792.9671172047294</v>
      </c>
      <c r="AM25" s="49">
        <v>1792.9671172047294</v>
      </c>
      <c r="AN25" s="49">
        <v>1792.9671172047294</v>
      </c>
      <c r="AO25" s="49">
        <v>1792.9671172047294</v>
      </c>
      <c r="AP25" s="49">
        <v>1792.9671172047294</v>
      </c>
      <c r="AQ25" s="49">
        <v>1792.9671172047294</v>
      </c>
      <c r="AR25" s="49">
        <v>1792.9671172047294</v>
      </c>
      <c r="AS25" s="49">
        <v>1792.9671172047294</v>
      </c>
      <c r="AT25" s="49">
        <v>1792.9671172047294</v>
      </c>
      <c r="AU25" s="49">
        <v>1792.9671172047294</v>
      </c>
      <c r="AV25" s="49">
        <v>1792.9671172047294</v>
      </c>
      <c r="AW25" s="49">
        <v>1792.9671172047294</v>
      </c>
      <c r="AX25" s="49">
        <v>1792.9671172047294</v>
      </c>
      <c r="AY25" s="49">
        <v>1792.9671172047294</v>
      </c>
      <c r="AZ25" s="49">
        <v>1792.9671172047294</v>
      </c>
      <c r="BA25" s="49">
        <v>1792.9671172047294</v>
      </c>
      <c r="BB25" s="49">
        <v>1792.9671172047294</v>
      </c>
      <c r="BC25" s="49">
        <v>1792.9671172047294</v>
      </c>
      <c r="BD25" s="49">
        <v>1792.9671172047294</v>
      </c>
      <c r="BE25" s="49">
        <v>1792.9671172047294</v>
      </c>
      <c r="BF25" s="49">
        <v>1792.9671172047294</v>
      </c>
      <c r="BG25" s="49">
        <v>1792.9671172047294</v>
      </c>
      <c r="BH25" s="49">
        <v>1792.9671172047294</v>
      </c>
      <c r="BI25" s="49">
        <v>1792.9671172047294</v>
      </c>
      <c r="BJ25" s="49">
        <v>1792.9671172047294</v>
      </c>
      <c r="BK25" s="49">
        <v>1792.9671172047294</v>
      </c>
      <c r="BL25" s="49">
        <v>1792.9671172047294</v>
      </c>
    </row>
    <row r="26" spans="2:64" x14ac:dyDescent="0.35">
      <c r="B26"/>
    </row>
    <row r="27" spans="2:64" x14ac:dyDescent="0.35">
      <c r="B27" s="2" t="s">
        <v>283</v>
      </c>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49">
        <v>65.733778205222521</v>
      </c>
      <c r="AK27" s="49">
        <v>56.312912309354303</v>
      </c>
      <c r="AL27" s="49">
        <v>47.294931521951241</v>
      </c>
      <c r="AM27" s="49">
        <v>39.267057338483212</v>
      </c>
      <c r="AN27" s="49">
        <v>38.01160526731617</v>
      </c>
      <c r="AO27" s="49">
        <v>36.170328011180779</v>
      </c>
      <c r="AP27" s="49">
        <v>34.881022020425355</v>
      </c>
      <c r="AQ27" s="49">
        <v>33.388746585812243</v>
      </c>
      <c r="AR27" s="49">
        <v>31.910599860089555</v>
      </c>
      <c r="AS27" s="49">
        <v>30.535733044767575</v>
      </c>
      <c r="AT27" s="49">
        <v>29.465477195452976</v>
      </c>
      <c r="AU27" s="49">
        <v>28.771689539300606</v>
      </c>
      <c r="AV27" s="49">
        <v>28.174984921303775</v>
      </c>
      <c r="AW27" s="49">
        <v>27.525700514195897</v>
      </c>
      <c r="AX27" s="49">
        <v>25.901288019874855</v>
      </c>
      <c r="AY27" s="49">
        <v>24.320924397245964</v>
      </c>
      <c r="AZ27" s="49">
        <v>23.420279005152448</v>
      </c>
      <c r="BA27" s="49">
        <v>23.181409787019188</v>
      </c>
      <c r="BB27" s="49">
        <v>23.167621720676916</v>
      </c>
      <c r="BC27" s="49">
        <v>23.163767277359774</v>
      </c>
      <c r="BD27" s="49">
        <v>23.160028453829362</v>
      </c>
      <c r="BE27" s="49">
        <v>23.15620727626612</v>
      </c>
      <c r="BF27" s="49">
        <v>23.152372144078818</v>
      </c>
      <c r="BG27" s="49">
        <v>23.149049923907093</v>
      </c>
      <c r="BH27" s="49">
        <v>23.14531962761086</v>
      </c>
      <c r="BI27" s="49">
        <v>23.141287338526595</v>
      </c>
      <c r="BJ27" s="49">
        <v>23.137168604732487</v>
      </c>
      <c r="BK27" s="49">
        <v>23.133093972630267</v>
      </c>
      <c r="BL27" s="49">
        <v>23.129202716883118</v>
      </c>
    </row>
    <row r="29" spans="2:64" x14ac:dyDescent="0.35">
      <c r="B29" s="2" t="s">
        <v>284</v>
      </c>
      <c r="AJ29" s="49">
        <v>231.63399238479201</v>
      </c>
      <c r="AK29" s="49">
        <v>235.88031205724425</v>
      </c>
      <c r="AL29" s="49">
        <v>239.01888006207875</v>
      </c>
      <c r="AM29" s="49">
        <v>242.56287144721853</v>
      </c>
      <c r="AN29" s="49">
        <v>246.07429142787544</v>
      </c>
      <c r="AO29" s="49">
        <v>249.8031487049364</v>
      </c>
      <c r="AP29" s="49">
        <v>253.41290945652128</v>
      </c>
      <c r="AQ29" s="49">
        <v>257.02647561344668</v>
      </c>
      <c r="AR29" s="49">
        <v>260.49667811194422</v>
      </c>
      <c r="AS29" s="49">
        <v>263.98362964767881</v>
      </c>
      <c r="AT29" s="49">
        <v>267.40562463279423</v>
      </c>
      <c r="AU29" s="49">
        <v>270.89091248154307</v>
      </c>
      <c r="AV29" s="49">
        <v>274.44895234232786</v>
      </c>
      <c r="AW29" s="49">
        <v>278.31652548667637</v>
      </c>
      <c r="AX29" s="49">
        <v>282.66370886364501</v>
      </c>
      <c r="AY29" s="49">
        <v>287.08426731026759</v>
      </c>
      <c r="AZ29" s="49">
        <v>291.39286120659995</v>
      </c>
      <c r="BA29" s="49">
        <v>295.46164410611334</v>
      </c>
      <c r="BB29" s="49">
        <v>299.47831817322844</v>
      </c>
      <c r="BC29" s="49">
        <v>303.23953645615916</v>
      </c>
      <c r="BD29" s="49">
        <v>307.1581050062029</v>
      </c>
      <c r="BE29" s="49">
        <v>311.5824292522974</v>
      </c>
      <c r="BF29" s="49">
        <v>315.45554625779482</v>
      </c>
      <c r="BG29" s="49">
        <v>319.50282977955237</v>
      </c>
      <c r="BH29" s="49">
        <v>323.5408264525164</v>
      </c>
      <c r="BI29" s="49">
        <v>326.27676970595883</v>
      </c>
      <c r="BJ29" s="49">
        <v>328.92926841845872</v>
      </c>
      <c r="BK29" s="49">
        <v>331.49683508908805</v>
      </c>
      <c r="BL29" s="49">
        <v>333.97613368845862</v>
      </c>
    </row>
    <row r="30" spans="2:64" x14ac:dyDescent="0.35">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row>
    <row r="31" spans="2:64" x14ac:dyDescent="0.35">
      <c r="B31" s="2" t="s">
        <v>285</v>
      </c>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row>
    <row r="32" spans="2:64" x14ac:dyDescent="0.35">
      <c r="B32"/>
      <c r="C32" t="s">
        <v>286</v>
      </c>
      <c r="AJ32" s="49">
        <v>-4013.1860889020945</v>
      </c>
      <c r="AK32" s="49">
        <v>-3952.304506775045</v>
      </c>
      <c r="AL32" s="49">
        <v>-4100.9890840210792</v>
      </c>
      <c r="AM32" s="49">
        <v>-5303.109030565096</v>
      </c>
      <c r="AN32" s="49">
        <v>-7236.4263708620356</v>
      </c>
      <c r="AO32" s="49">
        <v>-9012.3379084604421</v>
      </c>
      <c r="AP32" s="49">
        <v>-11052.712440683512</v>
      </c>
      <c r="AQ32" s="49">
        <v>-12312.181123108905</v>
      </c>
      <c r="AR32" s="49">
        <v>-12928.095043433561</v>
      </c>
      <c r="AS32" s="49">
        <v>-13999.542819584482</v>
      </c>
      <c r="AT32" s="49">
        <v>-15021.664972115161</v>
      </c>
      <c r="AU32" s="49">
        <v>-16129.565644429522</v>
      </c>
      <c r="AV32" s="49">
        <v>-17099.466060411469</v>
      </c>
      <c r="AW32" s="49">
        <v>-17996.334704105608</v>
      </c>
      <c r="AX32" s="49">
        <v>-19216.573120256508</v>
      </c>
      <c r="AY32" s="49">
        <v>-20570.466131833567</v>
      </c>
      <c r="AZ32" s="49">
        <v>-21778.354178617439</v>
      </c>
      <c r="BA32" s="49">
        <v>-23041.114271113984</v>
      </c>
      <c r="BB32" s="49">
        <v>-24274.60293845088</v>
      </c>
      <c r="BC32" s="49">
        <v>-25484.109909525803</v>
      </c>
      <c r="BD32" s="49">
        <v>-26098.953922638018</v>
      </c>
      <c r="BE32" s="49">
        <v>-26198.535425230741</v>
      </c>
      <c r="BF32" s="49">
        <v>-26008.249320185801</v>
      </c>
      <c r="BG32" s="49">
        <v>-25552.114395652377</v>
      </c>
      <c r="BH32" s="49">
        <v>-25632.688221930617</v>
      </c>
      <c r="BI32" s="49">
        <v>-25650.532552907014</v>
      </c>
      <c r="BJ32" s="49">
        <v>-25591.594567036536</v>
      </c>
      <c r="BK32" s="49">
        <v>-25379.665000587862</v>
      </c>
      <c r="BL32" s="49">
        <v>-25253.771833836072</v>
      </c>
    </row>
    <row r="33" spans="1:64" x14ac:dyDescent="0.35">
      <c r="C33" t="s">
        <v>218</v>
      </c>
      <c r="AJ33" s="49">
        <v>-2301.7160945525266</v>
      </c>
      <c r="AK33" s="49">
        <v>-2179.2283315018508</v>
      </c>
      <c r="AL33" s="49">
        <v>-1950.1458703437111</v>
      </c>
      <c r="AM33" s="49">
        <v>-1470.0786942463437</v>
      </c>
      <c r="AN33" s="49">
        <v>-1700.9189661542396</v>
      </c>
      <c r="AO33" s="49">
        <v>-1475.3890263347057</v>
      </c>
      <c r="AP33" s="49">
        <v>-1382.4252034916153</v>
      </c>
      <c r="AQ33" s="49">
        <v>-1263.9235912065033</v>
      </c>
      <c r="AR33" s="49">
        <v>-1195.6121675368613</v>
      </c>
      <c r="AS33" s="49">
        <v>-1107.9118751174701</v>
      </c>
      <c r="AT33" s="49">
        <v>-910.51101034245585</v>
      </c>
      <c r="AU33" s="49">
        <v>-704.93086668638898</v>
      </c>
      <c r="AV33" s="49">
        <v>-562.07390358198609</v>
      </c>
      <c r="AW33" s="49">
        <v>-551.3154836672802</v>
      </c>
      <c r="AX33" s="49">
        <v>-524.55183797105201</v>
      </c>
      <c r="AY33" s="49">
        <v>-851.05363893231333</v>
      </c>
      <c r="AZ33" s="49">
        <v>-800.09945990080814</v>
      </c>
      <c r="BA33" s="49">
        <v>-689.99013935174662</v>
      </c>
      <c r="BB33" s="49">
        <v>-555.52320688563486</v>
      </c>
      <c r="BC33" s="49">
        <v>-389.73742550527095</v>
      </c>
      <c r="BD33" s="49">
        <v>-359.33339600252657</v>
      </c>
      <c r="BE33" s="49">
        <v>-336.42994701198404</v>
      </c>
      <c r="BF33" s="49">
        <v>-311.43933309237036</v>
      </c>
      <c r="BG33" s="49">
        <v>-285.69160160441243</v>
      </c>
      <c r="BH33" s="49">
        <v>-269.69917154720679</v>
      </c>
      <c r="BI33" s="49">
        <v>-258.44695720083109</v>
      </c>
      <c r="BJ33" s="49">
        <v>-246.56236381493363</v>
      </c>
      <c r="BK33" s="49">
        <v>-236.31827404117212</v>
      </c>
      <c r="BL33" s="49">
        <v>-226.46526445892232</v>
      </c>
    </row>
    <row r="35" spans="1:64" s="59" customFormat="1" x14ac:dyDescent="0.35">
      <c r="A35" s="58" t="s">
        <v>287</v>
      </c>
    </row>
    <row r="37" spans="1:64" x14ac:dyDescent="0.35">
      <c r="B37" s="2" t="s">
        <v>288</v>
      </c>
    </row>
    <row r="38" spans="1:64" x14ac:dyDescent="0.35">
      <c r="B38"/>
      <c r="C38" t="s">
        <v>273</v>
      </c>
      <c r="D38" s="49">
        <v>8126.1945618773643</v>
      </c>
      <c r="E38" s="49">
        <v>8106.661121873205</v>
      </c>
      <c r="F38" s="49">
        <v>8469.9964545997555</v>
      </c>
      <c r="G38" s="49">
        <v>8922.6885824844103</v>
      </c>
      <c r="H38" s="49">
        <v>9583.8002483498967</v>
      </c>
      <c r="I38" s="49">
        <v>10247.564720783123</v>
      </c>
      <c r="J38" s="49">
        <v>10378.724398951666</v>
      </c>
      <c r="K38" s="49">
        <v>10605.333888617772</v>
      </c>
      <c r="L38" s="49">
        <v>10810.458340752642</v>
      </c>
      <c r="M38" s="49">
        <v>11096.605458727845</v>
      </c>
      <c r="N38" s="49">
        <v>11648.310343290637</v>
      </c>
      <c r="O38" s="49">
        <v>11705.871223077451</v>
      </c>
      <c r="P38" s="49">
        <v>12162.021231248526</v>
      </c>
      <c r="Q38" s="49">
        <v>12697.797549640931</v>
      </c>
      <c r="R38" s="49">
        <v>12992.367162928625</v>
      </c>
      <c r="S38" s="49">
        <v>13063.440862686894</v>
      </c>
      <c r="T38" s="49">
        <v>13182.198504199005</v>
      </c>
      <c r="U38" s="49">
        <v>13284.806809600492</v>
      </c>
      <c r="V38" s="49">
        <v>13293.959706338926</v>
      </c>
      <c r="W38" s="49">
        <v>13101.086214174264</v>
      </c>
      <c r="X38" s="49">
        <v>13348.937535477718</v>
      </c>
      <c r="Y38" s="49">
        <v>13331.827621000642</v>
      </c>
      <c r="Z38" s="49">
        <v>13006.487718579234</v>
      </c>
      <c r="AA38" s="49">
        <v>13081.360160828839</v>
      </c>
      <c r="AB38" s="49">
        <v>13339.646613066796</v>
      </c>
      <c r="AC38" s="49">
        <v>13805.025309105527</v>
      </c>
      <c r="AD38" s="49">
        <v>13906.520809611657</v>
      </c>
      <c r="AE38" s="49">
        <v>14803.702978914342</v>
      </c>
      <c r="AF38" s="49">
        <v>15126.124771992951</v>
      </c>
      <c r="AG38" s="49">
        <v>14654.704680232724</v>
      </c>
      <c r="AH38" s="49">
        <v>13175.66592208733</v>
      </c>
      <c r="AI38" s="49">
        <v>14392.458510567654</v>
      </c>
      <c r="AJ38" s="49">
        <v>15136.06345285677</v>
      </c>
      <c r="AK38" s="49">
        <v>15266.536096800248</v>
      </c>
      <c r="AL38" s="49">
        <v>15146.85249805272</v>
      </c>
      <c r="AM38" s="49">
        <v>14992.030690104439</v>
      </c>
      <c r="AN38" s="49">
        <v>14742.768425476655</v>
      </c>
      <c r="AO38" s="49">
        <v>14443.411856381275</v>
      </c>
      <c r="AP38" s="49">
        <v>14019.993993121743</v>
      </c>
      <c r="AQ38" s="49">
        <v>13478.050386523248</v>
      </c>
      <c r="AR38" s="49">
        <v>12818.222228943747</v>
      </c>
      <c r="AS38" s="49">
        <v>12018.667048697454</v>
      </c>
      <c r="AT38" s="49">
        <v>11206.966781897376</v>
      </c>
      <c r="AU38" s="49">
        <v>10368.270013817177</v>
      </c>
      <c r="AV38" s="49">
        <v>9573.7207429681166</v>
      </c>
      <c r="AW38" s="49">
        <v>8738.9976258976531</v>
      </c>
      <c r="AX38" s="49">
        <v>7969.462877298889</v>
      </c>
      <c r="AY38" s="49">
        <v>7190.1785919775375</v>
      </c>
      <c r="AZ38" s="49">
        <v>6502.4875577186776</v>
      </c>
      <c r="BA38" s="49">
        <v>5886.7957945973685</v>
      </c>
      <c r="BB38" s="49">
        <v>5255.905572065536</v>
      </c>
      <c r="BC38" s="49">
        <v>4742.1118640319837</v>
      </c>
      <c r="BD38" s="49">
        <v>4236.3146466567496</v>
      </c>
      <c r="BE38" s="49">
        <v>3759.4924336066242</v>
      </c>
      <c r="BF38" s="49">
        <v>3303.8408019191943</v>
      </c>
      <c r="BG38" s="49">
        <v>2850.251972189079</v>
      </c>
      <c r="BH38" s="49">
        <v>2522.9629070235692</v>
      </c>
      <c r="BI38" s="49">
        <v>2201.1180446802186</v>
      </c>
      <c r="BJ38" s="49">
        <v>1884.2077497820085</v>
      </c>
      <c r="BK38" s="49">
        <v>1651.1149359981721</v>
      </c>
      <c r="BL38" s="49">
        <v>1468.3926776201222</v>
      </c>
    </row>
    <row r="39" spans="1:64" x14ac:dyDescent="0.35">
      <c r="C39" t="s">
        <v>274</v>
      </c>
      <c r="D39" s="49">
        <v>15751.457119942432</v>
      </c>
      <c r="E39" s="49">
        <v>16260.763635184612</v>
      </c>
      <c r="F39" s="49">
        <v>17758.189935011564</v>
      </c>
      <c r="G39" s="49">
        <v>16839.732611162875</v>
      </c>
      <c r="H39" s="49">
        <v>16497.457587552446</v>
      </c>
      <c r="I39" s="49">
        <v>15618.085712577753</v>
      </c>
      <c r="J39" s="49">
        <v>17083.054848425389</v>
      </c>
      <c r="K39" s="49">
        <v>18888.501120561912</v>
      </c>
      <c r="L39" s="49">
        <v>17101.107279390875</v>
      </c>
      <c r="M39" s="49">
        <v>18186.151145039094</v>
      </c>
      <c r="N39" s="49">
        <v>18370.06129168706</v>
      </c>
      <c r="O39" s="49">
        <v>20332.557983234976</v>
      </c>
      <c r="P39" s="49">
        <v>19826.561624475569</v>
      </c>
      <c r="Q39" s="49">
        <v>20715.372328325397</v>
      </c>
      <c r="R39" s="49">
        <v>20063.148999961377</v>
      </c>
      <c r="S39" s="49">
        <v>21585.171872315932</v>
      </c>
      <c r="T39" s="49">
        <v>21864.599123014294</v>
      </c>
      <c r="U39" s="49">
        <v>20354.048014398646</v>
      </c>
      <c r="V39" s="49">
        <v>21480.730358969609</v>
      </c>
      <c r="W39" s="49">
        <v>18989.974763630606</v>
      </c>
      <c r="X39" s="49">
        <v>18897.274228602691</v>
      </c>
      <c r="Y39" s="49">
        <v>18238.205068148098</v>
      </c>
      <c r="Z39" s="49">
        <v>19945.036100062269</v>
      </c>
      <c r="AA39" s="49">
        <v>19006.798121776083</v>
      </c>
      <c r="AB39" s="49">
        <v>18818.737812995834</v>
      </c>
      <c r="AC39" s="49">
        <v>18599.558463781785</v>
      </c>
      <c r="AD39" s="49">
        <v>17094.00307321069</v>
      </c>
      <c r="AE39" s="49">
        <v>17648.574192506356</v>
      </c>
      <c r="AF39" s="49">
        <v>17397.469601782203</v>
      </c>
      <c r="AG39" s="49">
        <v>19264.921922553574</v>
      </c>
      <c r="AH39" s="49">
        <v>18284.708741332448</v>
      </c>
      <c r="AI39" s="49">
        <v>18446.312509933738</v>
      </c>
      <c r="AJ39" s="49">
        <v>17073.91003084468</v>
      </c>
      <c r="AK39" s="49">
        <v>16159.570930049618</v>
      </c>
      <c r="AL39" s="49">
        <v>15199.613509582672</v>
      </c>
      <c r="AM39" s="49">
        <v>14238.325157805191</v>
      </c>
      <c r="AN39" s="49">
        <v>13944.805497205094</v>
      </c>
      <c r="AO39" s="49">
        <v>13599.024381642395</v>
      </c>
      <c r="AP39" s="49">
        <v>13323.749090068264</v>
      </c>
      <c r="AQ39" s="49">
        <v>13081.498093944878</v>
      </c>
      <c r="AR39" s="49">
        <v>12051.238242126385</v>
      </c>
      <c r="AS39" s="49">
        <v>11702.686569943649</v>
      </c>
      <c r="AT39" s="49">
        <v>11325.50568638927</v>
      </c>
      <c r="AU39" s="49">
        <v>11053.571589335783</v>
      </c>
      <c r="AV39" s="49">
        <v>10738.338364282261</v>
      </c>
      <c r="AW39" s="49">
        <v>10332.520754331361</v>
      </c>
      <c r="AX39" s="49">
        <v>9848.345859417288</v>
      </c>
      <c r="AY39" s="49">
        <v>9359.6203765954997</v>
      </c>
      <c r="AZ39" s="49">
        <v>8904.8930730616103</v>
      </c>
      <c r="BA39" s="49">
        <v>8496.8644995945506</v>
      </c>
      <c r="BB39" s="49">
        <v>7340.0243308323343</v>
      </c>
      <c r="BC39" s="49">
        <v>6985.0326054606685</v>
      </c>
      <c r="BD39" s="49">
        <v>6552.3733493666596</v>
      </c>
      <c r="BE39" s="49">
        <v>6160.3171397801189</v>
      </c>
      <c r="BF39" s="49">
        <v>5765.5535175847226</v>
      </c>
      <c r="BG39" s="49">
        <v>5393.7679654563262</v>
      </c>
      <c r="BH39" s="49">
        <v>5037.2365447496113</v>
      </c>
      <c r="BI39" s="49">
        <v>4766.1557842493521</v>
      </c>
      <c r="BJ39" s="49">
        <v>4480.4063970348825</v>
      </c>
      <c r="BK39" s="49">
        <v>4076.8191807841413</v>
      </c>
      <c r="BL39" s="49">
        <v>3700.9642515558726</v>
      </c>
    </row>
    <row r="40" spans="1:64" x14ac:dyDescent="0.35">
      <c r="C40" t="s">
        <v>60</v>
      </c>
      <c r="D40" s="49">
        <v>3579.9241346438948</v>
      </c>
      <c r="E40" s="49">
        <v>3728.6111222987829</v>
      </c>
      <c r="F40" s="49">
        <v>3374.0926125681876</v>
      </c>
      <c r="G40" s="49">
        <v>3213.4642440055904</v>
      </c>
      <c r="H40" s="49">
        <v>3082.8039477327038</v>
      </c>
      <c r="I40" s="49">
        <v>3174.4319661035479</v>
      </c>
      <c r="J40" s="49">
        <v>3365.5491486420492</v>
      </c>
      <c r="K40" s="49">
        <v>3253.3568142669214</v>
      </c>
      <c r="L40" s="49">
        <v>3237.0127278299415</v>
      </c>
      <c r="M40" s="49">
        <v>3412.9403172224529</v>
      </c>
      <c r="N40" s="49">
        <v>3443.2215068220407</v>
      </c>
      <c r="O40" s="49">
        <v>3558.4810172775565</v>
      </c>
      <c r="P40" s="49">
        <v>3680.4558967406147</v>
      </c>
      <c r="Q40" s="49">
        <v>3916.5350179642096</v>
      </c>
      <c r="R40" s="49">
        <v>3952.997270519284</v>
      </c>
      <c r="S40" s="49">
        <v>4061.6484302342874</v>
      </c>
      <c r="T40" s="49">
        <v>4171.1765319764372</v>
      </c>
      <c r="U40" s="49">
        <v>4431.1900620868064</v>
      </c>
      <c r="V40" s="49">
        <v>4322.4399267639474</v>
      </c>
      <c r="W40" s="49">
        <v>4274.5913164439062</v>
      </c>
      <c r="X40" s="49">
        <v>4591.1325441158442</v>
      </c>
      <c r="Y40" s="49">
        <v>4627.3865476130059</v>
      </c>
      <c r="Z40" s="49">
        <v>4703.1898738720029</v>
      </c>
      <c r="AA40" s="49">
        <v>4836.3461555290796</v>
      </c>
      <c r="AB40" s="49">
        <v>5006.9811906990517</v>
      </c>
      <c r="AC40" s="49">
        <v>5137.3234307296034</v>
      </c>
      <c r="AD40" s="49">
        <v>4883.0727657886491</v>
      </c>
      <c r="AE40" s="49">
        <v>4928.4399302853481</v>
      </c>
      <c r="AF40" s="49">
        <v>4825.0737740304521</v>
      </c>
      <c r="AG40" s="49">
        <v>4861.0458918188215</v>
      </c>
      <c r="AH40" s="49">
        <v>4618.3537995997167</v>
      </c>
      <c r="AI40" s="49">
        <v>4834.0899997077759</v>
      </c>
      <c r="AJ40" s="49">
        <v>4767.245025926115</v>
      </c>
      <c r="AK40" s="49">
        <v>4683.3403693865876</v>
      </c>
      <c r="AL40" s="49">
        <v>4721.069538822986</v>
      </c>
      <c r="AM40" s="49">
        <v>4695.0040584819963</v>
      </c>
      <c r="AN40" s="49">
        <v>4687.4255258953444</v>
      </c>
      <c r="AO40" s="49">
        <v>4647.0998304465547</v>
      </c>
      <c r="AP40" s="49">
        <v>4612.3871530002098</v>
      </c>
      <c r="AQ40" s="49">
        <v>4597.3855116111909</v>
      </c>
      <c r="AR40" s="49">
        <v>4372.2487504603068</v>
      </c>
      <c r="AS40" s="49">
        <v>4339.0689272062982</v>
      </c>
      <c r="AT40" s="49">
        <v>4308.1957437570436</v>
      </c>
      <c r="AU40" s="49">
        <v>4268.0026147706694</v>
      </c>
      <c r="AV40" s="49">
        <v>4234.6353407242532</v>
      </c>
      <c r="AW40" s="49">
        <v>4233.9191107962588</v>
      </c>
      <c r="AX40" s="49">
        <v>4202.2921057735002</v>
      </c>
      <c r="AY40" s="49">
        <v>4186.4569811970341</v>
      </c>
      <c r="AZ40" s="49">
        <v>4172.348055425331</v>
      </c>
      <c r="BA40" s="49">
        <v>4159.9592624855577</v>
      </c>
      <c r="BB40" s="49">
        <v>4093.3183696320239</v>
      </c>
      <c r="BC40" s="49">
        <v>4086.2453342662684</v>
      </c>
      <c r="BD40" s="49">
        <v>4081.7679632509407</v>
      </c>
      <c r="BE40" s="49">
        <v>4082.3113824749371</v>
      </c>
      <c r="BF40" s="49">
        <v>4084.7898646137396</v>
      </c>
      <c r="BG40" s="49">
        <v>4089.7458565635452</v>
      </c>
      <c r="BH40" s="49">
        <v>4097.5624677909891</v>
      </c>
      <c r="BI40" s="49">
        <v>4106.9319330864682</v>
      </c>
      <c r="BJ40" s="49">
        <v>4117.9933002813459</v>
      </c>
      <c r="BK40" s="49">
        <v>4129.9927568220519</v>
      </c>
      <c r="BL40" s="49">
        <v>4144.4726304300912</v>
      </c>
    </row>
    <row r="41" spans="1:64" x14ac:dyDescent="0.35">
      <c r="C41" t="s">
        <v>43</v>
      </c>
      <c r="D41" s="49">
        <v>33792.883792640801</v>
      </c>
      <c r="E41" s="49">
        <v>34022.507497623636</v>
      </c>
      <c r="F41" s="49">
        <v>33570.976096954386</v>
      </c>
      <c r="G41" s="49">
        <v>33956.386055454059</v>
      </c>
      <c r="H41" s="49">
        <v>35133.357696970474</v>
      </c>
      <c r="I41" s="49">
        <v>35734.697114699826</v>
      </c>
      <c r="J41" s="49">
        <v>36038.256988676847</v>
      </c>
      <c r="K41" s="49">
        <v>36893.059160199904</v>
      </c>
      <c r="L41" s="49">
        <v>36287.57602729107</v>
      </c>
      <c r="M41" s="49">
        <v>36468.192719340499</v>
      </c>
      <c r="N41" s="49">
        <v>37614.876691713245</v>
      </c>
      <c r="O41" s="49">
        <v>38445.135385291032</v>
      </c>
      <c r="P41" s="49">
        <v>38452.902957963292</v>
      </c>
      <c r="Q41" s="49">
        <v>39075.42676975514</v>
      </c>
      <c r="R41" s="49">
        <v>39219.068962221187</v>
      </c>
      <c r="S41" s="49">
        <v>39571.899890630833</v>
      </c>
      <c r="T41" s="49">
        <v>39427.397347479411</v>
      </c>
      <c r="U41" s="49">
        <v>38508.095057663355</v>
      </c>
      <c r="V41" s="49">
        <v>37332.251308305429</v>
      </c>
      <c r="W41" s="49">
        <v>37535.958522506568</v>
      </c>
      <c r="X41" s="49">
        <v>37711.495238636984</v>
      </c>
      <c r="Y41" s="49">
        <v>38362.26954703615</v>
      </c>
      <c r="Z41" s="49">
        <v>39203.363521824562</v>
      </c>
      <c r="AA41" s="49">
        <v>39306.762181725338</v>
      </c>
      <c r="AB41" s="49">
        <v>39922.7718055964</v>
      </c>
      <c r="AC41" s="49">
        <v>39415.789030060478</v>
      </c>
      <c r="AD41" s="49">
        <v>39042.960218724664</v>
      </c>
      <c r="AE41" s="49">
        <v>39082.390698957628</v>
      </c>
      <c r="AF41" s="49">
        <v>39368.286753731292</v>
      </c>
      <c r="AG41" s="49">
        <v>39518.641021140895</v>
      </c>
      <c r="AH41" s="49">
        <v>39425.54384512121</v>
      </c>
      <c r="AI41" s="49">
        <v>38620.069282765049</v>
      </c>
      <c r="AJ41" s="49">
        <v>38059.367736017455</v>
      </c>
      <c r="AK41" s="49">
        <v>37597.155744748299</v>
      </c>
      <c r="AL41" s="49">
        <v>37166.639997459206</v>
      </c>
      <c r="AM41" s="49">
        <v>36741.729223219045</v>
      </c>
      <c r="AN41" s="49">
        <v>36408.477389814383</v>
      </c>
      <c r="AO41" s="49">
        <v>36098.292857193119</v>
      </c>
      <c r="AP41" s="49">
        <v>35746.780049539091</v>
      </c>
      <c r="AQ41" s="49">
        <v>35400.588453586643</v>
      </c>
      <c r="AR41" s="49">
        <v>35061.773132274342</v>
      </c>
      <c r="AS41" s="49">
        <v>34793.24592354468</v>
      </c>
      <c r="AT41" s="49">
        <v>34510.547126844482</v>
      </c>
      <c r="AU41" s="49">
        <v>34249.858265887386</v>
      </c>
      <c r="AV41" s="49">
        <v>33980.955578887842</v>
      </c>
      <c r="AW41" s="49">
        <v>33717.921216759358</v>
      </c>
      <c r="AX41" s="49">
        <v>33453.430074660813</v>
      </c>
      <c r="AY41" s="49">
        <v>33205.777654504578</v>
      </c>
      <c r="AZ41" s="49">
        <v>32978.935223224362</v>
      </c>
      <c r="BA41" s="49">
        <v>32748.537943161729</v>
      </c>
      <c r="BB41" s="49">
        <v>32517.708104554509</v>
      </c>
      <c r="BC41" s="49">
        <v>32361.200540003214</v>
      </c>
      <c r="BD41" s="49">
        <v>32218.712461638992</v>
      </c>
      <c r="BE41" s="49">
        <v>32075.219090711718</v>
      </c>
      <c r="BF41" s="49">
        <v>31933.767130565364</v>
      </c>
      <c r="BG41" s="49">
        <v>31830.361460439308</v>
      </c>
      <c r="BH41" s="49">
        <v>31704.61702434843</v>
      </c>
      <c r="BI41" s="49">
        <v>31564.847989234688</v>
      </c>
      <c r="BJ41" s="49">
        <v>31422.381038264371</v>
      </c>
      <c r="BK41" s="49">
        <v>31286.328029751323</v>
      </c>
      <c r="BL41" s="49">
        <v>31165.580004114188</v>
      </c>
    </row>
    <row r="42" spans="1:64" x14ac:dyDescent="0.35">
      <c r="C42" t="s">
        <v>44</v>
      </c>
      <c r="D42" s="49">
        <v>3943.1148437609995</v>
      </c>
      <c r="E42" s="49">
        <v>4053.4902087141354</v>
      </c>
      <c r="F42" s="49">
        <v>4155.4982918697824</v>
      </c>
      <c r="G42" s="49">
        <v>4258.3736048143737</v>
      </c>
      <c r="H42" s="49">
        <v>4142.4834030932479</v>
      </c>
      <c r="I42" s="49">
        <v>4234.5138945425988</v>
      </c>
      <c r="J42" s="49">
        <v>4322.4105568753039</v>
      </c>
      <c r="K42" s="49">
        <v>4383.88162653171</v>
      </c>
      <c r="L42" s="49">
        <v>4382.3146435590279</v>
      </c>
      <c r="M42" s="49">
        <v>4408.2468195561178</v>
      </c>
      <c r="N42" s="49">
        <v>4434.5633502413211</v>
      </c>
      <c r="O42" s="49">
        <v>4457.6683229025284</v>
      </c>
      <c r="P42" s="49">
        <v>4468.9149716222946</v>
      </c>
      <c r="Q42" s="49">
        <v>4375.0104850215394</v>
      </c>
      <c r="R42" s="49">
        <v>4388.9774342791543</v>
      </c>
      <c r="S42" s="49">
        <v>4378.2979179897802</v>
      </c>
      <c r="T42" s="49">
        <v>4181.7615086289525</v>
      </c>
      <c r="U42" s="49">
        <v>4143.9617197080097</v>
      </c>
      <c r="V42" s="49">
        <v>4059.4482204096253</v>
      </c>
      <c r="W42" s="49">
        <v>3927.6535894400477</v>
      </c>
      <c r="X42" s="49">
        <v>3871.670532727172</v>
      </c>
      <c r="Y42" s="49">
        <v>3724.6524301970594</v>
      </c>
      <c r="Z42" s="49">
        <v>3618.6264952923921</v>
      </c>
      <c r="AA42" s="49">
        <v>3569.6605244596872</v>
      </c>
      <c r="AB42" s="49">
        <v>3525.876975920713</v>
      </c>
      <c r="AC42" s="49">
        <v>3487.8272949084953</v>
      </c>
      <c r="AD42" s="49">
        <v>3460.678767352797</v>
      </c>
      <c r="AE42" s="49">
        <v>3422.2815565735123</v>
      </c>
      <c r="AF42" s="49">
        <v>3358.3579591975863</v>
      </c>
      <c r="AG42" s="49">
        <v>3312.6998150132395</v>
      </c>
      <c r="AH42" s="49">
        <v>3268.8701197571045</v>
      </c>
      <c r="AI42" s="49">
        <v>3261.5672554341481</v>
      </c>
      <c r="AJ42" s="49">
        <v>3230.5769522002965</v>
      </c>
      <c r="AK42" s="49">
        <v>3144.2189321601454</v>
      </c>
      <c r="AL42" s="49">
        <v>3057.4939662373476</v>
      </c>
      <c r="AM42" s="49">
        <v>2969.9845330191429</v>
      </c>
      <c r="AN42" s="49">
        <v>2881.0511277844093</v>
      </c>
      <c r="AO42" s="49">
        <v>2791.8435628211755</v>
      </c>
      <c r="AP42" s="49">
        <v>2702.7606563428885</v>
      </c>
      <c r="AQ42" s="49">
        <v>2614.1268608405594</v>
      </c>
      <c r="AR42" s="49">
        <v>2525.9792840995151</v>
      </c>
      <c r="AS42" s="49">
        <v>2452.307921342378</v>
      </c>
      <c r="AT42" s="49">
        <v>2383.4267213058815</v>
      </c>
      <c r="AU42" s="49">
        <v>2317.5166715997166</v>
      </c>
      <c r="AV42" s="49">
        <v>2253.5418685436744</v>
      </c>
      <c r="AW42" s="49">
        <v>2191.1563891873893</v>
      </c>
      <c r="AX42" s="49">
        <v>2130.0334508053265</v>
      </c>
      <c r="AY42" s="49">
        <v>2070.0786829200911</v>
      </c>
      <c r="AZ42" s="49">
        <v>2011.2659088516314</v>
      </c>
      <c r="BA42" s="49">
        <v>1953.4275606070087</v>
      </c>
      <c r="BB42" s="49">
        <v>1896.6644073530022</v>
      </c>
      <c r="BC42" s="49">
        <v>1850.2934492285697</v>
      </c>
      <c r="BD42" s="49">
        <v>1804.8187555182492</v>
      </c>
      <c r="BE42" s="49">
        <v>1760.238637974699</v>
      </c>
      <c r="BF42" s="49">
        <v>1716.4704427428323</v>
      </c>
      <c r="BG42" s="49">
        <v>1673.6110103191695</v>
      </c>
      <c r="BH42" s="49">
        <v>1631.5275839725477</v>
      </c>
      <c r="BI42" s="49">
        <v>1590.1597604933042</v>
      </c>
      <c r="BJ42" s="49">
        <v>1549.6292408034667</v>
      </c>
      <c r="BK42" s="49">
        <v>1509.8556660016086</v>
      </c>
      <c r="BL42" s="49">
        <v>1471.052295688806</v>
      </c>
    </row>
    <row r="43" spans="1:64" x14ac:dyDescent="0.35">
      <c r="C43" t="s">
        <v>275</v>
      </c>
      <c r="D43" s="49">
        <v>819.97524190854506</v>
      </c>
      <c r="E43" s="49">
        <v>828.0017286520922</v>
      </c>
      <c r="F43" s="49">
        <v>1085.1429139052391</v>
      </c>
      <c r="G43" s="49">
        <v>1158.2562175334988</v>
      </c>
      <c r="H43" s="49">
        <v>1294.5870452996453</v>
      </c>
      <c r="I43" s="49">
        <v>850.67438092522423</v>
      </c>
      <c r="J43" s="49">
        <v>38.592400303365025</v>
      </c>
      <c r="K43" s="49">
        <v>-1334.618596753277</v>
      </c>
      <c r="L43" s="49">
        <v>-3370.636542665608</v>
      </c>
      <c r="M43" s="49">
        <v>-5881.7403115761681</v>
      </c>
      <c r="N43" s="49">
        <v>-5840.6097105786448</v>
      </c>
      <c r="O43" s="49">
        <v>-8163.9905713630314</v>
      </c>
      <c r="P43" s="49">
        <v>-10155.899721608017</v>
      </c>
      <c r="Q43" s="49">
        <v>-9621.5624173653105</v>
      </c>
      <c r="R43" s="49">
        <v>-6746.7760646318911</v>
      </c>
      <c r="S43" s="49">
        <v>-909.81870967752047</v>
      </c>
      <c r="T43" s="49">
        <v>1895.2611011701449</v>
      </c>
      <c r="U43" s="49">
        <v>7426.246871923152</v>
      </c>
      <c r="V43" s="49">
        <v>-13411.996596017498</v>
      </c>
      <c r="W43" s="49">
        <v>-11081.405660283805</v>
      </c>
      <c r="X43" s="49">
        <v>-10565.307562466487</v>
      </c>
      <c r="Y43" s="49">
        <v>-12067.105918642314</v>
      </c>
      <c r="Z43" s="49">
        <v>-10202.075435723556</v>
      </c>
      <c r="AA43" s="49">
        <v>-7134.8699893356697</v>
      </c>
      <c r="AB43" s="49">
        <v>-10405.283669066264</v>
      </c>
      <c r="AC43" s="49">
        <v>-11945.163408270339</v>
      </c>
      <c r="AD43" s="49">
        <v>-11969.110093922558</v>
      </c>
      <c r="AE43" s="49">
        <v>-12080.174618702731</v>
      </c>
      <c r="AF43" s="49">
        <v>-11085.271780708874</v>
      </c>
      <c r="AG43" s="49">
        <v>-7702.6878138183429</v>
      </c>
      <c r="AH43" s="49">
        <v>-8060.2252194320736</v>
      </c>
      <c r="AI43" s="49">
        <v>-7272.2101365835315</v>
      </c>
      <c r="AJ43" s="49">
        <v>-6314.9021834546211</v>
      </c>
      <c r="AK43" s="49">
        <v>-6131.5328382768957</v>
      </c>
      <c r="AL43" s="49">
        <v>-6051.1349543647902</v>
      </c>
      <c r="AM43" s="49">
        <v>-6773.1877248114397</v>
      </c>
      <c r="AN43" s="49">
        <v>-8937.3453370162752</v>
      </c>
      <c r="AO43" s="49">
        <v>-10487.726934795148</v>
      </c>
      <c r="AP43" s="49">
        <v>-12435.137644175127</v>
      </c>
      <c r="AQ43" s="49">
        <v>-13576.104714315408</v>
      </c>
      <c r="AR43" s="49">
        <v>-14123.707210970422</v>
      </c>
      <c r="AS43" s="49">
        <v>-15107.454694701952</v>
      </c>
      <c r="AT43" s="49">
        <v>-15932.175982457617</v>
      </c>
      <c r="AU43" s="49">
        <v>-16834.496511115911</v>
      </c>
      <c r="AV43" s="49">
        <v>-17661.539963993455</v>
      </c>
      <c r="AW43" s="49">
        <v>-18547.650187772888</v>
      </c>
      <c r="AX43" s="49">
        <v>-19741.12495822756</v>
      </c>
      <c r="AY43" s="49">
        <v>-21421.519770765881</v>
      </c>
      <c r="AZ43" s="49">
        <v>-22578.453638518247</v>
      </c>
      <c r="BA43" s="49">
        <v>-23731.10441046573</v>
      </c>
      <c r="BB43" s="49">
        <v>-24830.126145336515</v>
      </c>
      <c r="BC43" s="49">
        <v>-25873.847335031074</v>
      </c>
      <c r="BD43" s="49">
        <v>-26458.287318640545</v>
      </c>
      <c r="BE43" s="49">
        <v>-26534.965372242725</v>
      </c>
      <c r="BF43" s="49">
        <v>-26319.688653278172</v>
      </c>
      <c r="BG43" s="49">
        <v>-25837.80599725679</v>
      </c>
      <c r="BH43" s="49">
        <v>-25902.387393477824</v>
      </c>
      <c r="BI43" s="49">
        <v>-25908.979510107845</v>
      </c>
      <c r="BJ43" s="49">
        <v>-25838.15693085147</v>
      </c>
      <c r="BK43" s="49">
        <v>-25615.983274629034</v>
      </c>
      <c r="BL43" s="49">
        <v>-25480.237098294994</v>
      </c>
    </row>
    <row r="44" spans="1:64" x14ac:dyDescent="0.35">
      <c r="C44" t="s">
        <v>65</v>
      </c>
      <c r="D44" s="49">
        <v>66013.549694774047</v>
      </c>
      <c r="E44" s="49">
        <v>67000.03531434646</v>
      </c>
      <c r="F44" s="49">
        <v>68413.896304908907</v>
      </c>
      <c r="G44" s="49">
        <v>68348.901315454816</v>
      </c>
      <c r="H44" s="49">
        <v>69734.489928998417</v>
      </c>
      <c r="I44" s="49">
        <v>69859.967789632065</v>
      </c>
      <c r="J44" s="49">
        <v>71226.588341874609</v>
      </c>
      <c r="K44" s="49">
        <v>72689.514013424938</v>
      </c>
      <c r="L44" s="49">
        <v>68447.832476157957</v>
      </c>
      <c r="M44" s="49">
        <v>67690.396148309839</v>
      </c>
      <c r="N44" s="49">
        <v>69670.423473175659</v>
      </c>
      <c r="O44" s="49">
        <v>70335.72336042051</v>
      </c>
      <c r="P44" s="49">
        <v>68434.956960442272</v>
      </c>
      <c r="Q44" s="49">
        <v>71158.579733341918</v>
      </c>
      <c r="R44" s="49">
        <v>73869.783765277738</v>
      </c>
      <c r="S44" s="49">
        <v>81750.640264180198</v>
      </c>
      <c r="T44" s="49">
        <v>84722.394116468262</v>
      </c>
      <c r="U44" s="49">
        <v>88148.348535380457</v>
      </c>
      <c r="V44" s="49">
        <v>67076.832924770031</v>
      </c>
      <c r="W44" s="49">
        <v>66747.858745911566</v>
      </c>
      <c r="X44" s="49">
        <v>67855.202517093931</v>
      </c>
      <c r="Y44" s="49">
        <v>66217.235295352657</v>
      </c>
      <c r="Z44" s="49">
        <v>70274.628273906899</v>
      </c>
      <c r="AA44" s="49">
        <v>72666.057154983355</v>
      </c>
      <c r="AB44" s="49">
        <v>70208.730729212519</v>
      </c>
      <c r="AC44" s="49">
        <v>68500.360120315541</v>
      </c>
      <c r="AD44" s="49">
        <v>66418.125540765905</v>
      </c>
      <c r="AE44" s="49">
        <v>67805.214738534458</v>
      </c>
      <c r="AF44" s="49">
        <v>68990.041080025607</v>
      </c>
      <c r="AG44" s="49">
        <v>73909.325516940924</v>
      </c>
      <c r="AH44" s="49">
        <v>70712.917208465733</v>
      </c>
      <c r="AI44" s="49">
        <v>72282.287421824833</v>
      </c>
      <c r="AJ44" s="49">
        <v>71952.261014390693</v>
      </c>
      <c r="AK44" s="49">
        <v>70719.289234868003</v>
      </c>
      <c r="AL44" s="49">
        <v>69240.534555790131</v>
      </c>
      <c r="AM44" s="49">
        <v>66863.885937818384</v>
      </c>
      <c r="AN44" s="49">
        <v>63727.182629159608</v>
      </c>
      <c r="AO44" s="49">
        <v>61091.945553689366</v>
      </c>
      <c r="AP44" s="49">
        <v>57970.533297897062</v>
      </c>
      <c r="AQ44" s="49">
        <v>55595.544592191123</v>
      </c>
      <c r="AR44" s="49">
        <v>52705.754426933876</v>
      </c>
      <c r="AS44" s="49">
        <v>50198.521696032505</v>
      </c>
      <c r="AT44" s="49">
        <v>47802.466077736441</v>
      </c>
      <c r="AU44" s="49">
        <v>45422.722644294823</v>
      </c>
      <c r="AV44" s="49">
        <v>43119.651931412693</v>
      </c>
      <c r="AW44" s="49">
        <v>40666.864909199132</v>
      </c>
      <c r="AX44" s="49">
        <v>37862.439409728264</v>
      </c>
      <c r="AY44" s="49">
        <v>34590.592516428856</v>
      </c>
      <c r="AZ44" s="49">
        <v>31991.476179763366</v>
      </c>
      <c r="BA44" s="49">
        <v>29514.48064998048</v>
      </c>
      <c r="BB44" s="49">
        <v>26273.494639100893</v>
      </c>
      <c r="BC44" s="49">
        <v>24151.036457959628</v>
      </c>
      <c r="BD44" s="49">
        <v>22435.699857791045</v>
      </c>
      <c r="BE44" s="49">
        <v>21302.613312305373</v>
      </c>
      <c r="BF44" s="49">
        <v>20484.733104147679</v>
      </c>
      <c r="BG44" s="49">
        <v>19999.932267710636</v>
      </c>
      <c r="BH44" s="49">
        <v>19091.519134407325</v>
      </c>
      <c r="BI44" s="49">
        <v>18320.234001636189</v>
      </c>
      <c r="BJ44" s="49">
        <v>17616.460795314601</v>
      </c>
      <c r="BK44" s="49">
        <v>17038.127294728263</v>
      </c>
      <c r="BL44" s="49">
        <v>16470.224761114085</v>
      </c>
    </row>
    <row r="45" spans="1:64" x14ac:dyDescent="0.35">
      <c r="C45" t="s">
        <v>64</v>
      </c>
      <c r="D45" s="49">
        <v>65193.574452865498</v>
      </c>
      <c r="E45" s="49">
        <v>66172.033585694371</v>
      </c>
      <c r="F45" s="49">
        <v>67328.753391003673</v>
      </c>
      <c r="G45" s="49">
        <v>67190.645097921311</v>
      </c>
      <c r="H45" s="49">
        <v>68439.902883698771</v>
      </c>
      <c r="I45" s="49">
        <v>69009.293408706842</v>
      </c>
      <c r="J45" s="49">
        <v>71187.995941571251</v>
      </c>
      <c r="K45" s="49">
        <v>74024.132610178218</v>
      </c>
      <c r="L45" s="49">
        <v>71818.469018823569</v>
      </c>
      <c r="M45" s="49">
        <v>73572.136459886009</v>
      </c>
      <c r="N45" s="49">
        <v>75511.033183754305</v>
      </c>
      <c r="O45" s="49">
        <v>78499.713931783539</v>
      </c>
      <c r="P45" s="49">
        <v>78590.856682050289</v>
      </c>
      <c r="Q45" s="49">
        <v>80780.142150707223</v>
      </c>
      <c r="R45" s="49">
        <v>80616.559829909631</v>
      </c>
      <c r="S45" s="49">
        <v>82660.45897385772</v>
      </c>
      <c r="T45" s="49">
        <v>82827.13301529811</v>
      </c>
      <c r="U45" s="49">
        <v>80722.101663457302</v>
      </c>
      <c r="V45" s="49">
        <v>80488.829520787534</v>
      </c>
      <c r="W45" s="49">
        <v>77829.264406195376</v>
      </c>
      <c r="X45" s="49">
        <v>78420.510079560423</v>
      </c>
      <c r="Y45" s="49">
        <v>78284.341213994965</v>
      </c>
      <c r="Z45" s="49">
        <v>80476.703709630456</v>
      </c>
      <c r="AA45" s="49">
        <v>79800.927144319023</v>
      </c>
      <c r="AB45" s="49">
        <v>80614.014398278785</v>
      </c>
      <c r="AC45" s="49">
        <v>80445.52352858588</v>
      </c>
      <c r="AD45" s="49">
        <v>78387.235634688463</v>
      </c>
      <c r="AE45" s="49">
        <v>79885.389357237189</v>
      </c>
      <c r="AF45" s="49">
        <v>80075.312860734484</v>
      </c>
      <c r="AG45" s="49">
        <v>81612.013330759262</v>
      </c>
      <c r="AH45" s="49">
        <v>78773.142427897808</v>
      </c>
      <c r="AI45" s="49">
        <v>79554.497558408359</v>
      </c>
      <c r="AJ45" s="49">
        <v>78267.163197845308</v>
      </c>
      <c r="AK45" s="49">
        <v>76850.822073144896</v>
      </c>
      <c r="AL45" s="49">
        <v>75291.669510154927</v>
      </c>
      <c r="AM45" s="49">
        <v>73637.073662629817</v>
      </c>
      <c r="AN45" s="49">
        <v>72664.527966175883</v>
      </c>
      <c r="AO45" s="49">
        <v>71579.672488484517</v>
      </c>
      <c r="AP45" s="49">
        <v>70405.670942072189</v>
      </c>
      <c r="AQ45" s="49">
        <v>69171.64930650653</v>
      </c>
      <c r="AR45" s="49">
        <v>66829.4616379043</v>
      </c>
      <c r="AS45" s="49">
        <v>65305.97639073446</v>
      </c>
      <c r="AT45" s="49">
        <v>63734.642060194055</v>
      </c>
      <c r="AU45" s="49">
        <v>62257.219155410734</v>
      </c>
      <c r="AV45" s="49">
        <v>60781.191895406148</v>
      </c>
      <c r="AW45" s="49">
        <v>59214.51509697202</v>
      </c>
      <c r="AX45" s="49">
        <v>57603.56436795582</v>
      </c>
      <c r="AY45" s="49">
        <v>56012.112287194737</v>
      </c>
      <c r="AZ45" s="49">
        <v>54569.929818281613</v>
      </c>
      <c r="BA45" s="49">
        <v>53245.58506044621</v>
      </c>
      <c r="BB45" s="49">
        <v>51103.620784437408</v>
      </c>
      <c r="BC45" s="49">
        <v>50024.883792990702</v>
      </c>
      <c r="BD45" s="49">
        <v>48893.98717643159</v>
      </c>
      <c r="BE45" s="49">
        <v>47837.578684548098</v>
      </c>
      <c r="BF45" s="49">
        <v>46804.421757425851</v>
      </c>
      <c r="BG45" s="49">
        <v>45837.738264967425</v>
      </c>
      <c r="BH45" s="49">
        <v>44993.906527885149</v>
      </c>
      <c r="BI45" s="49">
        <v>44229.213511744034</v>
      </c>
      <c r="BJ45" s="49">
        <v>43454.61772616607</v>
      </c>
      <c r="BK45" s="49">
        <v>42654.110569357297</v>
      </c>
      <c r="BL45" s="49">
        <v>41950.461859409079</v>
      </c>
    </row>
    <row r="47" spans="1:64" x14ac:dyDescent="0.35">
      <c r="B47" s="2" t="s">
        <v>289</v>
      </c>
    </row>
    <row r="48" spans="1:64" x14ac:dyDescent="0.35">
      <c r="B48" s="10" t="s">
        <v>290</v>
      </c>
      <c r="C48" t="s">
        <v>291</v>
      </c>
      <c r="D48" s="50">
        <v>7936.4519923625339</v>
      </c>
      <c r="E48" s="50">
        <v>7915.2400768344296</v>
      </c>
      <c r="F48" s="50">
        <v>8271.9670866086362</v>
      </c>
      <c r="G48" s="50">
        <v>8720.4036366341952</v>
      </c>
      <c r="H48" s="50">
        <v>9373.6607571457498</v>
      </c>
      <c r="I48" s="50">
        <v>10029.855538148871</v>
      </c>
      <c r="J48" s="50">
        <v>10161.48201972811</v>
      </c>
      <c r="K48" s="50">
        <v>10383.51008208942</v>
      </c>
      <c r="L48" s="50">
        <v>10587.775390176601</v>
      </c>
      <c r="M48" s="50">
        <v>10868.588364366557</v>
      </c>
      <c r="N48" s="50">
        <v>11410.883603204908</v>
      </c>
      <c r="O48" s="50">
        <v>11473.859569671025</v>
      </c>
      <c r="P48" s="50">
        <v>11925.65915449601</v>
      </c>
      <c r="Q48" s="50">
        <v>12453.654510825265</v>
      </c>
      <c r="R48" s="50">
        <v>12742.478818994343</v>
      </c>
      <c r="S48" s="50">
        <v>12817.902091308622</v>
      </c>
      <c r="T48" s="50">
        <v>12944.514454651089</v>
      </c>
      <c r="U48" s="50">
        <v>13053.077943993681</v>
      </c>
      <c r="V48" s="50">
        <v>13073.537726958531</v>
      </c>
      <c r="W48" s="50">
        <v>12886.83695541684</v>
      </c>
      <c r="X48" s="50">
        <v>13144.981504109392</v>
      </c>
      <c r="Y48" s="50">
        <v>13136.569401589086</v>
      </c>
      <c r="Z48" s="50">
        <v>12820.096319621582</v>
      </c>
      <c r="AA48" s="50">
        <v>12899.199072133002</v>
      </c>
      <c r="AB48" s="50">
        <v>13163.397966357803</v>
      </c>
      <c r="AC48" s="50">
        <v>13633.9503819733</v>
      </c>
      <c r="AD48" s="50">
        <v>13739.538672436074</v>
      </c>
      <c r="AE48" s="50">
        <v>14658.300228448785</v>
      </c>
      <c r="AF48" s="50">
        <v>14985.763453404979</v>
      </c>
      <c r="AG48" s="50">
        <v>14517.302553626343</v>
      </c>
      <c r="AH48" s="50">
        <v>13077.931253317818</v>
      </c>
      <c r="AI48" s="50">
        <v>14292.078348256287</v>
      </c>
      <c r="AJ48" s="50">
        <v>15035.097341482393</v>
      </c>
      <c r="AK48" s="50">
        <v>15166.382458575645</v>
      </c>
      <c r="AL48" s="50">
        <v>15048.675180469334</v>
      </c>
      <c r="AM48" s="50">
        <v>14895.936492517962</v>
      </c>
      <c r="AN48" s="50">
        <v>14647.580017865463</v>
      </c>
      <c r="AO48" s="50">
        <v>14349.406257504896</v>
      </c>
      <c r="AP48" s="50">
        <v>13927.469567958005</v>
      </c>
      <c r="AQ48" s="50">
        <v>13387.265910875478</v>
      </c>
      <c r="AR48" s="50">
        <v>12733.972575485703</v>
      </c>
      <c r="AS48" s="50">
        <v>11937.252100354133</v>
      </c>
      <c r="AT48" s="50">
        <v>11128.548384657612</v>
      </c>
      <c r="AU48" s="50">
        <v>10292.66671316228</v>
      </c>
      <c r="AV48" s="50">
        <v>9500.8778221486882</v>
      </c>
      <c r="AW48" s="50">
        <v>8669.2653861878189</v>
      </c>
      <c r="AX48" s="50">
        <v>7903.1173482642589</v>
      </c>
      <c r="AY48" s="50">
        <v>7127.2748478954936</v>
      </c>
      <c r="AZ48" s="50">
        <v>6442.6570289495094</v>
      </c>
      <c r="BA48" s="50">
        <v>5829.7187854106087</v>
      </c>
      <c r="BB48" s="50">
        <v>5205.9800076953097</v>
      </c>
      <c r="BC48" s="50">
        <v>4694.5610783353986</v>
      </c>
      <c r="BD48" s="50">
        <v>4191.3655878087684</v>
      </c>
      <c r="BE48" s="50">
        <v>3716.9238636942227</v>
      </c>
      <c r="BF48" s="50">
        <v>3263.4633944279044</v>
      </c>
      <c r="BG48" s="50">
        <v>2812.0653631085747</v>
      </c>
      <c r="BH48" s="50">
        <v>2486.5311868835952</v>
      </c>
      <c r="BI48" s="50">
        <v>2166.2955742203576</v>
      </c>
      <c r="BJ48" s="50">
        <v>1851.0176322355783</v>
      </c>
      <c r="BK48" s="50">
        <v>1619.5384767613118</v>
      </c>
      <c r="BL48" s="50">
        <v>1438.2524989141493</v>
      </c>
    </row>
    <row r="49" spans="2:64" x14ac:dyDescent="0.35">
      <c r="C49" t="s">
        <v>292</v>
      </c>
      <c r="D49" s="50">
        <v>3.1708663193209801</v>
      </c>
      <c r="E49" s="50">
        <v>3.0663103601685999</v>
      </c>
      <c r="F49" s="50">
        <v>3.0002577473681198</v>
      </c>
      <c r="G49" s="50">
        <v>2.9159336912653702</v>
      </c>
      <c r="H49" s="50">
        <v>2.8692408755091101</v>
      </c>
      <c r="I49" s="50">
        <v>2.8248952284873701</v>
      </c>
      <c r="J49" s="50">
        <v>2.6950225833844899</v>
      </c>
      <c r="K49" s="50">
        <v>2.6211561724973098</v>
      </c>
      <c r="L49" s="50">
        <v>2.5117652272979201</v>
      </c>
      <c r="M49" s="50">
        <v>2.40850249551728</v>
      </c>
      <c r="N49" s="50">
        <v>2.2833551456871102</v>
      </c>
      <c r="O49" s="50">
        <v>2.1766764218630499</v>
      </c>
      <c r="P49" s="50">
        <v>2.1202654466977999</v>
      </c>
      <c r="Q49" s="50">
        <v>2.0447488026715899</v>
      </c>
      <c r="R49" s="50">
        <v>1.9554843707465801</v>
      </c>
      <c r="S49" s="50">
        <v>1.8434861122090502</v>
      </c>
      <c r="T49" s="50">
        <v>1.7142325557895399</v>
      </c>
      <c r="U49" s="50">
        <v>1.6354205207540999</v>
      </c>
      <c r="V49" s="50">
        <v>1.51723097476102</v>
      </c>
      <c r="W49" s="50">
        <v>1.4441045339946199</v>
      </c>
      <c r="X49" s="50">
        <v>1.3738009454905302</v>
      </c>
      <c r="Y49" s="50">
        <v>1.2868833021543</v>
      </c>
      <c r="Z49" s="50">
        <v>1.2197899932079601</v>
      </c>
      <c r="AA49" s="50">
        <v>1.1906744712561601</v>
      </c>
      <c r="AB49" s="50">
        <v>1.1493045596067599</v>
      </c>
      <c r="AC49" s="50">
        <v>1.10843973361673</v>
      </c>
      <c r="AD49" s="50">
        <v>1.06954514378592</v>
      </c>
      <c r="AE49" s="50">
        <v>0.89513402722861002</v>
      </c>
      <c r="AF49" s="50">
        <v>0.83199233835184006</v>
      </c>
      <c r="AG49" s="50">
        <v>0.77385198552219014</v>
      </c>
      <c r="AH49" s="50">
        <v>0.61604912779851995</v>
      </c>
      <c r="AI49" s="50">
        <v>0.67310304460326209</v>
      </c>
      <c r="AJ49" s="50">
        <v>0.7083754929900502</v>
      </c>
      <c r="AK49" s="50">
        <v>0.71461241962213062</v>
      </c>
      <c r="AL49" s="50">
        <v>0.70894129966505948</v>
      </c>
      <c r="AM49" s="50">
        <v>0.70168226703989811</v>
      </c>
      <c r="AN49" s="50">
        <v>0.69238530970605328</v>
      </c>
      <c r="AO49" s="50">
        <v>0.68068247743425669</v>
      </c>
      <c r="AP49" s="50">
        <v>0.66308798629283583</v>
      </c>
      <c r="AQ49" s="50">
        <v>0.6398406660064524</v>
      </c>
      <c r="AR49" s="50">
        <v>0.6109719622454598</v>
      </c>
      <c r="AS49" s="50">
        <v>0.57543525966735931</v>
      </c>
      <c r="AT49" s="50">
        <v>0.53923173594284846</v>
      </c>
      <c r="AU49" s="50">
        <v>0.50168131464739052</v>
      </c>
      <c r="AV49" s="50">
        <v>0.46622793556746878</v>
      </c>
      <c r="AW49" s="50">
        <v>0.42883856948850285</v>
      </c>
      <c r="AX49" s="50">
        <v>0.39242848062671692</v>
      </c>
      <c r="AY49" s="50">
        <v>0.35549735688517536</v>
      </c>
      <c r="AZ49" s="50">
        <v>0.3229598646550732</v>
      </c>
      <c r="BA49" s="50">
        <v>0.29397758993697792</v>
      </c>
      <c r="BB49" s="50">
        <v>0.26415905267365714</v>
      </c>
      <c r="BC49" s="50">
        <v>0.23989910065825687</v>
      </c>
      <c r="BD49" s="50">
        <v>0.21598765868812556</v>
      </c>
      <c r="BE49" s="50">
        <v>0.19349440242026777</v>
      </c>
      <c r="BF49" s="50">
        <v>0.17201837133164621</v>
      </c>
      <c r="BG49" s="50">
        <v>0.15051956819771045</v>
      </c>
      <c r="BH49" s="50">
        <v>0.13508874660441125</v>
      </c>
      <c r="BI49" s="50">
        <v>0.11977211694652036</v>
      </c>
      <c r="BJ49" s="50">
        <v>0.10459255906054764</v>
      </c>
      <c r="BK49" s="50">
        <v>9.3469741296189443E-2</v>
      </c>
      <c r="BL49" s="50">
        <v>8.4792389722445322E-2</v>
      </c>
    </row>
    <row r="50" spans="2:64" x14ac:dyDescent="0.35">
      <c r="C50" t="s">
        <v>293</v>
      </c>
      <c r="D50" s="50">
        <v>0.37070775681814</v>
      </c>
      <c r="E50" s="50">
        <v>0.38511169810255003</v>
      </c>
      <c r="F50" s="50">
        <v>0.41282860505676999</v>
      </c>
      <c r="G50" s="50">
        <v>0.43418323345160997</v>
      </c>
      <c r="H50" s="50">
        <v>0.46445795072623997</v>
      </c>
      <c r="I50" s="50">
        <v>0.49357987222170002</v>
      </c>
      <c r="J50" s="50">
        <v>0.50290877395619005</v>
      </c>
      <c r="K50" s="50">
        <v>0.52447953763731003</v>
      </c>
      <c r="L50" s="50">
        <v>0.53653966407246001</v>
      </c>
      <c r="M50" s="50">
        <v>0.56310245628642996</v>
      </c>
      <c r="N50" s="50">
        <v>0.60517738739447002</v>
      </c>
      <c r="O50" s="50">
        <v>0.59595551295251004</v>
      </c>
      <c r="P50" s="50">
        <v>0.61528671337272001</v>
      </c>
      <c r="Q50" s="50">
        <v>0.64773261325125997</v>
      </c>
      <c r="R50" s="50">
        <v>0.67450078746852005</v>
      </c>
      <c r="S50" s="50">
        <v>0.66930073346659003</v>
      </c>
      <c r="T50" s="50">
        <v>0.6537860256818</v>
      </c>
      <c r="U50" s="50">
        <v>0.64041393485891995</v>
      </c>
      <c r="V50" s="50">
        <v>0.61238659399787998</v>
      </c>
      <c r="W50" s="50">
        <v>0.59780753492468997</v>
      </c>
      <c r="X50" s="50">
        <v>0.56916445547337002</v>
      </c>
      <c r="Y50" s="50">
        <v>0.54726891562986002</v>
      </c>
      <c r="Z50" s="50">
        <v>0.52314311787736001</v>
      </c>
      <c r="AA50" s="50">
        <v>0.51139002320280003</v>
      </c>
      <c r="AB50" s="50">
        <v>0.49502024402289996</v>
      </c>
      <c r="AC50" s="50">
        <v>0.48108702614701004</v>
      </c>
      <c r="AD50" s="50">
        <v>0.47061580060716002</v>
      </c>
      <c r="AE50" s="50">
        <v>0.41283355632496999</v>
      </c>
      <c r="AF50" s="50">
        <v>0.40121312123884001</v>
      </c>
      <c r="AG50" s="50">
        <v>0.39616049318230001</v>
      </c>
      <c r="AH50" s="50">
        <v>0.27628671333741001</v>
      </c>
      <c r="AI50" s="50">
        <v>0.28037780602780527</v>
      </c>
      <c r="AJ50" s="50">
        <v>0.27938498003230328</v>
      </c>
      <c r="AK50" s="50">
        <v>0.27613532796660989</v>
      </c>
      <c r="AL50" s="50">
        <v>0.26997914460321687</v>
      </c>
      <c r="AM50" s="50">
        <v>0.26359778829020486</v>
      </c>
      <c r="AN50" s="50">
        <v>0.26133817069980009</v>
      </c>
      <c r="AO50" s="50">
        <v>0.25835079510242903</v>
      </c>
      <c r="AP50" s="50">
        <v>0.25485646143093049</v>
      </c>
      <c r="AQ50" s="50">
        <v>0.25096798321345543</v>
      </c>
      <c r="AR50" s="50">
        <v>0.23146092081177283</v>
      </c>
      <c r="AS50" s="50">
        <v>0.2249297545356975</v>
      </c>
      <c r="AT50" s="50">
        <v>0.21791142228588736</v>
      </c>
      <c r="AU50" s="50">
        <v>0.21161499257957392</v>
      </c>
      <c r="AV50" s="50">
        <v>0.20532624976591346</v>
      </c>
      <c r="AW50" s="50">
        <v>0.19802441433765816</v>
      </c>
      <c r="AX50" s="50">
        <v>0.18971415107034223</v>
      </c>
      <c r="AY50" s="50">
        <v>0.18126278577152552</v>
      </c>
      <c r="AZ50" s="50">
        <v>0.17367963809661591</v>
      </c>
      <c r="BA50" s="50">
        <v>0.16687103838367662</v>
      </c>
      <c r="BB50" s="50">
        <v>0.14537445655498402</v>
      </c>
      <c r="BC50" s="50">
        <v>0.13944063147694052</v>
      </c>
      <c r="BD50" s="50">
        <v>0.1327159979220727</v>
      </c>
      <c r="BE50" s="50">
        <v>0.12661479816071983</v>
      </c>
      <c r="BF50" s="50">
        <v>0.12106358459059866</v>
      </c>
      <c r="BG50" s="50">
        <v>0.11551550293812562</v>
      </c>
      <c r="BH50" s="50">
        <v>0.1109211458888044</v>
      </c>
      <c r="BI50" s="50">
        <v>0.10680593132952355</v>
      </c>
      <c r="BJ50" s="50">
        <v>0.1026016898319346</v>
      </c>
      <c r="BK50" s="50">
        <v>9.8119851357233556E-2</v>
      </c>
      <c r="BL50" s="50">
        <v>9.4028083768160312E-2</v>
      </c>
    </row>
    <row r="51" spans="2:64" x14ac:dyDescent="0.35">
      <c r="B51" s="10" t="s">
        <v>274</v>
      </c>
      <c r="C51" t="s">
        <v>291</v>
      </c>
      <c r="D51" s="50">
        <v>14550.030981098405</v>
      </c>
      <c r="E51" s="50">
        <v>15076.659352919838</v>
      </c>
      <c r="F51" s="50">
        <v>16584.937570404265</v>
      </c>
      <c r="G51" s="50">
        <v>15589.82198645115</v>
      </c>
      <c r="H51" s="50">
        <v>15160.983373310251</v>
      </c>
      <c r="I51" s="50">
        <v>14439.353225445664</v>
      </c>
      <c r="J51" s="50">
        <v>15642.858394408015</v>
      </c>
      <c r="K51" s="50">
        <v>17453.650580070611</v>
      </c>
      <c r="L51" s="50">
        <v>15683.361737245015</v>
      </c>
      <c r="M51" s="50">
        <v>16750.700998567205</v>
      </c>
      <c r="N51" s="50">
        <v>16970.08454184356</v>
      </c>
      <c r="O51" s="50">
        <v>18876.142823578786</v>
      </c>
      <c r="P51" s="50">
        <v>18464.425597000558</v>
      </c>
      <c r="Q51" s="50">
        <v>19507.673279696097</v>
      </c>
      <c r="R51" s="50">
        <v>18828.439162033264</v>
      </c>
      <c r="S51" s="50">
        <v>20210.388636212108</v>
      </c>
      <c r="T51" s="50">
        <v>20153.024722444945</v>
      </c>
      <c r="U51" s="50">
        <v>18866.722346131399</v>
      </c>
      <c r="V51" s="50">
        <v>20221.039610528373</v>
      </c>
      <c r="W51" s="50">
        <v>17634.861462762692</v>
      </c>
      <c r="X51" s="50">
        <v>17273.632418391448</v>
      </c>
      <c r="Y51" s="50">
        <v>16706.090118246539</v>
      </c>
      <c r="Z51" s="50">
        <v>18703.932285745428</v>
      </c>
      <c r="AA51" s="50">
        <v>17950.838087133321</v>
      </c>
      <c r="AB51" s="50">
        <v>17774.78771430354</v>
      </c>
      <c r="AC51" s="50">
        <v>17516.328404938708</v>
      </c>
      <c r="AD51" s="50">
        <v>16098.215374762001</v>
      </c>
      <c r="AE51" s="50">
        <v>16751.328994174273</v>
      </c>
      <c r="AF51" s="50">
        <v>16522.351521439505</v>
      </c>
      <c r="AG51" s="50">
        <v>18404.234200695155</v>
      </c>
      <c r="AH51" s="50">
        <v>17470.408108272961</v>
      </c>
      <c r="AI51" s="50">
        <v>17599.858672860657</v>
      </c>
      <c r="AJ51" s="50">
        <v>16221.526580682345</v>
      </c>
      <c r="AK51" s="50">
        <v>15302.387099581018</v>
      </c>
      <c r="AL51" s="50">
        <v>14348.086856126336</v>
      </c>
      <c r="AM51" s="50">
        <v>13402.53066710414</v>
      </c>
      <c r="AN51" s="50">
        <v>13116.213654409965</v>
      </c>
      <c r="AO51" s="50">
        <v>12779.616747553398</v>
      </c>
      <c r="AP51" s="50">
        <v>12513.641412128554</v>
      </c>
      <c r="AQ51" s="50">
        <v>12280.961646690897</v>
      </c>
      <c r="AR51" s="50">
        <v>11294.783435491689</v>
      </c>
      <c r="AS51" s="50">
        <v>10959.707995867617</v>
      </c>
      <c r="AT51" s="50">
        <v>10596.56868357932</v>
      </c>
      <c r="AU51" s="50">
        <v>10336.791293038385</v>
      </c>
      <c r="AV51" s="50">
        <v>10033.759948494391</v>
      </c>
      <c r="AW51" s="50">
        <v>9641.1093570918474</v>
      </c>
      <c r="AX51" s="50">
        <v>9172.9147123364128</v>
      </c>
      <c r="AY51" s="50">
        <v>8700.3901012447132</v>
      </c>
      <c r="AZ51" s="50">
        <v>8261.2639513261493</v>
      </c>
      <c r="BA51" s="50">
        <v>7868.048118671637</v>
      </c>
      <c r="BB51" s="50">
        <v>6759.773909171603</v>
      </c>
      <c r="BC51" s="50">
        <v>6418.8532190539909</v>
      </c>
      <c r="BD51" s="50">
        <v>6002.7735664316351</v>
      </c>
      <c r="BE51" s="50">
        <v>5627.6206410236682</v>
      </c>
      <c r="BF51" s="50">
        <v>5251.7592021589353</v>
      </c>
      <c r="BG51" s="50">
        <v>4896.173120996059</v>
      </c>
      <c r="BH51" s="50">
        <v>4554.9625946142542</v>
      </c>
      <c r="BI51" s="50">
        <v>4296.263920466733</v>
      </c>
      <c r="BJ51" s="50">
        <v>4023.4181361517603</v>
      </c>
      <c r="BK51" s="50">
        <v>3636.6171474408038</v>
      </c>
      <c r="BL51" s="50">
        <v>3275.2616784979255</v>
      </c>
    </row>
    <row r="52" spans="2:64" x14ac:dyDescent="0.35">
      <c r="C52" t="s">
        <v>292</v>
      </c>
      <c r="D52" s="50">
        <v>43.689236384759724</v>
      </c>
      <c r="E52" s="50">
        <v>43.136028196882343</v>
      </c>
      <c r="F52" s="50">
        <v>42.370784734338343</v>
      </c>
      <c r="G52" s="50">
        <v>45.490729829929059</v>
      </c>
      <c r="H52" s="50">
        <v>48.642951699257466</v>
      </c>
      <c r="I52" s="50">
        <v>42.384378795374694</v>
      </c>
      <c r="J52" s="50">
        <v>52.975807448633716</v>
      </c>
      <c r="K52" s="50">
        <v>52.726042493037973</v>
      </c>
      <c r="L52" s="50">
        <v>52.213941142234461</v>
      </c>
      <c r="M52" s="50">
        <v>52.645758927624009</v>
      </c>
      <c r="N52" s="50">
        <v>51.169607018712021</v>
      </c>
      <c r="O52" s="50">
        <v>53.210947160023942</v>
      </c>
      <c r="P52" s="50">
        <v>49.223035859385497</v>
      </c>
      <c r="Q52" s="50">
        <v>42.629892983466895</v>
      </c>
      <c r="R52" s="50">
        <v>43.497866912277935</v>
      </c>
      <c r="S52" s="50">
        <v>48.84280066748827</v>
      </c>
      <c r="T52" s="50">
        <v>62.354420394438485</v>
      </c>
      <c r="U52" s="50">
        <v>53.764544482946079</v>
      </c>
      <c r="V52" s="50">
        <v>44.563290394249982</v>
      </c>
      <c r="W52" s="50">
        <v>48.938864799909169</v>
      </c>
      <c r="X52" s="50">
        <v>59.857136871476563</v>
      </c>
      <c r="Y52" s="50">
        <v>56.071906861362102</v>
      </c>
      <c r="Z52" s="50">
        <v>44.0716600682399</v>
      </c>
      <c r="AA52" s="50">
        <v>36.700152189000079</v>
      </c>
      <c r="AB52" s="50">
        <v>36.459637394592001</v>
      </c>
      <c r="AC52" s="50">
        <v>37.99776773365582</v>
      </c>
      <c r="AD52" s="50">
        <v>34.565581810417513</v>
      </c>
      <c r="AE52" s="50">
        <v>30.690946761958138</v>
      </c>
      <c r="AF52" s="50">
        <v>29.694716701258521</v>
      </c>
      <c r="AG52" s="50">
        <v>28.676851670989468</v>
      </c>
      <c r="AH52" s="50">
        <v>27.039251325087321</v>
      </c>
      <c r="AI52" s="50">
        <v>28.243453391594272</v>
      </c>
      <c r="AJ52" s="50">
        <v>28.500519732083681</v>
      </c>
      <c r="AK52" s="50">
        <v>28.757610786136848</v>
      </c>
      <c r="AL52" s="50">
        <v>28.654604231242534</v>
      </c>
      <c r="AM52" s="50">
        <v>28.153107442982154</v>
      </c>
      <c r="AN52" s="50">
        <v>27.910251453160477</v>
      </c>
      <c r="AO52" s="50">
        <v>27.602706734599042</v>
      </c>
      <c r="AP52" s="50">
        <v>27.300684196985046</v>
      </c>
      <c r="AQ52" s="50">
        <v>26.995703611557406</v>
      </c>
      <c r="AR52" s="50">
        <v>25.623076270892671</v>
      </c>
      <c r="AS52" s="50">
        <v>25.214816706886442</v>
      </c>
      <c r="AT52" s="50">
        <v>24.793699326950108</v>
      </c>
      <c r="AU52" s="50">
        <v>24.433520092351738</v>
      </c>
      <c r="AV52" s="50">
        <v>24.071379964160915</v>
      </c>
      <c r="AW52" s="50">
        <v>23.690921980107127</v>
      </c>
      <c r="AX52" s="50">
        <v>23.218128982964341</v>
      </c>
      <c r="AY52" s="50">
        <v>22.739336758845255</v>
      </c>
      <c r="AZ52" s="50">
        <v>22.267146784826103</v>
      </c>
      <c r="BA52" s="50">
        <v>21.810982628350366</v>
      </c>
      <c r="BB52" s="50">
        <v>20.298823623069584</v>
      </c>
      <c r="BC52" s="50">
        <v>19.85480990715191</v>
      </c>
      <c r="BD52" s="50">
        <v>19.326289781709551</v>
      </c>
      <c r="BE52" s="50">
        <v>18.772337867151062</v>
      </c>
      <c r="BF52" s="50">
        <v>18.127416249145391</v>
      </c>
      <c r="BG52" s="50">
        <v>17.590540407591817</v>
      </c>
      <c r="BH52" s="50">
        <v>17.069708838886406</v>
      </c>
      <c r="BI52" s="50">
        <v>16.656834530811611</v>
      </c>
      <c r="BJ52" s="50">
        <v>16.224882368021216</v>
      </c>
      <c r="BK52" s="50">
        <v>15.643184232277449</v>
      </c>
      <c r="BL52" s="50">
        <v>15.14514543006826</v>
      </c>
    </row>
    <row r="53" spans="2:64" x14ac:dyDescent="0.35">
      <c r="C53" t="s">
        <v>293</v>
      </c>
      <c r="D53" s="50">
        <v>0.36642694370815998</v>
      </c>
      <c r="E53" s="50">
        <v>0.35470999108293</v>
      </c>
      <c r="F53" s="50">
        <v>0.38249243707663999</v>
      </c>
      <c r="G53" s="50">
        <v>0.37799456028020001</v>
      </c>
      <c r="H53" s="50">
        <v>0.40402826094213001</v>
      </c>
      <c r="I53" s="50">
        <v>0.39974166861652</v>
      </c>
      <c r="J53" s="50">
        <v>0.38859485839440999</v>
      </c>
      <c r="K53" s="50">
        <v>0.39160898713207004</v>
      </c>
      <c r="L53" s="50">
        <v>0.37717118654362003</v>
      </c>
      <c r="M53" s="50">
        <v>0.40035628617881996</v>
      </c>
      <c r="N53" s="50">
        <v>0.40515628985136004</v>
      </c>
      <c r="O53" s="50">
        <v>0.42329355924693995</v>
      </c>
      <c r="P53" s="50">
        <v>0.44147694963213002</v>
      </c>
      <c r="Q53" s="50">
        <v>0.47634806725715001</v>
      </c>
      <c r="R53" s="50">
        <v>0.49417169503745995</v>
      </c>
      <c r="S53" s="50">
        <v>0.51581617253897005</v>
      </c>
      <c r="T53" s="50">
        <v>0.51246272049793995</v>
      </c>
      <c r="U53" s="50">
        <v>0.48057736977717996</v>
      </c>
      <c r="V53" s="50">
        <v>0.48861908921137004</v>
      </c>
      <c r="W53" s="50">
        <v>0.44175060694691992</v>
      </c>
      <c r="X53" s="50">
        <v>0.42689056518231999</v>
      </c>
      <c r="Y53" s="50">
        <v>0.43730630324666991</v>
      </c>
      <c r="Z53" s="50">
        <v>0.46749098191557997</v>
      </c>
      <c r="AA53" s="50">
        <v>0.46461822120052004</v>
      </c>
      <c r="AB53" s="50">
        <v>0.44449383834728001</v>
      </c>
      <c r="AC53" s="50">
        <v>0.44726800503922004</v>
      </c>
      <c r="AD53" s="50">
        <v>0.44177232613505996</v>
      </c>
      <c r="AE53" s="50">
        <v>0.43614607141988998</v>
      </c>
      <c r="AF53" s="50">
        <v>0.44547034500414007</v>
      </c>
      <c r="AG53" s="50">
        <v>0.48243768484458999</v>
      </c>
      <c r="AH53" s="50">
        <v>0.46415889239030006</v>
      </c>
      <c r="AI53" s="50">
        <v>0.47103188685645403</v>
      </c>
      <c r="AJ53" s="50">
        <v>0.46936394919545726</v>
      </c>
      <c r="AK53" s="50">
        <v>0.46390456649389372</v>
      </c>
      <c r="AL53" s="50">
        <v>0.45356224052103938</v>
      </c>
      <c r="AM53" s="50">
        <v>0.44284162626342105</v>
      </c>
      <c r="AN53" s="50">
        <v>0.43904549149704508</v>
      </c>
      <c r="AO53" s="50">
        <v>0.43402673061752289</v>
      </c>
      <c r="AP53" s="50">
        <v>0.42815628528552402</v>
      </c>
      <c r="AQ53" s="50">
        <v>0.42162368109075471</v>
      </c>
      <c r="AR53" s="50">
        <v>0.3888520129610028</v>
      </c>
      <c r="AS53" s="50">
        <v>0.37787971947609006</v>
      </c>
      <c r="AT53" s="50">
        <v>0.36608899206778117</v>
      </c>
      <c r="AU53" s="50">
        <v>0.3555110536530347</v>
      </c>
      <c r="AV53" s="50">
        <v>0.34494602914043232</v>
      </c>
      <c r="AW53" s="50">
        <v>0.33267901925112137</v>
      </c>
      <c r="AX53" s="50">
        <v>0.31871786076096076</v>
      </c>
      <c r="AY53" s="50">
        <v>0.30451965228072175</v>
      </c>
      <c r="AZ53" s="50">
        <v>0.29178004065372454</v>
      </c>
      <c r="BA53" s="50">
        <v>0.28034166179246017</v>
      </c>
      <c r="BB53" s="50">
        <v>0.24422762108722307</v>
      </c>
      <c r="BC53" s="50">
        <v>0.2342588547915421</v>
      </c>
      <c r="BD53" s="50">
        <v>0.22296153822914092</v>
      </c>
      <c r="BE53" s="50">
        <v>0.21271158415327091</v>
      </c>
      <c r="BF53" s="50">
        <v>0.20338560133272621</v>
      </c>
      <c r="BG53" s="50">
        <v>0.19406488010224876</v>
      </c>
      <c r="BH53" s="50">
        <v>0.18634640658790999</v>
      </c>
      <c r="BI53" s="50">
        <v>0.17943288762526791</v>
      </c>
      <c r="BJ53" s="50">
        <v>0.17236980430399698</v>
      </c>
      <c r="BK53" s="50">
        <v>0.16484036086040671</v>
      </c>
      <c r="BL53" s="50">
        <v>0.15796623257127915</v>
      </c>
    </row>
    <row r="54" spans="2:64" x14ac:dyDescent="0.35">
      <c r="B54" s="10" t="s">
        <v>294</v>
      </c>
      <c r="C54" t="s">
        <v>291</v>
      </c>
      <c r="D54" s="50">
        <v>2519.9565575373808</v>
      </c>
      <c r="E54" s="50">
        <v>2659.4860926475949</v>
      </c>
      <c r="F54" s="50">
        <v>2757.6030127995591</v>
      </c>
      <c r="G54" s="50">
        <v>2847.573039225395</v>
      </c>
      <c r="H54" s="50">
        <v>2725.6161551550372</v>
      </c>
      <c r="I54" s="50">
        <v>2813.8337178611105</v>
      </c>
      <c r="J54" s="50">
        <v>2826.0859206680966</v>
      </c>
      <c r="K54" s="50">
        <v>2732.1930435050358</v>
      </c>
      <c r="L54" s="50">
        <v>2792.1921973718781</v>
      </c>
      <c r="M54" s="50">
        <v>2944.2874457034563</v>
      </c>
      <c r="N54" s="50">
        <v>2922.4829407837447</v>
      </c>
      <c r="O54" s="50">
        <v>2986.8974577091049</v>
      </c>
      <c r="P54" s="50">
        <v>2984.8085614413958</v>
      </c>
      <c r="Q54" s="50">
        <v>3152.9626677903907</v>
      </c>
      <c r="R54" s="50">
        <v>3131.4872800634166</v>
      </c>
      <c r="S54" s="50">
        <v>3208.6354189567705</v>
      </c>
      <c r="T54" s="50">
        <v>3180.8810962824796</v>
      </c>
      <c r="U54" s="50">
        <v>3376.8667499328376</v>
      </c>
      <c r="V54" s="50">
        <v>3158.9914137622636</v>
      </c>
      <c r="W54" s="50">
        <v>3022.3787157649267</v>
      </c>
      <c r="X54" s="50">
        <v>3319.0049733416399</v>
      </c>
      <c r="Y54" s="50">
        <v>3294.4141985105807</v>
      </c>
      <c r="Z54" s="50">
        <v>3254.9237020985429</v>
      </c>
      <c r="AA54" s="50">
        <v>3319.3619782430392</v>
      </c>
      <c r="AB54" s="50">
        <v>3396.5353679654536</v>
      </c>
      <c r="AC54" s="50">
        <v>3509.692940089657</v>
      </c>
      <c r="AD54" s="50">
        <v>3213.6045926507077</v>
      </c>
      <c r="AE54" s="50">
        <v>3213.8824154864624</v>
      </c>
      <c r="AF54" s="50">
        <v>3085.4485327591519</v>
      </c>
      <c r="AG54" s="50">
        <v>3085.5223067679485</v>
      </c>
      <c r="AH54" s="50">
        <v>2863.6712337629397</v>
      </c>
      <c r="AI54" s="50">
        <v>3067.8368620937472</v>
      </c>
      <c r="AJ54" s="50">
        <v>2967.7371824271186</v>
      </c>
      <c r="AK54" s="50">
        <v>2936.2053523736913</v>
      </c>
      <c r="AL54" s="50">
        <v>2937.2946227475331</v>
      </c>
      <c r="AM54" s="50">
        <v>2938.524599225671</v>
      </c>
      <c r="AN54" s="50">
        <v>2939.7432714829411</v>
      </c>
      <c r="AO54" s="50">
        <v>2941.0374074563942</v>
      </c>
      <c r="AP54" s="50">
        <v>2942.2902098291006</v>
      </c>
      <c r="AQ54" s="50">
        <v>2943.5443329045265</v>
      </c>
      <c r="AR54" s="50">
        <v>2944.7487002360685</v>
      </c>
      <c r="AS54" s="50">
        <v>2945.9588804829336</v>
      </c>
      <c r="AT54" s="50">
        <v>2947.1465169308231</v>
      </c>
      <c r="AU54" s="50">
        <v>2948.3561197790359</v>
      </c>
      <c r="AV54" s="50">
        <v>2949.5909719164847</v>
      </c>
      <c r="AW54" s="50">
        <v>2950.9332505729662</v>
      </c>
      <c r="AX54" s="50">
        <v>2952.4419825981754</v>
      </c>
      <c r="AY54" s="50">
        <v>2953.976180150793</v>
      </c>
      <c r="AZ54" s="50">
        <v>2955.4715193236134</v>
      </c>
      <c r="BA54" s="50">
        <v>2956.8836297711832</v>
      </c>
      <c r="BB54" s="50">
        <v>2958.2776553446133</v>
      </c>
      <c r="BC54" s="50">
        <v>2959.5830225180621</v>
      </c>
      <c r="BD54" s="50">
        <v>2960.9429996231802</v>
      </c>
      <c r="BE54" s="50">
        <v>2962.4785041329178</v>
      </c>
      <c r="BF54" s="50">
        <v>2963.8227068400161</v>
      </c>
      <c r="BG54" s="50">
        <v>2965.2273557206508</v>
      </c>
      <c r="BH54" s="50">
        <v>2966.6287815106152</v>
      </c>
      <c r="BI54" s="50">
        <v>2967.5783170713862</v>
      </c>
      <c r="BJ54" s="50">
        <v>2968.4988923973715</v>
      </c>
      <c r="BK54" s="50">
        <v>2969.3899912369925</v>
      </c>
      <c r="BL54" s="50">
        <v>2970.2504557889929</v>
      </c>
    </row>
    <row r="55" spans="2:64" x14ac:dyDescent="0.35">
      <c r="C55" t="s">
        <v>292</v>
      </c>
      <c r="D55" s="50">
        <v>1.1040000000000001</v>
      </c>
      <c r="E55" s="50">
        <v>1.8859999999999999</v>
      </c>
      <c r="F55" s="50">
        <v>1.5985</v>
      </c>
      <c r="G55" s="50">
        <v>1.794</v>
      </c>
      <c r="H55" s="50">
        <v>2.2494000000000001</v>
      </c>
      <c r="I55" s="50">
        <v>3.1649932000000001</v>
      </c>
      <c r="J55" s="50">
        <v>4.2472927</v>
      </c>
      <c r="K55" s="50">
        <v>4.3812746000000002</v>
      </c>
      <c r="L55" s="50">
        <v>4.1248360999999996</v>
      </c>
      <c r="M55" s="50">
        <v>4.7440306000000003</v>
      </c>
      <c r="N55" s="50">
        <v>5.5445272000000001</v>
      </c>
      <c r="O55" s="50">
        <v>4.9043567000000001</v>
      </c>
      <c r="P55" s="50">
        <v>5.2471694000000006</v>
      </c>
      <c r="Q55" s="50">
        <v>2.2257490999999998</v>
      </c>
      <c r="R55" s="50">
        <v>2.5019607000000001</v>
      </c>
      <c r="S55" s="50">
        <v>0.78939449999999989</v>
      </c>
      <c r="T55" s="50">
        <v>0.92968300000000004</v>
      </c>
      <c r="U55" s="50">
        <v>0.9997663</v>
      </c>
      <c r="V55" s="50">
        <v>1.3117314</v>
      </c>
      <c r="W55" s="50">
        <v>1.8914280000000003</v>
      </c>
      <c r="X55" s="50">
        <v>1.9061802000000001</v>
      </c>
      <c r="Y55" s="50">
        <v>1.9159529</v>
      </c>
      <c r="Z55" s="50">
        <v>2.5473925999999998</v>
      </c>
      <c r="AA55" s="50">
        <v>3.2659701000000001</v>
      </c>
      <c r="AB55" s="50">
        <v>5.0592594000000002</v>
      </c>
      <c r="AC55" s="50">
        <v>4.2680433000000004</v>
      </c>
      <c r="AD55" s="50">
        <v>5.01110799875506</v>
      </c>
      <c r="AE55" s="50">
        <v>4.4807196999999999</v>
      </c>
      <c r="AF55" s="50">
        <v>3.6906674000000006</v>
      </c>
      <c r="AG55" s="50">
        <v>4.2892700000000001</v>
      </c>
      <c r="AH55" s="50">
        <v>3.8459956000000002</v>
      </c>
      <c r="AI55" s="50">
        <v>3.1382012340873802</v>
      </c>
      <c r="AJ55" s="50">
        <v>3.294464632839424</v>
      </c>
      <c r="AK55" s="50">
        <v>3.4678575082520253</v>
      </c>
      <c r="AL55" s="50">
        <v>3.4678575082520253</v>
      </c>
      <c r="AM55" s="50">
        <v>3.4678575082520253</v>
      </c>
      <c r="AN55" s="50">
        <v>3.4678575082520253</v>
      </c>
      <c r="AO55" s="50">
        <v>3.4678575082520253</v>
      </c>
      <c r="AP55" s="50">
        <v>3.4678575082520253</v>
      </c>
      <c r="AQ55" s="50">
        <v>3.4678575082520253</v>
      </c>
      <c r="AR55" s="50">
        <v>1.7339287541260127</v>
      </c>
      <c r="AS55" s="50">
        <v>1.7339287541260127</v>
      </c>
      <c r="AT55" s="50">
        <v>1.7339287541260127</v>
      </c>
      <c r="AU55" s="50">
        <v>1.7339287541260127</v>
      </c>
      <c r="AV55" s="50">
        <v>1.7339287541260127</v>
      </c>
      <c r="AW55" s="50">
        <v>1.7339287541260127</v>
      </c>
      <c r="AX55" s="50">
        <v>1.7339287541260127</v>
      </c>
      <c r="AY55" s="50">
        <v>1.7339287541260127</v>
      </c>
      <c r="AZ55" s="50">
        <v>1.7339287541260127</v>
      </c>
      <c r="BA55" s="50">
        <v>1.7339287541260127</v>
      </c>
      <c r="BB55" s="50">
        <v>0</v>
      </c>
      <c r="BC55" s="50">
        <v>0</v>
      </c>
      <c r="BD55" s="50">
        <v>0</v>
      </c>
      <c r="BE55" s="50">
        <v>0</v>
      </c>
      <c r="BF55" s="50">
        <v>0</v>
      </c>
      <c r="BG55" s="50">
        <v>0</v>
      </c>
      <c r="BH55" s="50">
        <v>0</v>
      </c>
      <c r="BI55" s="50">
        <v>0</v>
      </c>
      <c r="BJ55" s="50">
        <v>0</v>
      </c>
      <c r="BK55" s="50">
        <v>0</v>
      </c>
      <c r="BL55" s="50">
        <v>0</v>
      </c>
    </row>
    <row r="56" spans="2:64" x14ac:dyDescent="0.35">
      <c r="C56" t="s">
        <v>293</v>
      </c>
      <c r="D56" s="50">
        <v>0.34377660773997987</v>
      </c>
      <c r="E56" s="50">
        <v>0.32658777735298</v>
      </c>
      <c r="F56" s="50">
        <v>0.31025838848532999</v>
      </c>
      <c r="G56" s="50">
        <v>0.29474546906105997</v>
      </c>
      <c r="H56" s="50">
        <v>0.28000819560800999</v>
      </c>
      <c r="I56" s="50">
        <v>0.26600778582760998</v>
      </c>
      <c r="J56" s="50">
        <v>0.25270739653622998</v>
      </c>
      <c r="K56" s="50">
        <v>0.24007202670941999</v>
      </c>
      <c r="L56" s="50">
        <v>0.22806842537395</v>
      </c>
      <c r="M56" s="50">
        <v>0.21666500410525003</v>
      </c>
      <c r="N56" s="50">
        <v>0.20583175389999001</v>
      </c>
      <c r="O56" s="50">
        <v>0.19554016620499001</v>
      </c>
      <c r="P56" s="50">
        <v>0.18576315789473999</v>
      </c>
      <c r="Q56" s="50">
        <v>0.17499999999999999</v>
      </c>
      <c r="R56" s="50">
        <v>0.16250000000000001</v>
      </c>
      <c r="S56" s="50">
        <v>0.14949999999999999</v>
      </c>
      <c r="T56" s="50">
        <v>0.13650000000000001</v>
      </c>
      <c r="U56" s="50">
        <v>0.14785000000000001</v>
      </c>
      <c r="V56" s="50">
        <v>0.1767</v>
      </c>
      <c r="W56" s="50">
        <v>0.17805000000000001</v>
      </c>
      <c r="X56" s="50">
        <v>0.17924999999999999</v>
      </c>
      <c r="Y56" s="50">
        <v>0.1789</v>
      </c>
      <c r="Z56" s="50">
        <v>0.18140000000000001</v>
      </c>
      <c r="AA56" s="50">
        <v>0.19520000000000001</v>
      </c>
      <c r="AB56" s="50">
        <v>0.19520000000000001</v>
      </c>
      <c r="AC56" s="50">
        <v>0.2011</v>
      </c>
      <c r="AD56" s="50">
        <v>0.19739999999999999</v>
      </c>
      <c r="AE56" s="50">
        <v>0.20655000000000001</v>
      </c>
      <c r="AF56" s="50">
        <v>0.27334999999999998</v>
      </c>
      <c r="AG56" s="50">
        <v>0.27655000000000002</v>
      </c>
      <c r="AH56" s="50">
        <v>0.24790000000000001</v>
      </c>
      <c r="AI56" s="50">
        <v>0.28576046721849663</v>
      </c>
      <c r="AJ56" s="50">
        <v>0.29019186074526043</v>
      </c>
      <c r="AK56" s="50">
        <v>0.2988920843732179</v>
      </c>
      <c r="AL56" s="50">
        <v>0.30532265145717064</v>
      </c>
      <c r="AM56" s="50">
        <v>0.31258388470494086</v>
      </c>
      <c r="AN56" s="50">
        <v>0.319778382868041</v>
      </c>
      <c r="AO56" s="50">
        <v>0.32741838519703004</v>
      </c>
      <c r="AP56" s="50">
        <v>0.3348143723587963</v>
      </c>
      <c r="AQ56" s="50">
        <v>0.34221815636112363</v>
      </c>
      <c r="AR56" s="50">
        <v>0.34932820461469521</v>
      </c>
      <c r="AS56" s="50">
        <v>0.35647256973104569</v>
      </c>
      <c r="AT56" s="50">
        <v>0.36348384630011765</v>
      </c>
      <c r="AU56" s="50">
        <v>0.37062480271200415</v>
      </c>
      <c r="AV56" s="50">
        <v>0.3779148196805423</v>
      </c>
      <c r="AW56" s="50">
        <v>0.38583903496551231</v>
      </c>
      <c r="AX56" s="50">
        <v>0.39474591679467164</v>
      </c>
      <c r="AY56" s="50">
        <v>0.40380313575432247</v>
      </c>
      <c r="AZ56" s="50">
        <v>0.41263095214867712</v>
      </c>
      <c r="BA56" s="50">
        <v>0.4209674232224464</v>
      </c>
      <c r="BB56" s="50">
        <v>0.4291971292549972</v>
      </c>
      <c r="BC56" s="50">
        <v>0.43690343558594796</v>
      </c>
      <c r="BD56" s="50">
        <v>0.44493213462809356</v>
      </c>
      <c r="BE56" s="50">
        <v>0.45399706928040795</v>
      </c>
      <c r="BF56" s="50">
        <v>0.46193264330317413</v>
      </c>
      <c r="BG56" s="50">
        <v>0.47022506460943503</v>
      </c>
      <c r="BH56" s="50">
        <v>0.47849845822406306</v>
      </c>
      <c r="BI56" s="50">
        <v>0.4841040932149408</v>
      </c>
      <c r="BJ56" s="50">
        <v>0.48953875987966028</v>
      </c>
      <c r="BK56" s="50">
        <v>0.4947994104988504</v>
      </c>
      <c r="BL56" s="50">
        <v>0.49987920992962404</v>
      </c>
    </row>
    <row r="57" spans="2:64" x14ac:dyDescent="0.35">
      <c r="B57" s="10" t="s">
        <v>43</v>
      </c>
      <c r="C57" t="s">
        <v>291</v>
      </c>
      <c r="D57" s="50">
        <v>335.67906394986551</v>
      </c>
      <c r="E57" s="50">
        <v>371.90615144539862</v>
      </c>
      <c r="F57" s="50">
        <v>394.76661751230108</v>
      </c>
      <c r="G57" s="50">
        <v>442.64120143539054</v>
      </c>
      <c r="H57" s="50">
        <v>500.41393488597515</v>
      </c>
      <c r="I57" s="50">
        <v>582.37680129054763</v>
      </c>
      <c r="J57" s="50">
        <v>541.38352744044118</v>
      </c>
      <c r="K57" s="50">
        <v>568.00528006658749</v>
      </c>
      <c r="L57" s="50">
        <v>644.77509589686201</v>
      </c>
      <c r="M57" s="50">
        <v>743.18277005521338</v>
      </c>
      <c r="N57" s="50">
        <v>790.77977686270037</v>
      </c>
      <c r="O57" s="50">
        <v>901.74608397623422</v>
      </c>
      <c r="P57" s="50">
        <v>1033.9005688849297</v>
      </c>
      <c r="Q57" s="50">
        <v>1001.7259659101927</v>
      </c>
      <c r="R57" s="50">
        <v>1006.9082663458823</v>
      </c>
      <c r="S57" s="50">
        <v>1064.1014054721436</v>
      </c>
      <c r="T57" s="50">
        <v>929.82371529257409</v>
      </c>
      <c r="U57" s="50">
        <v>995.82021578551576</v>
      </c>
      <c r="V57" s="50">
        <v>942.63769463709173</v>
      </c>
      <c r="W57" s="50">
        <v>965.77074526788181</v>
      </c>
      <c r="X57" s="50">
        <v>961.19529071648606</v>
      </c>
      <c r="Y57" s="50">
        <v>1019.7067219571727</v>
      </c>
      <c r="Z57" s="50">
        <v>1056.7803060078841</v>
      </c>
      <c r="AA57" s="50">
        <v>965.93459048107616</v>
      </c>
      <c r="AB57" s="50">
        <v>998.76015646956523</v>
      </c>
      <c r="AC57" s="50">
        <v>1050.2374492579709</v>
      </c>
      <c r="AD57" s="50">
        <v>998.14629608115945</v>
      </c>
      <c r="AE57" s="50">
        <v>967.08786414964322</v>
      </c>
      <c r="AF57" s="50">
        <v>1016.1405826729523</v>
      </c>
      <c r="AG57" s="50">
        <v>1020.5033795478262</v>
      </c>
      <c r="AH57" s="50">
        <v>951.50682644057974</v>
      </c>
      <c r="AI57" s="50">
        <v>1024.7056539762423</v>
      </c>
      <c r="AJ57" s="50">
        <v>1021.8346734704432</v>
      </c>
      <c r="AK57" s="50">
        <v>1018.9886085397159</v>
      </c>
      <c r="AL57" s="50">
        <v>1016.3033533157014</v>
      </c>
      <c r="AM57" s="50">
        <v>1013.777497315897</v>
      </c>
      <c r="AN57" s="50">
        <v>1008.8433424784419</v>
      </c>
      <c r="AO57" s="50">
        <v>1004.3923660569934</v>
      </c>
      <c r="AP57" s="50">
        <v>993.35560602887392</v>
      </c>
      <c r="AQ57" s="50">
        <v>980.54828365557341</v>
      </c>
      <c r="AR57" s="50">
        <v>967.8742907662579</v>
      </c>
      <c r="AS57" s="50">
        <v>959.11743332617448</v>
      </c>
      <c r="AT57" s="50">
        <v>949.98530232886458</v>
      </c>
      <c r="AU57" s="50">
        <v>941.1949498578324</v>
      </c>
      <c r="AV57" s="50">
        <v>932.12727346047734</v>
      </c>
      <c r="AW57" s="50">
        <v>923.12492421425782</v>
      </c>
      <c r="AX57" s="50">
        <v>916.17670182010033</v>
      </c>
      <c r="AY57" s="50">
        <v>909.56881449145044</v>
      </c>
      <c r="AZ57" s="50">
        <v>903.28482240294682</v>
      </c>
      <c r="BA57" s="50">
        <v>896.83998919697251</v>
      </c>
      <c r="BB57" s="50">
        <v>890.31313959009935</v>
      </c>
      <c r="BC57" s="50">
        <v>888.57052052336098</v>
      </c>
      <c r="BD57" s="50">
        <v>886.97512647849499</v>
      </c>
      <c r="BE57" s="50">
        <v>885.2797067115165</v>
      </c>
      <c r="BF57" s="50">
        <v>883.55442671106323</v>
      </c>
      <c r="BG57" s="50">
        <v>882.56450598156607</v>
      </c>
      <c r="BH57" s="50">
        <v>881.05796564486275</v>
      </c>
      <c r="BI57" s="50">
        <v>879.11820615729914</v>
      </c>
      <c r="BJ57" s="50">
        <v>877.05284524703654</v>
      </c>
      <c r="BK57" s="50">
        <v>875.03083039325747</v>
      </c>
      <c r="BL57" s="50">
        <v>873.17939810784969</v>
      </c>
    </row>
    <row r="58" spans="2:64" x14ac:dyDescent="0.35">
      <c r="C58" t="s">
        <v>292</v>
      </c>
      <c r="D58" s="50">
        <v>1124.0323944711226</v>
      </c>
      <c r="E58" s="50">
        <v>1128.9729801915744</v>
      </c>
      <c r="F58" s="50">
        <v>1109.409858197685</v>
      </c>
      <c r="G58" s="50">
        <v>1114.153030123332</v>
      </c>
      <c r="H58" s="50">
        <v>1150.2557948244678</v>
      </c>
      <c r="I58" s="50">
        <v>1161.7941454379124</v>
      </c>
      <c r="J58" s="50">
        <v>1172.3073513050249</v>
      </c>
      <c r="K58" s="50">
        <v>1202.2978184512447</v>
      </c>
      <c r="L58" s="50">
        <v>1177.6460056346693</v>
      </c>
      <c r="M58" s="50">
        <v>1180.2957302601314</v>
      </c>
      <c r="N58" s="50">
        <v>1212.7593290552397</v>
      </c>
      <c r="O58" s="50">
        <v>1226.9104389816055</v>
      </c>
      <c r="P58" s="50">
        <v>1218.0231584301353</v>
      </c>
      <c r="Q58" s="50">
        <v>1234.3820870006064</v>
      </c>
      <c r="R58" s="50">
        <v>1235.0267222505195</v>
      </c>
      <c r="S58" s="50">
        <v>1244.0513706633783</v>
      </c>
      <c r="T58" s="50">
        <v>1251.4714353181407</v>
      </c>
      <c r="U58" s="50">
        <v>1219.2192171961103</v>
      </c>
      <c r="V58" s="50">
        <v>1174.4171331029038</v>
      </c>
      <c r="W58" s="50">
        <v>1180.8735542598756</v>
      </c>
      <c r="X58" s="50">
        <v>1182.080527686546</v>
      </c>
      <c r="Y58" s="50">
        <v>1198.506947382406</v>
      </c>
      <c r="Z58" s="50">
        <v>1226.5024960821286</v>
      </c>
      <c r="AA58" s="50">
        <v>1233.1197375786612</v>
      </c>
      <c r="AB58" s="50">
        <v>1245.505022944317</v>
      </c>
      <c r="AC58" s="50">
        <v>1226.5112558874318</v>
      </c>
      <c r="AD58" s="50">
        <v>1212.5347332470756</v>
      </c>
      <c r="AE58" s="50">
        <v>1213.6780109474446</v>
      </c>
      <c r="AF58" s="50">
        <v>1219.3143475064498</v>
      </c>
      <c r="AG58" s="50">
        <v>1224.2961396757501</v>
      </c>
      <c r="AH58" s="50">
        <v>1218.8801349496384</v>
      </c>
      <c r="AI58" s="50">
        <v>1193.0224827631187</v>
      </c>
      <c r="AJ58" s="50">
        <v>1174.1702901847543</v>
      </c>
      <c r="AK58" s="50">
        <v>1158.7639363981461</v>
      </c>
      <c r="AL58" s="50">
        <v>1144.4209672896709</v>
      </c>
      <c r="AM58" s="50">
        <v>1130.281103362609</v>
      </c>
      <c r="AN58" s="50">
        <v>1119.5019764036131</v>
      </c>
      <c r="AO58" s="50">
        <v>1109.4234178181177</v>
      </c>
      <c r="AP58" s="50">
        <v>1098.8522705709681</v>
      </c>
      <c r="AQ58" s="50">
        <v>1088.6766076526255</v>
      </c>
      <c r="AR58" s="50">
        <v>1078.7360187501538</v>
      </c>
      <c r="AS58" s="50">
        <v>1071.4684601355959</v>
      </c>
      <c r="AT58" s="50">
        <v>1063.775052735391</v>
      </c>
      <c r="AU58" s="50">
        <v>1056.7732671918823</v>
      </c>
      <c r="AV58" s="50">
        <v>1049.5289826153294</v>
      </c>
      <c r="AW58" s="50">
        <v>1042.4681051760558</v>
      </c>
      <c r="AX58" s="50">
        <v>1035.0491859760302</v>
      </c>
      <c r="AY58" s="50">
        <v>1028.1492271582631</v>
      </c>
      <c r="AZ58" s="50">
        <v>1021.9114589212228</v>
      </c>
      <c r="BA58" s="50">
        <v>1015.58170054919</v>
      </c>
      <c r="BB58" s="50">
        <v>1009.2455492769991</v>
      </c>
      <c r="BC58" s="50">
        <v>1004.8089092869473</v>
      </c>
      <c r="BD58" s="50">
        <v>1000.8151674660492</v>
      </c>
      <c r="BE58" s="50">
        <v>996.8001719075578</v>
      </c>
      <c r="BF58" s="50">
        <v>992.84445837064675</v>
      </c>
      <c r="BG58" s="50">
        <v>990.08514146974665</v>
      </c>
      <c r="BH58" s="50">
        <v>986.65949466044094</v>
      </c>
      <c r="BI58" s="50">
        <v>982.81210489884791</v>
      </c>
      <c r="BJ58" s="50">
        <v>978.87607173373431</v>
      </c>
      <c r="BK58" s="50">
        <v>975.13453081203352</v>
      </c>
      <c r="BL58" s="50">
        <v>971.86915971980648</v>
      </c>
    </row>
    <row r="59" spans="2:64" x14ac:dyDescent="0.35">
      <c r="C59" t="s">
        <v>293</v>
      </c>
      <c r="D59" s="50">
        <v>17.974479419170716</v>
      </c>
      <c r="E59" s="50">
        <v>18.208982689224438</v>
      </c>
      <c r="F59" s="50">
        <v>18.258265182885783</v>
      </c>
      <c r="G59" s="50">
        <v>18.993017117232782</v>
      </c>
      <c r="H59" s="50">
        <v>19.71996272306308</v>
      </c>
      <c r="I59" s="50">
        <v>20.494854622353913</v>
      </c>
      <c r="J59" s="50">
        <v>20.76909288124423</v>
      </c>
      <c r="K59" s="50">
        <v>21.032243016282543</v>
      </c>
      <c r="L59" s="50">
        <v>20.810908693045217</v>
      </c>
      <c r="M59" s="50">
        <v>20.864485546248325</v>
      </c>
      <c r="N59" s="50">
        <v>21.829240565334064</v>
      </c>
      <c r="O59" s="50">
        <v>23.055799754277373</v>
      </c>
      <c r="P59" s="50">
        <v>23.383971235989868</v>
      </c>
      <c r="Q59" s="50">
        <v>24.208552445737563</v>
      </c>
      <c r="R59" s="50">
        <v>24.619102817491001</v>
      </c>
      <c r="S59" s="50">
        <v>24.854074558973934</v>
      </c>
      <c r="T59" s="50">
        <v>24.197274326286305</v>
      </c>
      <c r="U59" s="50">
        <v>23.596625543540551</v>
      </c>
      <c r="V59" s="50">
        <v>23.587870087569605</v>
      </c>
      <c r="W59" s="50">
        <v>23.652177586381878</v>
      </c>
      <c r="X59" s="50">
        <v>24.155324683747807</v>
      </c>
      <c r="Y59" s="50">
        <v>24.76472865945918</v>
      </c>
      <c r="Z59" s="50">
        <v>25.114163804575355</v>
      </c>
      <c r="AA59" s="50">
        <v>25.210852858314524</v>
      </c>
      <c r="AB59" s="50">
        <v>26.12881233395608</v>
      </c>
      <c r="AC59" s="50">
        <v>25.848222092673527</v>
      </c>
      <c r="AD59" s="50">
        <v>25.944448293512139</v>
      </c>
      <c r="AE59" s="50">
        <v>26.08507570846265</v>
      </c>
      <c r="AF59" s="50">
        <v>26.4070049778426</v>
      </c>
      <c r="AG59" s="50">
        <v>26.478973656709112</v>
      </c>
      <c r="AH59" s="50">
        <v>26.852461895770688</v>
      </c>
      <c r="AI59" s="50">
        <v>26.073159596345093</v>
      </c>
      <c r="AJ59" s="50">
        <v>25.782804724591106</v>
      </c>
      <c r="AK59" s="50">
        <v>25.533787671996411</v>
      </c>
      <c r="AL59" s="50">
        <v>25.301384100341384</v>
      </c>
      <c r="AM59" s="50">
        <v>25.070215241066858</v>
      </c>
      <c r="AN59" s="50">
        <v>24.872767239079241</v>
      </c>
      <c r="AO59" s="50">
        <v>24.692332368064367</v>
      </c>
      <c r="AP59" s="50">
        <v>24.436636507503398</v>
      </c>
      <c r="AQ59" s="50">
        <v>24.171560330924272</v>
      </c>
      <c r="AR59" s="50">
        <v>23.911068364947099</v>
      </c>
      <c r="AS59" s="50">
        <v>23.649050291371172</v>
      </c>
      <c r="AT59" s="50">
        <v>23.376461429969293</v>
      </c>
      <c r="AU59" s="50">
        <v>23.118562537692942</v>
      </c>
      <c r="AV59" s="50">
        <v>22.854374966591063</v>
      </c>
      <c r="AW59" s="50">
        <v>22.594274037394971</v>
      </c>
      <c r="AX59" s="50">
        <v>22.352428602147512</v>
      </c>
      <c r="AY59" s="50">
        <v>22.122409936431382</v>
      </c>
      <c r="AZ59" s="50">
        <v>21.905583650304845</v>
      </c>
      <c r="BA59" s="50">
        <v>21.685085369916134</v>
      </c>
      <c r="BB59" s="50">
        <v>21.463947090736351</v>
      </c>
      <c r="BC59" s="50">
        <v>21.316802977537478</v>
      </c>
      <c r="BD59" s="50">
        <v>21.179054189628424</v>
      </c>
      <c r="BE59" s="50">
        <v>21.040050625205552</v>
      </c>
      <c r="BF59" s="50">
        <v>20.90302431069842</v>
      </c>
      <c r="BG59" s="50">
        <v>20.790833616490186</v>
      </c>
      <c r="BH59" s="50">
        <v>20.661314403330678</v>
      </c>
      <c r="BI59" s="50">
        <v>20.521567653040911</v>
      </c>
      <c r="BJ59" s="50">
        <v>20.380625502261669</v>
      </c>
      <c r="BK59" s="50">
        <v>20.24474472837996</v>
      </c>
      <c r="BL59" s="50">
        <v>20.119703399366362</v>
      </c>
    </row>
    <row r="60" spans="2:64" x14ac:dyDescent="0.35">
      <c r="B60" s="10" t="s">
        <v>44</v>
      </c>
      <c r="C60" t="s">
        <v>291</v>
      </c>
      <c r="D60" s="50">
        <v>158.91153335176486</v>
      </c>
      <c r="E60" s="50">
        <v>157.84269804433487</v>
      </c>
      <c r="F60" s="50">
        <v>156.15086181862185</v>
      </c>
      <c r="G60" s="50">
        <v>158.91997621842884</v>
      </c>
      <c r="H60" s="50">
        <v>137.63316223492487</v>
      </c>
      <c r="I60" s="50">
        <v>136.25791438122386</v>
      </c>
      <c r="J60" s="50">
        <v>131.03051961481086</v>
      </c>
      <c r="K60" s="50">
        <v>139.86940948429088</v>
      </c>
      <c r="L60" s="50">
        <v>148.51381935377188</v>
      </c>
      <c r="M60" s="50">
        <v>156.71778922325288</v>
      </c>
      <c r="N60" s="50">
        <v>149.72520220531686</v>
      </c>
      <c r="O60" s="50">
        <v>138.52126518738186</v>
      </c>
      <c r="P60" s="50">
        <v>131.59817616944687</v>
      </c>
      <c r="Q60" s="50">
        <v>123.41705949555485</v>
      </c>
      <c r="R60" s="50">
        <v>124.25222665061285</v>
      </c>
      <c r="S60" s="50">
        <v>119.46081042446386</v>
      </c>
      <c r="T60" s="50">
        <v>118.53337957942854</v>
      </c>
      <c r="U60" s="50">
        <v>114.87540625707396</v>
      </c>
      <c r="V60" s="50">
        <v>109.90963351185434</v>
      </c>
      <c r="W60" s="50">
        <v>107.65432130150933</v>
      </c>
      <c r="X60" s="50">
        <v>108.66302434272133</v>
      </c>
      <c r="Y60" s="50">
        <v>105.30612135168033</v>
      </c>
      <c r="Z60" s="50">
        <v>105.56505373488633</v>
      </c>
      <c r="AA60" s="50">
        <v>102.90891644192334</v>
      </c>
      <c r="AB60" s="50">
        <v>102.98225190491632</v>
      </c>
      <c r="AC60" s="50">
        <v>100.33785234521093</v>
      </c>
      <c r="AD60" s="50">
        <v>100.77986838161853</v>
      </c>
      <c r="AE60" s="50">
        <v>95.215403330625037</v>
      </c>
      <c r="AF60" s="50">
        <v>92.420990082961737</v>
      </c>
      <c r="AG60" s="50">
        <v>90.261880340591432</v>
      </c>
      <c r="AH60" s="50">
        <v>89.80009559783403</v>
      </c>
      <c r="AI60" s="50">
        <v>97.967181342533991</v>
      </c>
      <c r="AJ60" s="50">
        <v>95.579839569891632</v>
      </c>
      <c r="AK60" s="50">
        <v>93.245011314492274</v>
      </c>
      <c r="AL60" s="50">
        <v>90.959085391225997</v>
      </c>
      <c r="AM60" s="50">
        <v>88.718888022198001</v>
      </c>
      <c r="AN60" s="50">
        <v>86.521613174252707</v>
      </c>
      <c r="AO60" s="50">
        <v>84.364766360559898</v>
      </c>
      <c r="AP60" s="50">
        <v>82.246118885789286</v>
      </c>
      <c r="AQ60" s="50">
        <v>80.163670278451733</v>
      </c>
      <c r="AR60" s="50">
        <v>78.115617204506052</v>
      </c>
      <c r="AS60" s="50">
        <v>76.559406343312844</v>
      </c>
      <c r="AT60" s="50">
        <v>75.023535059304891</v>
      </c>
      <c r="AU60" s="50">
        <v>73.506902986750802</v>
      </c>
      <c r="AV60" s="50">
        <v>72.008506406573019</v>
      </c>
      <c r="AW60" s="50">
        <v>70.527426993145852</v>
      </c>
      <c r="AX60" s="50">
        <v>69.062822167526264</v>
      </c>
      <c r="AY60" s="50">
        <v>67.613916788304493</v>
      </c>
      <c r="AZ60" s="50">
        <v>66.179995962457255</v>
      </c>
      <c r="BA60" s="50">
        <v>64.760398798910828</v>
      </c>
      <c r="BB60" s="50">
        <v>63.354512959517315</v>
      </c>
      <c r="BC60" s="50">
        <v>62.060253654017025</v>
      </c>
      <c r="BD60" s="50">
        <v>60.780721816654641</v>
      </c>
      <c r="BE60" s="50">
        <v>59.515421918156399</v>
      </c>
      <c r="BF60" s="50">
        <v>58.263890831245355</v>
      </c>
      <c r="BG60" s="50">
        <v>57.025694958441498</v>
      </c>
      <c r="BH60" s="50">
        <v>55.800427675627546</v>
      </c>
      <c r="BI60" s="50">
        <v>54.587707050336199</v>
      </c>
      <c r="BJ60" s="50">
        <v>53.387173799831956</v>
      </c>
      <c r="BK60" s="50">
        <v>52.198489459153549</v>
      </c>
      <c r="BL60" s="50">
        <v>51.021334733542531</v>
      </c>
    </row>
    <row r="61" spans="2:64" x14ac:dyDescent="0.35">
      <c r="C61" t="s">
        <v>292</v>
      </c>
      <c r="D61" s="50">
        <v>146.83240038291498</v>
      </c>
      <c r="E61" s="50">
        <v>151.18774900965423</v>
      </c>
      <c r="F61" s="50">
        <v>155.30193074796165</v>
      </c>
      <c r="G61" s="50">
        <v>159.24702420150098</v>
      </c>
      <c r="H61" s="50">
        <v>155.57070050467266</v>
      </c>
      <c r="I61" s="50">
        <v>159.25152753281748</v>
      </c>
      <c r="J61" s="50">
        <v>162.95329485884318</v>
      </c>
      <c r="K61" s="50">
        <v>164.94866388248357</v>
      </c>
      <c r="L61" s="50">
        <v>164.37947477693319</v>
      </c>
      <c r="M61" s="50">
        <v>164.9487519389516</v>
      </c>
      <c r="N61" s="50">
        <v>166.22884836943823</v>
      </c>
      <c r="O61" s="50">
        <v>167.54257899359308</v>
      </c>
      <c r="P61" s="50">
        <v>168.50053054165949</v>
      </c>
      <c r="Q61" s="50">
        <v>165.06515594229609</v>
      </c>
      <c r="R61" s="50">
        <v>165.54501449290157</v>
      </c>
      <c r="S61" s="50">
        <v>165.31303279235962</v>
      </c>
      <c r="T61" s="50">
        <v>157.46010681098588</v>
      </c>
      <c r="U61" s="50">
        <v>156.08143928607927</v>
      </c>
      <c r="V61" s="50">
        <v>152.89949553304521</v>
      </c>
      <c r="W61" s="50">
        <v>147.66532001687833</v>
      </c>
      <c r="X61" s="50">
        <v>145.28393742183624</v>
      </c>
      <c r="Y61" s="50">
        <v>139.4552952544955</v>
      </c>
      <c r="Z61" s="50">
        <v>135.11062754515868</v>
      </c>
      <c r="AA61" s="50">
        <v>133.13241065264089</v>
      </c>
      <c r="AB61" s="50">
        <v>131.20971696888637</v>
      </c>
      <c r="AC61" s="50">
        <v>129.61670565159892</v>
      </c>
      <c r="AD61" s="50">
        <v>128.29942101540766</v>
      </c>
      <c r="AE61" s="50">
        <v>126.83037329321982</v>
      </c>
      <c r="AF61" s="50">
        <v>124.24261898370941</v>
      </c>
      <c r="AG61" s="50">
        <v>122.32184695064457</v>
      </c>
      <c r="AH61" s="50">
        <v>120.47725170171125</v>
      </c>
      <c r="AI61" s="50">
        <v>119.78258119360257</v>
      </c>
      <c r="AJ61" s="50">
        <v>118.52481016985786</v>
      </c>
      <c r="AK61" s="50">
        <v>115.0499707122613</v>
      </c>
      <c r="AL61" s="50">
        <v>111.56101397117246</v>
      </c>
      <c r="AM61" s="50">
        <v>108.03939952143178</v>
      </c>
      <c r="AN61" s="50">
        <v>104.46173411581528</v>
      </c>
      <c r="AO61" s="50">
        <v>100.87294965804263</v>
      </c>
      <c r="AP61" s="50">
        <v>97.289580853141857</v>
      </c>
      <c r="AQ61" s="50">
        <v>93.725397418553712</v>
      </c>
      <c r="AR61" s="50">
        <v>90.181933354921554</v>
      </c>
      <c r="AS61" s="50">
        <v>87.240438990454209</v>
      </c>
      <c r="AT61" s="50">
        <v>84.491900245005951</v>
      </c>
      <c r="AU61" s="50">
        <v>81.864119797301299</v>
      </c>
      <c r="AV61" s="50">
        <v>79.315784260820323</v>
      </c>
      <c r="AW61" s="50">
        <v>76.832789039947386</v>
      </c>
      <c r="AX61" s="50">
        <v>74.40069447840996</v>
      </c>
      <c r="AY61" s="50">
        <v>72.015481085790086</v>
      </c>
      <c r="AZ61" s="50">
        <v>69.675973980256174</v>
      </c>
      <c r="BA61" s="50">
        <v>67.375526746811261</v>
      </c>
      <c r="BB61" s="50">
        <v>65.118140902328136</v>
      </c>
      <c r="BC61" s="50">
        <v>63.276260686322118</v>
      </c>
      <c r="BD61" s="50">
        <v>61.470242334215712</v>
      </c>
      <c r="BE61" s="50">
        <v>59.699935659961305</v>
      </c>
      <c r="BF61" s="50">
        <v>57.962192657969702</v>
      </c>
      <c r="BG61" s="50">
        <v>56.260799905746246</v>
      </c>
      <c r="BH61" s="50">
        <v>54.590570717499034</v>
      </c>
      <c r="BI61" s="50">
        <v>52.949261452312925</v>
      </c>
      <c r="BJ61" s="50">
        <v>51.341283118104073</v>
      </c>
      <c r="BK61" s="50">
        <v>49.763845064562545</v>
      </c>
      <c r="BL61" s="50">
        <v>48.22505886183874</v>
      </c>
    </row>
    <row r="62" spans="2:64" x14ac:dyDescent="0.35">
      <c r="C62" t="s">
        <v>293</v>
      </c>
      <c r="D62" s="50">
        <v>0.38051443233678001</v>
      </c>
      <c r="E62" s="50">
        <v>0.38910666251156001</v>
      </c>
      <c r="F62" s="50">
        <v>0.39194349447019999</v>
      </c>
      <c r="G62" s="50">
        <v>0.39690611932356001</v>
      </c>
      <c r="H62" s="50">
        <v>0.38786150416613002</v>
      </c>
      <c r="I62" s="50">
        <v>0.39250936859375002</v>
      </c>
      <c r="J62" s="50">
        <v>0.39445525432688999</v>
      </c>
      <c r="K62" s="50">
        <v>0.40367657713198002</v>
      </c>
      <c r="L62" s="50">
        <v>0.41716092208700001</v>
      </c>
      <c r="M62" s="50">
        <v>0.42889339550025002</v>
      </c>
      <c r="N62" s="50">
        <v>0.43327831812097001</v>
      </c>
      <c r="O62" s="50">
        <v>0.43819658682992996</v>
      </c>
      <c r="P62" s="50">
        <v>0.41880379836026999</v>
      </c>
      <c r="Q62" s="50">
        <v>0.41934405023013999</v>
      </c>
      <c r="R62" s="50">
        <v>0.42315384330873002</v>
      </c>
      <c r="S62" s="50">
        <v>0.42285667032323998</v>
      </c>
      <c r="T62" s="50">
        <v>0.42525321736535998</v>
      </c>
      <c r="U62" s="50">
        <v>0.42634339362064999</v>
      </c>
      <c r="V62" s="50">
        <v>0.42634630393167999</v>
      </c>
      <c r="W62" s="50">
        <v>0.43075928763952998</v>
      </c>
      <c r="X62" s="50">
        <v>0.43929219073337</v>
      </c>
      <c r="Y62" s="50">
        <v>0.44618767611742</v>
      </c>
      <c r="Z62" s="50">
        <v>0.45401259371993002</v>
      </c>
      <c r="AA62" s="50">
        <v>0.46456826074410001</v>
      </c>
      <c r="AB62" s="50">
        <v>0.47869731474375005</v>
      </c>
      <c r="AC62" s="50">
        <v>0.49352953447419995</v>
      </c>
      <c r="AD62" s="50">
        <v>0.51145427377847996</v>
      </c>
      <c r="AE62" s="50">
        <v>0.52451953326306</v>
      </c>
      <c r="AF62" s="50">
        <v>0.53648152524124004</v>
      </c>
      <c r="AG62" s="50">
        <v>0.55165020438433998</v>
      </c>
      <c r="AH62" s="50">
        <v>0.56086822690097005</v>
      </c>
      <c r="AI62" s="50">
        <v>0.56723336997164475</v>
      </c>
      <c r="AJ62" s="50">
        <v>0.57676798115422212</v>
      </c>
      <c r="AK62" s="50">
        <v>0.58632433905745218</v>
      </c>
      <c r="AL62" s="50">
        <v>0.59566956901614243</v>
      </c>
      <c r="AM62" s="50">
        <v>0.60496864752063928</v>
      </c>
      <c r="AN62" s="50">
        <v>0.61404752253280215</v>
      </c>
      <c r="AO62" s="50">
        <v>0.62300354030050364</v>
      </c>
      <c r="AP62" s="50">
        <v>0.63179535613608406</v>
      </c>
      <c r="AQ62" s="50">
        <v>0.64036327214182909</v>
      </c>
      <c r="AR62" s="50">
        <v>0.64870917121466465</v>
      </c>
      <c r="AS62" s="50">
        <v>0.65348167865003381</v>
      </c>
      <c r="AT62" s="50">
        <v>0.65807275208532889</v>
      </c>
      <c r="AU62" s="50">
        <v>0.66243883785380331</v>
      </c>
      <c r="AV62" s="50">
        <v>0.6665730054248088</v>
      </c>
      <c r="AW62" s="50">
        <v>0.67050079260254714</v>
      </c>
      <c r="AX62" s="50">
        <v>0.67433982106560786</v>
      </c>
      <c r="AY62" s="50">
        <v>0.67811321807729641</v>
      </c>
      <c r="AZ62" s="50">
        <v>0.68183410531130784</v>
      </c>
      <c r="BA62" s="50">
        <v>0.68549997697253806</v>
      </c>
      <c r="BB62" s="50">
        <v>0.6891153417291328</v>
      </c>
      <c r="BC62" s="50">
        <v>0.6923714040822132</v>
      </c>
      <c r="BD62" s="50">
        <v>0.69557709847718685</v>
      </c>
      <c r="BE62" s="50">
        <v>0.6987410220050676</v>
      </c>
      <c r="BF62" s="50">
        <v>0.70185146128303488</v>
      </c>
      <c r="BG62" s="50">
        <v>0.70491717354722061</v>
      </c>
      <c r="BH62" s="50">
        <v>0.70792915556860514</v>
      </c>
      <c r="BI62" s="50">
        <v>0.71087421857431221</v>
      </c>
      <c r="BJ62" s="50">
        <v>0.71379190956722427</v>
      </c>
      <c r="BK62" s="50">
        <v>0.71664781855164905</v>
      </c>
      <c r="BL62" s="50">
        <v>0.71947815238018409</v>
      </c>
    </row>
    <row r="63" spans="2:64" x14ac:dyDescent="0.35">
      <c r="B63" s="10" t="s">
        <v>295</v>
      </c>
      <c r="C63" t="s">
        <v>296</v>
      </c>
      <c r="D63" s="50">
        <v>929.92214799999999</v>
      </c>
      <c r="E63" s="50">
        <v>924.65187199999991</v>
      </c>
      <c r="F63" s="50">
        <v>484.07010000000002</v>
      </c>
      <c r="G63" s="50">
        <v>233.207055</v>
      </c>
      <c r="H63" s="50">
        <v>217.51035028647948</v>
      </c>
      <c r="I63" s="50">
        <v>202.20309806580977</v>
      </c>
      <c r="J63" s="50">
        <v>357.9741063061561</v>
      </c>
      <c r="K63" s="50">
        <v>340.09044180247832</v>
      </c>
      <c r="L63" s="50">
        <v>273.73523719662614</v>
      </c>
      <c r="M63" s="50">
        <v>285.48593529563186</v>
      </c>
      <c r="N63" s="50">
        <v>320.78752337609922</v>
      </c>
      <c r="O63" s="50">
        <v>390.70367253936473</v>
      </c>
      <c r="P63" s="50">
        <v>509.11067924658619</v>
      </c>
      <c r="Q63" s="50">
        <v>655.77862267381875</v>
      </c>
      <c r="R63" s="50">
        <v>710.53597295586712</v>
      </c>
      <c r="S63" s="50">
        <v>788.72714877751685</v>
      </c>
      <c r="T63" s="50">
        <v>926.37636069395774</v>
      </c>
      <c r="U63" s="50">
        <v>985.26985465396876</v>
      </c>
      <c r="V63" s="50">
        <v>1077.998628001684</v>
      </c>
      <c r="W63" s="50">
        <v>1151.8680006789793</v>
      </c>
      <c r="X63" s="50">
        <v>1171.0565657742036</v>
      </c>
      <c r="Y63" s="50">
        <v>1231.7613266024246</v>
      </c>
      <c r="Z63" s="50">
        <v>1330.5241567734602</v>
      </c>
      <c r="AA63" s="50">
        <v>1377.1653247860399</v>
      </c>
      <c r="AB63" s="50">
        <v>1425.7947377335977</v>
      </c>
      <c r="AC63" s="50">
        <v>1461.0016081399463</v>
      </c>
      <c r="AD63" s="50">
        <v>1485.3652731690643</v>
      </c>
      <c r="AE63" s="50">
        <v>1540.9876222988848</v>
      </c>
      <c r="AF63" s="50">
        <v>1565.9002562713001</v>
      </c>
      <c r="AG63" s="50">
        <v>1585.879935050873</v>
      </c>
      <c r="AH63" s="50">
        <v>1584.6584758367771</v>
      </c>
      <c r="AI63" s="50">
        <v>1602.6414875307321</v>
      </c>
      <c r="AJ63" s="50">
        <v>1630.669053175923</v>
      </c>
      <c r="AK63" s="50">
        <v>1571.368738163377</v>
      </c>
      <c r="AL63" s="50">
        <v>1606.0923282349156</v>
      </c>
      <c r="AM63" s="50">
        <v>1576.6330239079521</v>
      </c>
      <c r="AN63" s="50">
        <v>1565.6918586114273</v>
      </c>
      <c r="AO63" s="50">
        <v>1521.7953064951453</v>
      </c>
      <c r="AP63" s="50">
        <v>1483.6258225018876</v>
      </c>
      <c r="AQ63" s="50">
        <v>1465.163730404749</v>
      </c>
      <c r="AR63" s="50">
        <v>1280.0520263959086</v>
      </c>
      <c r="AS63" s="50">
        <v>1243.5330020903618</v>
      </c>
      <c r="AT63" s="50">
        <v>1209.3828217756345</v>
      </c>
      <c r="AU63" s="50">
        <v>1165.8520849303061</v>
      </c>
      <c r="AV63" s="50">
        <v>1129.0775336898162</v>
      </c>
      <c r="AW63" s="50">
        <v>1124.657608950419</v>
      </c>
      <c r="AX63" s="50">
        <v>1088.867621117362</v>
      </c>
      <c r="AY63" s="50">
        <v>1068.7992477383025</v>
      </c>
      <c r="AZ63" s="50">
        <v>1050.5642935082608</v>
      </c>
      <c r="BA63" s="50">
        <v>1034.2791217409351</v>
      </c>
      <c r="BB63" s="50">
        <v>1007.1399697694216</v>
      </c>
      <c r="BC63" s="50">
        <v>996.46508794359397</v>
      </c>
      <c r="BD63" s="50">
        <v>988.23518750858875</v>
      </c>
      <c r="BE63" s="50">
        <v>984.54175169645782</v>
      </c>
      <c r="BF63" s="50">
        <v>983.31123006937787</v>
      </c>
      <c r="BG63" s="50">
        <v>984.39143158928277</v>
      </c>
      <c r="BH63" s="50">
        <v>988.34114572960277</v>
      </c>
      <c r="BI63" s="50">
        <v>995.09059623702979</v>
      </c>
      <c r="BJ63" s="50">
        <v>1003.6118574398358</v>
      </c>
      <c r="BK63" s="50">
        <v>1013.1525412564018</v>
      </c>
      <c r="BL63" s="50">
        <v>1025.2581700820701</v>
      </c>
    </row>
    <row r="64" spans="2:64" x14ac:dyDescent="0.35">
      <c r="B64" s="10" t="s">
        <v>297</v>
      </c>
      <c r="C64" t="s">
        <v>291</v>
      </c>
      <c r="D64" s="50">
        <v>25501.03012829995</v>
      </c>
      <c r="E64" s="50">
        <v>26181.134371891596</v>
      </c>
      <c r="F64" s="50">
        <v>28165.425149143382</v>
      </c>
      <c r="G64" s="50">
        <v>27759.35983996456</v>
      </c>
      <c r="H64" s="50">
        <v>27898.307382731935</v>
      </c>
      <c r="I64" s="50">
        <v>28001.677197127421</v>
      </c>
      <c r="J64" s="50">
        <v>29302.840381859474</v>
      </c>
      <c r="K64" s="50">
        <v>31277.228395215941</v>
      </c>
      <c r="L64" s="50">
        <v>29856.618240044125</v>
      </c>
      <c r="M64" s="50">
        <v>31463.477367915686</v>
      </c>
      <c r="N64" s="50">
        <v>32243.956064900231</v>
      </c>
      <c r="O64" s="50">
        <v>34377.167200122531</v>
      </c>
      <c r="P64" s="50">
        <v>34540.392057992343</v>
      </c>
      <c r="Q64" s="50">
        <v>36239.433483717497</v>
      </c>
      <c r="R64" s="50">
        <v>35833.565754087518</v>
      </c>
      <c r="S64" s="50">
        <v>37420.488362374112</v>
      </c>
      <c r="T64" s="50">
        <v>37326.777368250514</v>
      </c>
      <c r="U64" s="50">
        <v>36407.362662100502</v>
      </c>
      <c r="V64" s="50">
        <v>37506.116079398111</v>
      </c>
      <c r="W64" s="50">
        <v>34617.502200513853</v>
      </c>
      <c r="X64" s="50">
        <v>34807.477210901685</v>
      </c>
      <c r="Y64" s="50">
        <v>34262.086561655058</v>
      </c>
      <c r="Z64" s="50">
        <v>35941.297667208317</v>
      </c>
      <c r="AA64" s="50">
        <v>35238.242644432357</v>
      </c>
      <c r="AB64" s="50">
        <v>35436.463457001279</v>
      </c>
      <c r="AC64" s="50">
        <v>35810.547028604844</v>
      </c>
      <c r="AD64" s="50">
        <v>34150.284804311566</v>
      </c>
      <c r="AE64" s="50">
        <v>35685.814905589788</v>
      </c>
      <c r="AF64" s="50">
        <v>35702.125080359547</v>
      </c>
      <c r="AG64" s="50">
        <v>37117.824320977859</v>
      </c>
      <c r="AH64" s="50">
        <v>34453.317517392126</v>
      </c>
      <c r="AI64" s="50">
        <v>36082.446718529471</v>
      </c>
      <c r="AJ64" s="50">
        <v>35341.7756176322</v>
      </c>
      <c r="AK64" s="50">
        <v>34517.208530384567</v>
      </c>
      <c r="AL64" s="50">
        <v>33441.319098050124</v>
      </c>
      <c r="AM64" s="50">
        <v>32339.488144185867</v>
      </c>
      <c r="AN64" s="50">
        <v>31798.901899411063</v>
      </c>
      <c r="AO64" s="50">
        <v>31158.817544932241</v>
      </c>
      <c r="AP64" s="50">
        <v>30459.002914830326</v>
      </c>
      <c r="AQ64" s="50">
        <v>29672.483844404927</v>
      </c>
      <c r="AR64" s="50">
        <v>28019.494619184221</v>
      </c>
      <c r="AS64" s="50">
        <v>26878.595816374171</v>
      </c>
      <c r="AT64" s="50">
        <v>25697.272422555925</v>
      </c>
      <c r="AU64" s="50">
        <v>24592.515978824285</v>
      </c>
      <c r="AV64" s="50">
        <v>23488.364522426615</v>
      </c>
      <c r="AW64" s="50">
        <v>22254.960345060037</v>
      </c>
      <c r="AX64" s="50">
        <v>21013.713567186471</v>
      </c>
      <c r="AY64" s="50">
        <v>19758.823860570752</v>
      </c>
      <c r="AZ64" s="50">
        <v>18628.857317964677</v>
      </c>
      <c r="BA64" s="50">
        <v>17616.250921849311</v>
      </c>
      <c r="BB64" s="50">
        <v>15877.699224761143</v>
      </c>
      <c r="BC64" s="50">
        <v>15023.62809408483</v>
      </c>
      <c r="BD64" s="50">
        <v>14102.838002158733</v>
      </c>
      <c r="BE64" s="50">
        <v>13251.818137480483</v>
      </c>
      <c r="BF64" s="50">
        <v>12420.863620969165</v>
      </c>
      <c r="BG64" s="50">
        <v>11613.05604076529</v>
      </c>
      <c r="BH64" s="50">
        <v>10944.980956328955</v>
      </c>
      <c r="BI64" s="50">
        <v>10363.843724966113</v>
      </c>
      <c r="BJ64" s="50">
        <v>9773.3746798315806</v>
      </c>
      <c r="BK64" s="50">
        <v>9152.7749352915198</v>
      </c>
      <c r="BL64" s="50">
        <v>8607.965366042461</v>
      </c>
    </row>
    <row r="65" spans="3:64" x14ac:dyDescent="0.35">
      <c r="C65" t="s">
        <v>292</v>
      </c>
      <c r="D65" s="50">
        <v>1318.8288975581183</v>
      </c>
      <c r="E65" s="50">
        <v>1328.2490677582796</v>
      </c>
      <c r="F65" s="50">
        <v>1311.6813314273531</v>
      </c>
      <c r="G65" s="50">
        <v>1323.6007178460275</v>
      </c>
      <c r="H65" s="50">
        <v>1359.5880879039071</v>
      </c>
      <c r="I65" s="50">
        <v>1369.4199401945921</v>
      </c>
      <c r="J65" s="50">
        <v>1395.1787688958864</v>
      </c>
      <c r="K65" s="50">
        <v>1426.9749555992635</v>
      </c>
      <c r="L65" s="50">
        <v>1400.876022881135</v>
      </c>
      <c r="M65" s="50">
        <v>1405.0427742222244</v>
      </c>
      <c r="N65" s="50">
        <v>1437.9856667890772</v>
      </c>
      <c r="O65" s="50">
        <v>1454.7449982570854</v>
      </c>
      <c r="P65" s="50">
        <v>1443.114159677878</v>
      </c>
      <c r="Q65" s="50">
        <v>1446.3476338290409</v>
      </c>
      <c r="R65" s="50">
        <v>1448.5270487264456</v>
      </c>
      <c r="S65" s="50">
        <v>1460.8400847354351</v>
      </c>
      <c r="T65" s="50">
        <v>1473.9298780793547</v>
      </c>
      <c r="U65" s="50">
        <v>1431.7003877858899</v>
      </c>
      <c r="V65" s="50">
        <v>1374.70888140496</v>
      </c>
      <c r="W65" s="50">
        <v>1380.8132716106577</v>
      </c>
      <c r="X65" s="50">
        <v>1390.5015831253495</v>
      </c>
      <c r="Y65" s="50">
        <v>1397.2369857004178</v>
      </c>
      <c r="Z65" s="50">
        <v>1409.4519662887351</v>
      </c>
      <c r="AA65" s="50">
        <v>1407.4089449915582</v>
      </c>
      <c r="AB65" s="50">
        <v>1419.3829412674022</v>
      </c>
      <c r="AC65" s="50">
        <v>1399.5022123063034</v>
      </c>
      <c r="AD65" s="50">
        <v>1381.4803892154418</v>
      </c>
      <c r="AE65" s="50">
        <v>1376.5751847298511</v>
      </c>
      <c r="AF65" s="50">
        <v>1377.7743429297698</v>
      </c>
      <c r="AG65" s="50">
        <v>1380.3579602829063</v>
      </c>
      <c r="AH65" s="50">
        <v>1370.8586827042357</v>
      </c>
      <c r="AI65" s="50">
        <v>1344.8598216270061</v>
      </c>
      <c r="AJ65" s="50">
        <v>1325.1984602125253</v>
      </c>
      <c r="AK65" s="50">
        <v>1306.7539878244183</v>
      </c>
      <c r="AL65" s="50">
        <v>1288.813384300003</v>
      </c>
      <c r="AM65" s="50">
        <v>1270.6431501023148</v>
      </c>
      <c r="AN65" s="50">
        <v>1256.0342047905469</v>
      </c>
      <c r="AO65" s="50">
        <v>1242.0476141964457</v>
      </c>
      <c r="AP65" s="50">
        <v>1227.5734811156399</v>
      </c>
      <c r="AQ65" s="50">
        <v>1213.505406856995</v>
      </c>
      <c r="AR65" s="50">
        <v>1196.8859290923394</v>
      </c>
      <c r="AS65" s="50">
        <v>1186.2330798467301</v>
      </c>
      <c r="AT65" s="50">
        <v>1175.3338127974159</v>
      </c>
      <c r="AU65" s="50">
        <v>1165.3065171503088</v>
      </c>
      <c r="AV65" s="50">
        <v>1155.116303530004</v>
      </c>
      <c r="AW65" s="50">
        <v>1145.1545835197248</v>
      </c>
      <c r="AX65" s="50">
        <v>1134.7943666721574</v>
      </c>
      <c r="AY65" s="50">
        <v>1124.9934711139097</v>
      </c>
      <c r="AZ65" s="50">
        <v>1115.9114683050861</v>
      </c>
      <c r="BA65" s="50">
        <v>1106.7961162684146</v>
      </c>
      <c r="BB65" s="50">
        <v>1094.9266728550706</v>
      </c>
      <c r="BC65" s="50">
        <v>1088.1798789810796</v>
      </c>
      <c r="BD65" s="50">
        <v>1081.8276872406625</v>
      </c>
      <c r="BE65" s="50">
        <v>1075.4659398370904</v>
      </c>
      <c r="BF65" s="50">
        <v>1069.1060856490935</v>
      </c>
      <c r="BG65" s="50">
        <v>1064.0870013512824</v>
      </c>
      <c r="BH65" s="50">
        <v>1058.4548629634307</v>
      </c>
      <c r="BI65" s="50">
        <v>1052.537972998919</v>
      </c>
      <c r="BJ65" s="50">
        <v>1046.54682977892</v>
      </c>
      <c r="BK65" s="50">
        <v>1040.6350298501698</v>
      </c>
      <c r="BL65" s="50">
        <v>1035.3241564014359</v>
      </c>
    </row>
    <row r="66" spans="3:64" x14ac:dyDescent="0.35">
      <c r="C66" t="s">
        <v>293</v>
      </c>
      <c r="D66" s="50">
        <v>19.435905159773778</v>
      </c>
      <c r="E66" s="50">
        <v>19.664498818274456</v>
      </c>
      <c r="F66" s="50">
        <v>19.755788107974723</v>
      </c>
      <c r="G66" s="50">
        <v>20.496846499349211</v>
      </c>
      <c r="H66" s="50">
        <v>21.25631863450559</v>
      </c>
      <c r="I66" s="50">
        <v>22.046693317613492</v>
      </c>
      <c r="J66" s="50">
        <v>22.307759164457948</v>
      </c>
      <c r="K66" s="50">
        <v>22.59208014489332</v>
      </c>
      <c r="L66" s="50">
        <v>22.369848891122246</v>
      </c>
      <c r="M66" s="50">
        <v>22.473502688319076</v>
      </c>
      <c r="N66" s="50">
        <v>23.478684314600855</v>
      </c>
      <c r="O66" s="50">
        <v>24.708785579511741</v>
      </c>
      <c r="P66" s="50">
        <v>25.045301855249729</v>
      </c>
      <c r="Q66" s="50">
        <v>25.926977176476115</v>
      </c>
      <c r="R66" s="50">
        <v>26.37342914330571</v>
      </c>
      <c r="S66" s="50">
        <v>26.611548135302737</v>
      </c>
      <c r="T66" s="50">
        <v>25.925276289831405</v>
      </c>
      <c r="U66" s="50">
        <v>25.2918102417973</v>
      </c>
      <c r="V66" s="50">
        <v>25.291922074710534</v>
      </c>
      <c r="W66" s="50">
        <v>25.300545015893018</v>
      </c>
      <c r="X66" s="50">
        <v>25.769921895136864</v>
      </c>
      <c r="Y66" s="50">
        <v>26.374391554453133</v>
      </c>
      <c r="Z66" s="50">
        <v>26.740210498088224</v>
      </c>
      <c r="AA66" s="50">
        <v>26.846629363461947</v>
      </c>
      <c r="AB66" s="50">
        <v>27.742223731070013</v>
      </c>
      <c r="AC66" s="50">
        <v>27.471206658333955</v>
      </c>
      <c r="AD66" s="50">
        <v>27.565690694032838</v>
      </c>
      <c r="AE66" s="50">
        <v>27.665124869470571</v>
      </c>
      <c r="AF66" s="50">
        <v>28.063519969326819</v>
      </c>
      <c r="AG66" s="50">
        <v>28.185772039120344</v>
      </c>
      <c r="AH66" s="50">
        <v>28.401675728399365</v>
      </c>
      <c r="AI66" s="50">
        <v>27.677563126419496</v>
      </c>
      <c r="AJ66" s="50">
        <v>27.398513495718351</v>
      </c>
      <c r="AK66" s="50">
        <v>27.159043989887582</v>
      </c>
      <c r="AL66" s="50">
        <v>26.925917705938954</v>
      </c>
      <c r="AM66" s="50">
        <v>26.694207187846064</v>
      </c>
      <c r="AN66" s="50">
        <v>26.506976806676931</v>
      </c>
      <c r="AO66" s="50">
        <v>26.335131819281855</v>
      </c>
      <c r="AP66" s="50">
        <v>26.086258982714732</v>
      </c>
      <c r="AQ66" s="50">
        <v>25.826733423731437</v>
      </c>
      <c r="AR66" s="50">
        <v>25.529418674549234</v>
      </c>
      <c r="AS66" s="50">
        <v>25.261814013764038</v>
      </c>
      <c r="AT66" s="50">
        <v>24.982018442708409</v>
      </c>
      <c r="AU66" s="50">
        <v>24.718752224491357</v>
      </c>
      <c r="AV66" s="50">
        <v>24.449135070602761</v>
      </c>
      <c r="AW66" s="50">
        <v>24.181317298551807</v>
      </c>
      <c r="AX66" s="50">
        <v>23.929946351839096</v>
      </c>
      <c r="AY66" s="50">
        <v>23.690108728315248</v>
      </c>
      <c r="AZ66" s="50">
        <v>23.465508386515168</v>
      </c>
      <c r="BA66" s="50">
        <v>23.238765470287255</v>
      </c>
      <c r="BB66" s="50">
        <v>22.971861639362686</v>
      </c>
      <c r="BC66" s="50">
        <v>22.819777303474122</v>
      </c>
      <c r="BD66" s="50">
        <v>22.675240958884917</v>
      </c>
      <c r="BE66" s="50">
        <v>22.532115098805019</v>
      </c>
      <c r="BF66" s="50">
        <v>22.391257601207954</v>
      </c>
      <c r="BG66" s="50">
        <v>22.275556237687216</v>
      </c>
      <c r="BH66" s="50">
        <v>22.145009569600063</v>
      </c>
      <c r="BI66" s="50">
        <v>22.002784783784954</v>
      </c>
      <c r="BJ66" s="50">
        <v>21.858927665844483</v>
      </c>
      <c r="BK66" s="50">
        <v>21.719152169648101</v>
      </c>
      <c r="BL66" s="50">
        <v>21.591055078015607</v>
      </c>
    </row>
    <row r="67" spans="3:64" x14ac:dyDescent="0.35">
      <c r="AL67" s="51"/>
    </row>
  </sheetData>
  <pageMargins left="0.7" right="0.7" top="0.75" bottom="0.75" header="0.3" footer="0.3"/>
  <pageSetup orientation="portrait" r:id="rId1"/>
  <headerFooter>
    <oddHeader>&amp;C&amp;"Calibri"&amp;10&amp;K000000[STAFF IN-CONFIDENCE]&amp;1#</oddHeader>
    <oddFooter>&amp;C&amp;1#&amp;"Calibri"&amp;10&amp;K000000[STAFF IN-CONFIDENCE]</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Metadata xmlns="b30672e7-690a-4c93-a50a-a028bc8f475d" xsi:nil="true"/>
    <Channel xmlns="b30672e7-690a-4c93-a50a-a028bc8f475d" xsi:nil="true"/>
    <OTModifiedBy xmlns="b30672e7-690a-4c93-a50a-a028bc8f475d" xsi:nil="true"/>
    <Activity xmlns="70761194-623b-4751-a0da-29ad6551f95e">Advice</Activity>
    <Function xmlns="70761194-623b-4751-a0da-29ad6551f95e">Programmes and Projects</Function>
    <PraText1 xmlns="a9df0e0e-9b5b-47bc-81c1-d190dfb54f87" xsi:nil="true"/>
    <Year xmlns="70761194-623b-4751-a0da-29ad6551f95e" xsi:nil="true"/>
    <CategoryName xmlns="70761194-623b-4751-a0da-29ad6551f95e">Final publications</CategoryNam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Report</Subactivity>
    <PraDateDisposal xmlns="a9df0e0e-9b5b-47bc-81c1-d190dfb54f87" xsi:nil="true"/>
    <PraDate2 xmlns="a9df0e0e-9b5b-47bc-81c1-d190dfb54f87" xsi:nil="true"/>
    <PraText3 xmlns="a9df0e0e-9b5b-47bc-81c1-d190dfb54f87" xsi:nil="true"/>
    <DocumentType xmlns="02bffcbe-7cf8-467d-a91b-a3e0dbcae01e" xsi:nil="true"/>
    <AggregationNarrative xmlns="70761194-623b-4751-a0da-29ad6551f95e" xsi:nil="true"/>
    <Case xmlns="70761194-623b-4751-a0da-29ad6551f95e">ETS Unit and Price Settings 2022</Case>
    <OTDocID xmlns="b30672e7-690a-4c93-a50a-a028bc8f475d" xsi:nil="true"/>
    <OTCreatedBy xmlns="b30672e7-690a-4c93-a50a-a028bc8f475d" xsi:nil="true"/>
    <PraDate1 xmlns="a9df0e0e-9b5b-47bc-81c1-d190dfb54f87" xsi:nil="true"/>
    <PraText2 xmlns="a9df0e0e-9b5b-47bc-81c1-d190dfb54f87" xsi:nil="true"/>
    <_dlc_DocId xmlns="e963e69f-3f58-4e6f-b74a-87e86ca2e125">ZRPJAS3TEE2M-297491816-304</_dlc_DocId>
    <_dlc_DocIdUrl xmlns="e963e69f-3f58-4e6f-b74a-87e86ca2e125">
      <Url>https://climatechangegovt.sharepoint.com/sites/ETSUnitPrice22/_layouts/15/DocIdRedir.aspx?ID=ZRPJAS3TEE2M-297491816-304</Url>
      <Description>ZRPJAS3TEE2M-297491816-304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Document" ma:contentTypeID="0x010100EDD070CD8C3B1241AF2B72868218A723" ma:contentTypeVersion="70" ma:contentTypeDescription="Create a new document." ma:contentTypeScope="" ma:versionID="02fe16af453207bf1f719a17fa65de4b">
  <xsd:schema xmlns:xsd="http://www.w3.org/2001/XMLSchema" xmlns:xs="http://www.w3.org/2001/XMLSchema" xmlns:p="http://schemas.microsoft.com/office/2006/metadata/properties" xmlns:ns2="e963e69f-3f58-4e6f-b74a-87e86ca2e125" xmlns:ns3="02bffcbe-7cf8-467d-a91b-a3e0dbcae01e" xmlns:ns4="a9df0e0e-9b5b-47bc-81c1-d190dfb54f87" xmlns:ns5="b30672e7-690a-4c93-a50a-a028bc8f475d" xmlns:ns6="70761194-623b-4751-a0da-29ad6551f95e" xmlns:ns7="987bcd1d-e1f1-4f53-92ab-ce8c6eb15727" targetNamespace="http://schemas.microsoft.com/office/2006/metadata/properties" ma:root="true" ma:fieldsID="3b026c326cf7187123a1f684b46f5db5" ns2:_="" ns3:_="" ns4:_="" ns5:_="" ns6:_="" ns7:_="">
    <xsd:import namespace="e963e69f-3f58-4e6f-b74a-87e86ca2e125"/>
    <xsd:import namespace="02bffcbe-7cf8-467d-a91b-a3e0dbcae01e"/>
    <xsd:import namespace="a9df0e0e-9b5b-47bc-81c1-d190dfb54f87"/>
    <xsd:import namespace="b30672e7-690a-4c93-a50a-a028bc8f475d"/>
    <xsd:import namespace="70761194-623b-4751-a0da-29ad6551f95e"/>
    <xsd:import namespace="987bcd1d-e1f1-4f53-92ab-ce8c6eb15727"/>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Narrative" minOccurs="0"/>
                <xsd:element ref="ns5:OTDocID" minOccurs="0"/>
                <xsd:element ref="ns5:OTModifiedBy" minOccurs="0"/>
                <xsd:element ref="ns5:LegacyMetadata" minOccurs="0"/>
                <xsd:element ref="ns5:OTCreatedBy" minOccurs="0"/>
                <xsd:element ref="ns4:PraText3" minOccurs="0"/>
                <xsd:element ref="ns4:PraText4" minOccurs="0"/>
                <xsd:element ref="ns4:PraText5" minOccurs="0"/>
                <xsd:element ref="ns4:PraDate1" minOccurs="0"/>
                <xsd:element ref="ns4:PraDate2" minOccurs="0"/>
                <xsd:element ref="ns4:PraDate3" minOccurs="0"/>
                <xsd:element ref="ns4:PraDateTrigger" minOccurs="0"/>
                <xsd:element ref="ns4:PraDateDisposal" minOccurs="0"/>
                <xsd:element ref="ns6:Activity" minOccurs="0"/>
                <xsd:element ref="ns6:Function" minOccurs="0"/>
                <xsd:element ref="ns6:Subactivity" minOccurs="0"/>
                <xsd:element ref="ns6:Year" minOccurs="0"/>
                <xsd:element ref="ns6:Project" minOccurs="0"/>
                <xsd:element ref="ns6:AggregationNarrative" minOccurs="0"/>
                <xsd:element ref="ns6:Case" minOccurs="0"/>
                <xsd:element ref="ns6:CategoryName" minOccurs="0"/>
                <xsd:element ref="ns6:CategoryValue" minOccurs="0"/>
                <xsd:element ref="ns4:PraText1" minOccurs="0"/>
                <xsd:element ref="ns4:PraText2" minOccurs="0"/>
                <xsd:element ref="ns6:PRAType" minOccurs="0"/>
                <xsd:element ref="ns4:AggregationStatus" minOccurs="0"/>
                <xsd:element ref="ns5:Channel"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DateTaken" minOccurs="0"/>
                <xsd:element ref="ns7: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3e69f-3f58-4e6f-b74a-87e86ca2e1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11"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12" nillable="true" ma:displayName="Narrative" ma:internalName="Narrative0" ma:readOnly="false">
      <xsd:simpleType>
        <xsd:restriction base="dms:Note">
          <xsd:maxLength value="255"/>
        </xsd:restriction>
      </xsd:simpleType>
    </xsd:element>
    <xsd:element name="PraText3" ma:index="17" nillable="true" ma:displayName="PRA Text 3" ma:hidden="true" ma:internalName="PraText30" ma:readOnly="false">
      <xsd:simpleType>
        <xsd:restriction base="dms:Text">
          <xsd:maxLength value="255"/>
        </xsd:restriction>
      </xsd:simpleType>
    </xsd:element>
    <xsd:element name="PraText4" ma:index="18" nillable="true" ma:displayName="PRA Text 4" ma:hidden="true" ma:internalName="PraText40" ma:readOnly="false">
      <xsd:simpleType>
        <xsd:restriction base="dms:Text">
          <xsd:maxLength value="255"/>
        </xsd:restriction>
      </xsd:simpleType>
    </xsd:element>
    <xsd:element name="PraText5" ma:index="19" nillable="true" ma:displayName="PRA Text 5" ma:hidden="true" ma:internalName="PraText50" ma:readOnly="false">
      <xsd:simpleType>
        <xsd:restriction base="dms:Text">
          <xsd:maxLength value="255"/>
        </xsd:restriction>
      </xsd:simpleType>
    </xsd:element>
    <xsd:element name="PraDate1" ma:index="20" nillable="true" ma:displayName="PRA Date 1" ma:format="DateTime" ma:hidden="true" ma:internalName="PraDate1" ma:readOnly="false">
      <xsd:simpleType>
        <xsd:restriction base="dms:DateTime"/>
      </xsd:simpleType>
    </xsd:element>
    <xsd:element name="PraDate2" ma:index="21" nillable="true" ma:displayName="PRA Date 2" ma:format="DateTime" ma:hidden="true" ma:internalName="PraDate2" ma:readOnly="false">
      <xsd:simpleType>
        <xsd:restriction base="dms:DateTime"/>
      </xsd:simpleType>
    </xsd:element>
    <xsd:element name="PraDate3" ma:index="22" nillable="true" ma:displayName="PRA Date 3" ma:format="DateTime" ma:hidden="true" ma:internalName="PraDate3" ma:readOnly="false">
      <xsd:simpleType>
        <xsd:restriction base="dms:DateTime"/>
      </xsd:simpleType>
    </xsd:element>
    <xsd:element name="PraDateTrigger" ma:index="23" nillable="true" ma:displayName="PRA Date Trigger" ma:format="DateTime" ma:hidden="true" ma:internalName="PraDateTrigger" ma:readOnly="false">
      <xsd:simpleType>
        <xsd:restriction base="dms:DateTime"/>
      </xsd:simpleType>
    </xsd:element>
    <xsd:element name="PraDateDisposal" ma:index="24" nillable="true" ma:displayName="PRA Date Disposal" ma:format="DateTime" ma:hidden="true" ma:internalName="PraDateDisposal0" ma:readOnly="false">
      <xsd:simpleType>
        <xsd:restriction base="dms:DateTime"/>
      </xsd:simpleType>
    </xsd:element>
    <xsd:element name="PraText1" ma:index="34" nillable="true" ma:displayName="PRA Text 1" ma:hidden="true" ma:internalName="PraText10" ma:readOnly="false">
      <xsd:simpleType>
        <xsd:restriction base="dms:Text">
          <xsd:maxLength value="255"/>
        </xsd:restriction>
      </xsd:simpleType>
    </xsd:element>
    <xsd:element name="PraText2" ma:index="35" nillable="true" ma:displayName="PRA Text 2" ma:hidden="true" ma:internalName="PraText20"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3" nillable="true" ma:displayName="OTDocID" ma:internalName="OTDocID" ma:readOnly="false">
      <xsd:simpleType>
        <xsd:restriction base="dms:Text">
          <xsd:maxLength value="255"/>
        </xsd:restriction>
      </xsd:simpleType>
    </xsd:element>
    <xsd:element name="OTModifiedBy" ma:index="14" nillable="true" ma:displayName="OTModifiedBy" ma:internalName="OTModifiedBy" ma:readOnly="false">
      <xsd:simpleType>
        <xsd:restriction base="dms:Text">
          <xsd:maxLength value="255"/>
        </xsd:restriction>
      </xsd:simpleType>
    </xsd:element>
    <xsd:element name="LegacyMetadata" ma:index="15" nillable="true" ma:displayName="LegacyMetadata" ma:internalName="LegacyMetadata" ma:readOnly="false">
      <xsd:simpleType>
        <xsd:restriction base="dms:Note">
          <xsd:maxLength value="255"/>
        </xsd:restriction>
      </xsd:simpleType>
    </xsd:element>
    <xsd:element name="OTCreatedBy" ma:index="16" nillable="true" ma:displayName="OTCreatedBy" ma:internalName="OTCreatedBy" ma:readOnly="false">
      <xsd:simpleType>
        <xsd:restriction base="dms:Text">
          <xsd:maxLength value="255"/>
        </xsd:restriction>
      </xsd:simpleType>
    </xsd:element>
    <xsd:element name="Channel" ma:index="38" nillable="true" ma:displayName="Channel" ma:hidden="true" ma:internalName="Chann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5" nillable="true" ma:displayName="Activity" ma:default="Advice" ma:format="Dropdown" ma:hidden="true" ma:internalName="Activity" ma:readOnly="false">
      <xsd:simpleType>
        <xsd:union memberTypes="dms:Text">
          <xsd:simpleType>
            <xsd:restriction base="dms:Choice">
              <xsd:enumeration value="Advice"/>
            </xsd:restriction>
          </xsd:simpleType>
        </xsd:union>
      </xsd:simpleType>
    </xsd:element>
    <xsd:element name="Function" ma:index="26" nillable="true" ma:displayName="Function" ma:default="Programmes and Projects" ma:format="Dropdown" ma:hidden="true" ma:internalName="Function" ma:readOnly="false">
      <xsd:simpleType>
        <xsd:union memberTypes="dms:Text">
          <xsd:simpleType>
            <xsd:restriction base="dms:Choice">
              <xsd:enumeration value="Programmes and Projects"/>
            </xsd:restriction>
          </xsd:simpleType>
        </xsd:union>
      </xsd:simpleType>
    </xsd:element>
    <xsd:element name="Subactivity" ma:index="27" nillable="true" ma:displayName="Subactivity" ma:default="NA" ma:hidden="true" ma:internalName="Subactivity" ma:readOnly="false">
      <xsd:simpleType>
        <xsd:restriction base="dms:Text">
          <xsd:maxLength value="255"/>
        </xsd:restriction>
      </xsd:simpleType>
    </xsd:element>
    <xsd:element name="Year" ma:index="28"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9" nillable="true" ma:displayName="Project" ma:hidden="true" ma:internalName="Project" ma:readOnly="false">
      <xsd:simpleType>
        <xsd:restriction base="dms:Text">
          <xsd:maxLength value="255"/>
        </xsd:restriction>
      </xsd:simpleType>
    </xsd:element>
    <xsd:element name="AggregationNarrative" ma:index="30" nillable="true" ma:displayName="Aggregation Narrative" ma:hidden="true" ma:internalName="AggregationNarrative" ma:readOnly="false">
      <xsd:simpleType>
        <xsd:restriction base="dms:Text">
          <xsd:maxLength value="255"/>
        </xsd:restriction>
      </xsd:simpleType>
    </xsd:element>
    <xsd:element name="Case" ma:index="31" nillable="true" ma:displayName="Case" ma:default="ETS Unit and Price Settings 2022" ma:format="Dropdown" ma:hidden="true" ma:internalName="Case" ma:readOnly="false">
      <xsd:simpleType>
        <xsd:restriction base="dms:Choice">
          <xsd:enumeration value="ETS Unit and Price Settings 2022"/>
        </xsd:restriction>
      </xsd:simpleType>
    </xsd:element>
    <xsd:element name="CategoryName" ma:index="32" nillable="true" ma:displayName="Category" ma:default="NA" ma:hidden="true" ma:internalName="CategoryName" ma:readOnly="false">
      <xsd:simpleType>
        <xsd:restriction base="dms:Text">
          <xsd:maxLength value="255"/>
        </xsd:restriction>
      </xsd:simpleType>
    </xsd:element>
    <xsd:element name="CategoryValue" ma:index="33" nillable="true" ma:displayName="Category Value" ma:hidden="true" ma:internalName="CategoryValue" ma:readOnly="false">
      <xsd:simpleType>
        <xsd:restriction base="dms:Text">
          <xsd:maxLength value="255"/>
        </xsd:restriction>
      </xsd:simpleType>
    </xsd:element>
    <xsd:element name="PRAType" ma:index="36"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7bcd1d-e1f1-4f53-92ab-ce8c6eb15727"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DateTaken" ma:index="45" nillable="true" ma:displayName="MediaServiceDateTaken" ma:hidden="true" ma:internalName="MediaServiceDateTaken"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FFEC2F-5746-4ED5-A737-DC16652505D2}">
  <ds:schemaRefs>
    <ds:schemaRef ds:uri="http://schemas.microsoft.com/office/2006/documentManagement/types"/>
    <ds:schemaRef ds:uri="02bffcbe-7cf8-467d-a91b-a3e0dbcae01e"/>
    <ds:schemaRef ds:uri="70761194-623b-4751-a0da-29ad6551f95e"/>
    <ds:schemaRef ds:uri="http://www.w3.org/XML/1998/namespace"/>
    <ds:schemaRef ds:uri="http://schemas.microsoft.com/office/infopath/2007/PartnerControls"/>
    <ds:schemaRef ds:uri="http://purl.org/dc/elements/1.1/"/>
    <ds:schemaRef ds:uri="e963e69f-3f58-4e6f-b74a-87e86ca2e125"/>
    <ds:schemaRef ds:uri="http://schemas.openxmlformats.org/package/2006/metadata/core-properties"/>
    <ds:schemaRef ds:uri="987bcd1d-e1f1-4f53-92ab-ce8c6eb15727"/>
    <ds:schemaRef ds:uri="a9df0e0e-9b5b-47bc-81c1-d190dfb54f87"/>
    <ds:schemaRef ds:uri="b30672e7-690a-4c93-a50a-a028bc8f475d"/>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D1E88DB7-A4CD-4DA6-AAE6-DCBD8450E136}">
  <ds:schemaRefs>
    <ds:schemaRef ds:uri="http://schemas.microsoft.com/sharepoint/events"/>
  </ds:schemaRefs>
</ds:datastoreItem>
</file>

<file path=customXml/itemProps3.xml><?xml version="1.0" encoding="utf-8"?>
<ds:datastoreItem xmlns:ds="http://schemas.openxmlformats.org/officeDocument/2006/customXml" ds:itemID="{32711FEC-EAAF-4508-831D-63F892CA2B02}">
  <ds:schemaRefs>
    <ds:schemaRef ds:uri="http://schemas.microsoft.com/sharepoint/v3/contenttype/forms"/>
  </ds:schemaRefs>
</ds:datastoreItem>
</file>

<file path=customXml/itemProps4.xml><?xml version="1.0" encoding="utf-8"?>
<ds:datastoreItem xmlns:ds="http://schemas.openxmlformats.org/officeDocument/2006/customXml" ds:itemID="{13A5201B-07B2-409A-A622-9E0D05DC2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63e69f-3f58-4e6f-b74a-87e86ca2e125"/>
    <ds:schemaRef ds:uri="02bffcbe-7cf8-467d-a91b-a3e0dbcae01e"/>
    <ds:schemaRef ds:uri="a9df0e0e-9b5b-47bc-81c1-d190dfb54f87"/>
    <ds:schemaRef ds:uri="b30672e7-690a-4c93-a50a-a028bc8f475d"/>
    <ds:schemaRef ds:uri="70761194-623b-4751-a0da-29ad6551f95e"/>
    <ds:schemaRef ds:uri="987bcd1d-e1f1-4f53-92ab-ce8c6eb15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2. Allocate emissions budget</vt:lpstr>
      <vt:lpstr>3. Technical adjustments</vt:lpstr>
      <vt:lpstr>Emissions comparisons</vt:lpstr>
      <vt:lpstr>4. Industrial free allocation</vt:lpstr>
      <vt:lpstr>5. Surplus reduction volume</vt:lpstr>
      <vt:lpstr>Hedging profile</vt:lpstr>
      <vt:lpstr>P90 trends</vt:lpstr>
      <vt:lpstr>Privately held units</vt:lpstr>
      <vt:lpstr>7. Auction volume</vt:lpstr>
      <vt:lpstr>Sensitivity analysis</vt:lpstr>
      <vt:lpstr>CCR volumes</vt:lpstr>
      <vt:lpstr>Current policy reference data</vt:lpstr>
      <vt:lpstr>Demonstration path data</vt:lpstr>
      <vt:lpstr>'Current policy reference data'!CO_Macro_Drivers_TL</vt:lpstr>
      <vt:lpstr>'Demonstration path data'!CO_Macro_Drivers_TL</vt:lpstr>
      <vt:lpstr>'Current policy reference data'!Scn_ID</vt:lpstr>
      <vt:lpstr>'Demonstration path data'!Scn_ID</vt:lpstr>
      <vt:lpstr>'Current policy reference data'!XO_GHG_Sum_TL</vt:lpstr>
      <vt:lpstr>'Demonstration path data'!XO_GHG_Sum_TL</vt:lpstr>
      <vt:lpstr>'Current policy reference data'!XO_Sector_by_gas_TL</vt:lpstr>
      <vt:lpstr>'Demonstration path data'!XO_Sector_by_gas_TL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Chalk</dc:creator>
  <cp:keywords/>
  <dc:description/>
  <cp:lastModifiedBy>Vanessa Chalk</cp:lastModifiedBy>
  <cp:revision/>
  <dcterms:created xsi:type="dcterms:W3CDTF">2022-03-24T23:45:37Z</dcterms:created>
  <dcterms:modified xsi:type="dcterms:W3CDTF">2022-08-08T23:02:58Z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0x010100EDD070CD8C3B1241AF2B72868218A723</vt:lpwstr>
  </property>
  <property fmtid="{D5CDD505-2E9C-101B-9397-08002B2CF9AE}" pid="3" name="_dlc_DocIdItemGuid">
    <vt:lpwstr>f1029877-6925-4e9a-9df1-631cccbd5a59</vt:lpwstr>
  </property>
  <property fmtid="{D5CDD505-2E9C-101B-9397-08002B2CF9AE}" pid="4" name="MSIP_Label_7243e26e-2558-419d-8098-cf1362baec9a_Enabled">
    <vt:lpwstr>true</vt:lpwstr>
  </property>
  <property fmtid="{D5CDD505-2E9C-101B-9397-08002B2CF9AE}" pid="5" name="MSIP_Label_7243e26e-2558-419d-8098-cf1362baec9a_SetDate">
    <vt:lpwstr>2022-07-12T19:59:13Z</vt:lpwstr>
  </property>
  <property fmtid="{D5CDD505-2E9C-101B-9397-08002B2CF9AE}" pid="6" name="MSIP_Label_7243e26e-2558-419d-8098-cf1362baec9a_Method">
    <vt:lpwstr>Privileged</vt:lpwstr>
  </property>
  <property fmtid="{D5CDD505-2E9C-101B-9397-08002B2CF9AE}" pid="7" name="MSIP_Label_7243e26e-2558-419d-8098-cf1362baec9a_Name">
    <vt:lpwstr>Staff In-Confidence</vt:lpwstr>
  </property>
  <property fmtid="{D5CDD505-2E9C-101B-9397-08002B2CF9AE}" pid="8" name="MSIP_Label_7243e26e-2558-419d-8098-cf1362baec9a_SiteId">
    <vt:lpwstr>27523570-98da-4a95-b560-ba6bb21643d0</vt:lpwstr>
  </property>
  <property fmtid="{D5CDD505-2E9C-101B-9397-08002B2CF9AE}" pid="9" name="MSIP_Label_7243e26e-2558-419d-8098-cf1362baec9a_ActionId">
    <vt:lpwstr>82d2bf32-ed91-4805-ad87-743a58618e86</vt:lpwstr>
  </property>
  <property fmtid="{D5CDD505-2E9C-101B-9397-08002B2CF9AE}" pid="10" name="MSIP_Label_7243e26e-2558-419d-8098-cf1362baec9a_ContentBits">
    <vt:lpwstr>3</vt:lpwstr>
  </property>
</Properties>
</file>