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8_{3A167DEA-E5CF-4904-88FE-35765EC04EAF}" xr6:coauthVersionLast="47" xr6:coauthVersionMax="47" xr10:uidLastSave="{00000000-0000-0000-0000-000000000000}"/>
  <bookViews>
    <workbookView xWindow="28680" yWindow="-120" windowWidth="29040" windowHeight="15840" xr2:uid="{DFBD3FAC-1672-42F8-8840-0671C26A52F3}"/>
  </bookViews>
  <sheets>
    <sheet name="Contents" sheetId="60" r:id="rId1"/>
    <sheet name="Allocate emissions budget" sheetId="61" r:id="rId2"/>
    <sheet name="Technical adjustments" sheetId="10" r:id="rId3"/>
    <sheet name="Industrial free allocation" sheetId="62" r:id="rId4"/>
    <sheet name="Surplus &amp; CCR reduction volumes" sheetId="70" r:id="rId5"/>
    <sheet name="Hedging profile" sheetId="78" r:id="rId6"/>
    <sheet name="CCR volumes" sheetId="28" r:id="rId7"/>
    <sheet name="Auction volumes" sheetId="72" r:id="rId8"/>
    <sheet name="Trigger prices" sheetId="75" r:id="rId9"/>
    <sheet name="Final recommendations" sheetId="76" r:id="rId10"/>
    <sheet name="Demonstration path data" sheetId="48" r:id="rId11"/>
    <sheet name="Current policy reference data" sheetId="4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516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LX1.INC">#REF!</definedName>
    <definedName name="_DLX2.INC">#REF!</definedName>
    <definedName name="_DLX3.INC">#REF!</definedName>
    <definedName name="_Regression_Int" hidden="1">1</definedName>
    <definedName name="a" hidden="1">{"DSBT",#N/A,FALSE,"DSBT";"CASHPAY",#N/A,FALSE,"CASHPAY"}</definedName>
    <definedName name="aa" hidden="1">{"DSBT",#N/A,FALSE,"DSBT";"CASHPAY",#N/A,FALSE,"CASHPAY"}</definedName>
    <definedName name="adsf" hidden="1">{"ESTIMATES",#N/A,FALSE,"CASH"}</definedName>
    <definedName name="af" hidden="1">{"CASH BALANCING",#N/A,FALSE,"CASH";"CASH REPORT",#N/A,FALSE,"CASH"}</definedName>
    <definedName name="allCountries">[1]Sheet9!$O$4:$P$178</definedName>
    <definedName name="Annex_A">[2]Rcpt08!#REF!</definedName>
    <definedName name="Annex_B">[2]Rcpt08!#REF!</definedName>
    <definedName name="Annex_E">#REF!</definedName>
    <definedName name="Annex_F">#REF!</definedName>
    <definedName name="Assumptions_Paper">'[3]Database Codes'!$A$8:$A$24</definedName>
    <definedName name="averageage_DF" localSheetId="5">#REF!</definedName>
    <definedName name="averageage_DF">#REF!</definedName>
    <definedName name="averageage_pine" localSheetId="5">#REF!</definedName>
    <definedName name="averageage_pine">#REF!</definedName>
    <definedName name="averageCO2_DF" localSheetId="5">#REF!</definedName>
    <definedName name="averageCO2_DF">#REF!</definedName>
    <definedName name="averageCO2_pine">#REF!</definedName>
    <definedName name="banks_ED">#REF!</definedName>
    <definedName name="borrowings">#REF!</definedName>
    <definedName name="Budget_2011_Categories">'[3]Database Codes'!$A$28:$A$35</definedName>
    <definedName name="Budget_2011_Funding_Source">'[3]Database Codes'!$A$39:$A$40</definedName>
    <definedName name="Ccodes">[1]EER!$A$3:$B$74</definedName>
    <definedName name="CHF">'[4]note 19'!#REF!</definedName>
    <definedName name="CO_Macro_Drivers_TL" localSheetId="11">'Current policy reference data'!$D$7</definedName>
    <definedName name="CO_Macro_Drivers_TL" localSheetId="10">'Demonstration path data'!$D$7</definedName>
    <definedName name="Copyrange1">#REF!</definedName>
    <definedName name="Copyrange10">#REF!</definedName>
    <definedName name="Copyrange11">#REF!</definedName>
    <definedName name="Copyrange12">#REF!</definedName>
    <definedName name="Copyrange13">#REF!</definedName>
    <definedName name="Copyrange14">#REF!</definedName>
    <definedName name="Copyrange15">#REF!</definedName>
    <definedName name="Copyrange16">#REF!</definedName>
    <definedName name="Copyrange17">#REF!</definedName>
    <definedName name="Copyrange18">#REF!</definedName>
    <definedName name="Copyrange19">#REF!</definedName>
    <definedName name="Copyrange2">#REF!</definedName>
    <definedName name="Copyrange20">#REF!</definedName>
    <definedName name="Copyrange21">#REF!</definedName>
    <definedName name="Copyrange22">#REF!</definedName>
    <definedName name="Copyrange23">#REF!</definedName>
    <definedName name="Copyrange24">#REF!</definedName>
    <definedName name="Copyrange25">#REF!</definedName>
    <definedName name="Copyrange26">#REF!</definedName>
    <definedName name="Copyrange27">#REF!</definedName>
    <definedName name="Copyrange28">#REF!</definedName>
    <definedName name="Copyrange29">#REF!</definedName>
    <definedName name="Copyrange3">#REF!</definedName>
    <definedName name="Copyrange30">#REF!</definedName>
    <definedName name="Copyrange31">#REF!</definedName>
    <definedName name="Copyrange32">#REF!</definedName>
    <definedName name="Copyrange33">#REF!</definedName>
    <definedName name="Copyrange34">#REF!</definedName>
    <definedName name="Copyrange35">#REF!</definedName>
    <definedName name="Copyrange36">#REF!</definedName>
    <definedName name="Copyrange37">#REF!</definedName>
    <definedName name="Copyrange38">#REF!</definedName>
    <definedName name="Copyrange39">#REF!</definedName>
    <definedName name="Copyrange4">#REF!</definedName>
    <definedName name="Copyrange40">#REF!</definedName>
    <definedName name="Copyrange41">#REF!</definedName>
    <definedName name="Copyrange42">#REF!</definedName>
    <definedName name="Copyrange43">#REF!</definedName>
    <definedName name="Copyrange44">#REF!</definedName>
    <definedName name="Copyrange45">#REF!</definedName>
    <definedName name="Copyrange46">#REF!</definedName>
    <definedName name="Copyrange47">#REF!</definedName>
    <definedName name="Copyrange48">#REF!</definedName>
    <definedName name="Copyrange49">#REF!</definedName>
    <definedName name="Copyrange5">#REF!</definedName>
    <definedName name="Copyrange50">#REF!</definedName>
    <definedName name="Copyrange51">#REF!</definedName>
    <definedName name="Copyrange52">#REF!</definedName>
    <definedName name="Copyrange53">#REF!</definedName>
    <definedName name="Copyrange54">#REF!</definedName>
    <definedName name="Copyrange55">#REF!</definedName>
    <definedName name="Copyrange56">#REF!</definedName>
    <definedName name="Copyrange57">#REF!</definedName>
    <definedName name="Copyrange58">#REF!</definedName>
    <definedName name="Copyrange59">#REF!</definedName>
    <definedName name="Copyrange6">#REF!</definedName>
    <definedName name="Copyrange60">#REF!</definedName>
    <definedName name="Copyrange61">#REF!</definedName>
    <definedName name="Copyrange62">#REF!</definedName>
    <definedName name="Copyrange63">#REF!</definedName>
    <definedName name="Copyrange64">#REF!</definedName>
    <definedName name="Copyrange65">#REF!</definedName>
    <definedName name="Copyrange66">#REF!</definedName>
    <definedName name="Copyrange67">#REF!</definedName>
    <definedName name="Copyrange68">#REF!</definedName>
    <definedName name="Copyrange7">#REF!</definedName>
    <definedName name="Copyrange8">#REF!</definedName>
    <definedName name="Copyrange9">#REF!</definedName>
    <definedName name="corrmatrix">'[5]@RISK parameters'!#REF!</definedName>
    <definedName name="cos_last1">OFFSET([6]Graphing!$D$3,[6]Graphing!$E$21,0,[6]Graphing!$E$23,1)</definedName>
    <definedName name="cos_last2">OFFSET([6]Graphing!$E$3,[6]Graphing!$E$21,0,[6]Graphing!$E$23,1)</definedName>
    <definedName name="cos_now">OFFSET([6]Graphing!$C$3,[6]Graphing!$E$21,0,[6]Graphing!$E$23,1)</definedName>
    <definedName name="Cur_Dump_Res_Out" localSheetId="11">'Current policy reference data'!#REF!</definedName>
    <definedName name="Cur_Dump_Res_Out" localSheetId="10">'Demonstration path data'!#REF!</definedName>
    <definedName name="curr_ver">#REF!</definedName>
    <definedName name="d" hidden="1">{"CASH BALANCING",#N/A,FALSE,"CASH";"CASH REPORT",#N/A,FALSE,"CASH"}</definedName>
    <definedName name="data">[7]Data!#REF!</definedName>
    <definedName name="data_CAB">#REF!</definedName>
    <definedName name="data_compare">#REF!</definedName>
    <definedName name="data_ED">#REF!</definedName>
    <definedName name="data_FDCAB_hist">#REF!</definedName>
    <definedName name="data_FDCAB_hist_all">#REF!</definedName>
    <definedName name="data_FDCAB_new">#REF!</definedName>
    <definedName name="data_FDFI_hist">#REF!</definedName>
    <definedName name="data_FDFI_hist_all">#REF!</definedName>
    <definedName name="data_FDFI_new">#REF!</definedName>
    <definedName name="data_FI">#REF!</definedName>
    <definedName name="data_INPUT">#REF!</definedName>
    <definedName name="data_new_fiscaldata_cab">'[8]Fiscal Data - CAB New'!$A$61:$N$397</definedName>
    <definedName name="data_new_fiscaldata_FI">'[8]Fiscal Data - FI New'!$A$47:$N$400</definedName>
    <definedName name="data_SCEN">#REF!</definedName>
    <definedName name="data_shocks_scen">#REF!</definedName>
    <definedName name="data_TD">#REF!</definedName>
    <definedName name="data_TD_unused">#REF!</definedName>
    <definedName name="dates_CAB">#REF!</definedName>
    <definedName name="dates_compare_max">IF(#REF!="On",#REF!,#REF!)</definedName>
    <definedName name="dates_compare_min">IF(#REF!="On",#REF!,#REF!)</definedName>
    <definedName name="dates_ED">#REF!</definedName>
    <definedName name="dates_ED_max">IF(#REF!="On",#REF!,#REF!)</definedName>
    <definedName name="dates_ED_min">IF(#REF!="On",#REF!,#REF!)</definedName>
    <definedName name="dates_FDCAB">#REF!</definedName>
    <definedName name="dates_FDCAB_max">IF(#REF!="On",#REF!,#REF!)</definedName>
    <definedName name="dates_FDCAB_min">IF(#REF!="On",#REF!,#REF!)</definedName>
    <definedName name="dates_FDFI">#REF!</definedName>
    <definedName name="dates_FDFI_max">IF(#REF!="On",#REF!,#REF!)</definedName>
    <definedName name="dates_FDFI_min">IF(#REF!="On",#REF!,#REF!)</definedName>
    <definedName name="dates_FI">#REF!</definedName>
    <definedName name="dates_forecast_max">#REF!</definedName>
    <definedName name="dates_forecast_min">#REF!</definedName>
    <definedName name="dates_INPUT">[9]Inputs!$I$36:$CI$36</definedName>
    <definedName name="dates_master_max">IF(#REF!="On",#REF!,#REF!)</definedName>
    <definedName name="dates_master_min">IF(#REF!="On",#REF!,#REF!)</definedName>
    <definedName name="dates_results_max">IF(#REF!="On",#REF!,#REF!)</definedName>
    <definedName name="dates_results_min">IF(#REF!="On",#REF!,#REF!)</definedName>
    <definedName name="dates_SCEN">#REF!</definedName>
    <definedName name="dates_SCEN_max">IF(#REF!="On",#REF!,#REF!)</definedName>
    <definedName name="dates_SCEN_min">IF(#REF!="On",#REF!,#REF!)</definedName>
    <definedName name="dates_shocks_scen">#REF!</definedName>
    <definedName name="dates_TD">#REF!</definedName>
    <definedName name="dates_TD_max">IF(#REF!="On",#REF!,#REF!)</definedName>
    <definedName name="dates_TD_min">IF(#REF!="On",#REF!,#REF!)</definedName>
    <definedName name="dd" hidden="1">{"CASH BALANCING",#N/A,FALSE,"CASH";"CASH REPORT",#N/A,FALSE,"CASH"}</definedName>
    <definedName name="de" hidden="1">{"CASH BALANCING",#N/A,FALSE,"CASH";"CASH REPORT",#N/A,FALSE,"CASH"}</definedName>
    <definedName name="Decision_Point">'[3]Database Codes'!#REF!</definedName>
    <definedName name="deflate">'[10]Other assets - normal'!$A$4</definedName>
    <definedName name="DEM">'[4]note 19'!#REF!</definedName>
    <definedName name="dfd" hidden="1">{"CASH BALANCING",#N/A,FALSE,"CASH";"CASH REPORT",#N/A,FALSE,"CASH"}</definedName>
    <definedName name="digits">#REF!</definedName>
    <definedName name="dir_core">#REF!</definedName>
    <definedName name="dir_econ">#REF!</definedName>
    <definedName name="dir_fcast_bank">#REF!</definedName>
    <definedName name="dir_fiscal">#REF!</definedName>
    <definedName name="dir_FRdata">#REF!</definedName>
    <definedName name="dir_rbnz_bank">#REF!</definedName>
    <definedName name="dir_tax">#REF!</definedName>
    <definedName name="dir_util">#REF!</definedName>
    <definedName name="DLX1.USE">[11]ChartData!#REF!</definedName>
    <definedName name="dsfza" hidden="1">{"DISPAG1",#N/A,FALSE,"DISBURSE";"DISPAG2",#N/A,FALSE,"DISBURSE";"ACTDIS",#N/A,FALSE,"DISBURSE";"ACTOUT",#N/A,FALSE,"DISBURSE";"TOTDIFF",#N/A,FALSE,"DISBURSE";"REVDIS",#N/A,FALSE,"DISBURSE"}</definedName>
    <definedName name="EERcpiCnty">[1]Sheet9!$B$3:$B$79</definedName>
    <definedName name="eerCPInew">[1]Sheet9!$K$3:$K$87</definedName>
    <definedName name="fcast_bank">#REF!</definedName>
    <definedName name="fd" hidden="1">{"DSBT",#N/A,FALSE,"DSBT";"CASHPAY",#N/A,FALSE,"CASHPAY"}</definedName>
    <definedName name="fdasfd" hidden="1">{"ESTIMATES",#N/A,FALSE,"CASH"}</definedName>
    <definedName name="fdf" hidden="1">{"CASH BALANCING",#N/A,FALSE,"CASH";"CASH REPORT",#N/A,FALSE,"CASH"}</definedName>
    <definedName name="fed" hidden="1">{"DISPAG1",#N/A,FALSE,"DISBURSE";"DISPAG2",#N/A,FALSE,"DISBURSE";"ACTDIS",#N/A,FALSE,"DISBURSE";"ACTOUT",#N/A,FALSE,"DISBURSE";"TOTDIFF",#N/A,FALSE,"DISBURSE";"REVDIS",#N/A,FALSE,"DISBURSE"}</definedName>
    <definedName name="ff" hidden="1">{"CASH BALANCING",#N/A,FALSE,"CASH";"CASH REPORT",#N/A,FALSE,"CASH"}</definedName>
    <definedName name="fnamecur">[2]Assumptions!$D$3</definedName>
    <definedName name="folder_calcs">#REF!</definedName>
    <definedName name="folder_pub">#REF!</definedName>
    <definedName name="fyrlast">[2]Assumptions!$E$5</definedName>
    <definedName name="g">#REF!</definedName>
    <definedName name="GBP">'[4]note 19'!#REF!</definedName>
    <definedName name="GOV">'[4]note 19'!#REF!</definedName>
    <definedName name="gsdfr">[2]Rcpt08!#REF!</definedName>
    <definedName name="GWP_CH4_AR4" localSheetId="5">#REF!</definedName>
    <definedName name="GWP_CH4_AR4">#REF!</definedName>
    <definedName name="GWP_CH4_AR5" localSheetId="5">#REF!</definedName>
    <definedName name="GWP_CH4_AR5">#REF!</definedName>
    <definedName name="GWP_CH4_AR5_conversion" localSheetId="5">#REF!</definedName>
    <definedName name="GWP_CH4_AR5_conversion">#REF!</definedName>
    <definedName name="GWP_CH4_conversion" localSheetId="5">#REF!</definedName>
    <definedName name="GWP_CH4_conversion">#REF!</definedName>
    <definedName name="GWP_Fgas_conversion" localSheetId="5">#REF!</definedName>
    <definedName name="GWP_Fgas_conversion">#REF!</definedName>
    <definedName name="GWP_N2O_AR4" localSheetId="5">#REF!</definedName>
    <definedName name="GWP_N2O_AR4">#REF!</definedName>
    <definedName name="GWP_N2O_AR5" localSheetId="5">#REF!</definedName>
    <definedName name="GWP_N2O_AR5">#REF!</definedName>
    <definedName name="GWP_N2O_AR5_conversion" localSheetId="5">#REF!</definedName>
    <definedName name="GWP_N2O_AR5_conversion">#REF!</definedName>
    <definedName name="GWP_N2O_conversion" localSheetId="5">#REF!</definedName>
    <definedName name="GWP_N2O_conversion">#REF!</definedName>
    <definedName name="GWP_NO2_AR5_conversion">#REF!</definedName>
    <definedName name="harvestpercent_SC_DF">#REF!</definedName>
    <definedName name="harvestpercent_SC_pine">#REF!</definedName>
    <definedName name="IADemopath">#REF!</definedName>
    <definedName name="id_ED">#REF!</definedName>
    <definedName name="index_CAB">#REF!</definedName>
    <definedName name="index_compare">#REF!</definedName>
    <definedName name="index_ED">#REF!</definedName>
    <definedName name="index_FDCAB">#REF!</definedName>
    <definedName name="index_FDFI">#REF!</definedName>
    <definedName name="index_FI">#REF!</definedName>
    <definedName name="index_INPUT">#REF!</definedName>
    <definedName name="index_SCEN">#REF!</definedName>
    <definedName name="index_shocks_scen">#REF!</definedName>
    <definedName name="index_TD">#REF!</definedName>
    <definedName name="inf">'[10]Bond v rental housing'!$B$6</definedName>
    <definedName name="init">'[10]Tax gap'!$B$3</definedName>
    <definedName name="int">#REF!</definedName>
    <definedName name="JPY">'[4]note 19'!#REF!</definedName>
    <definedName name="lambda" localSheetId="5">#REF!</definedName>
    <definedName name="lambda" localSheetId="3">'Industrial free allocation'!#REF!</definedName>
    <definedName name="lambda">#REF!</definedName>
    <definedName name="lkl">#REF!</definedName>
    <definedName name="LO_Afforestation_TL" localSheetId="11">'Current policy reference data'!#REF!</definedName>
    <definedName name="LO_Afforestation_TL" localSheetId="10">'Demonstration path data'!#REF!</definedName>
    <definedName name="LO_Agri_CH4_TL" localSheetId="11">'Current policy reference data'!#REF!</definedName>
    <definedName name="LO_Agri_CH4_TL" localSheetId="10">'Demonstration path data'!#REF!</definedName>
    <definedName name="LO_Agri_N20_TL" localSheetId="11">'Current policy reference data'!#REF!</definedName>
    <definedName name="LO_Agri_N20_TL" localSheetId="10">'Demonstration path data'!#REF!</definedName>
    <definedName name="LO_AgriGas_TL" localSheetId="11">'Current policy reference data'!#REF!</definedName>
    <definedName name="LO_AgriGas_TL" localSheetId="10">'Demonstration path data'!#REF!</definedName>
    <definedName name="LO_Deforestation_TL" localSheetId="11">'Current policy reference data'!#REF!</definedName>
    <definedName name="LO_Deforestation_TL" localSheetId="10">'Demonstration path data'!#REF!</definedName>
    <definedName name="LO_Forest_Emissions_TL" localSheetId="11">'Current policy reference data'!#REF!</definedName>
    <definedName name="LO_Forest_Emissions_TL" localSheetId="10">'Demonstration path data'!#REF!</definedName>
    <definedName name="LO_GHG_Agri_Sector_TL" localSheetId="11">'Current policy reference data'!#REF!</definedName>
    <definedName name="LO_GHG_Agri_Sector_TL" localSheetId="10">'Demonstration path data'!#REF!</definedName>
    <definedName name="load_ED">#REF!</definedName>
    <definedName name="load_FD_fcast">#REF!</definedName>
    <definedName name="load_FD_hist">#REF!</definedName>
    <definedName name="load_TD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2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2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okups">[12]Display!$A$2:$B$18</definedName>
    <definedName name="meta_ED">#REF!</definedName>
    <definedName name="month">#REF!</definedName>
    <definedName name="nBR">'[10]Bond v rental housing'!$B$3</definedName>
    <definedName name="New_Fig1" hidden="1">{"CASH BALANCING",#N/A,FALSE,"CASH";"CASH REPORT",#N/A,FALSE,"CASH"}</definedName>
    <definedName name="new_ver">#REF!</definedName>
    <definedName name="ninf">#REF!</definedName>
    <definedName name="nRC">'[10]Bond v rental housing'!$B$5</definedName>
    <definedName name="nRet">'[10]Tax gap'!$B$4</definedName>
    <definedName name="nRR">'[10]Bond v rental housing'!$B$4</definedName>
    <definedName name="NvsASD">"V1999-07-31"</definedName>
    <definedName name="NvsAutoDrillOk">"VN"</definedName>
    <definedName name="NvsElapsedTime">0.0000799768531578593</definedName>
    <definedName name="NvsEndTime">37831.507665162</definedName>
    <definedName name="NvsLayoutType">"M3"</definedName>
    <definedName name="NvsPanelEffdt">"V1999-07-27"</definedName>
    <definedName name="NvsPanelSetid">"VSHARE"</definedName>
    <definedName name="NvsReqBU">"VMEL01"</definedName>
    <definedName name="NvsReqBUOnly">"VY"</definedName>
    <definedName name="NvsTransLed">"VN"</definedName>
    <definedName name="NvsTreeASD">"V1999-07-31"</definedName>
    <definedName name="NvsValTbl.SCENARIO">"BD_SCENARIO_TBL"</definedName>
    <definedName name="oxidation">'[13]Other parameters'!$B$12</definedName>
    <definedName name="Pal_Workbook_GUID" hidden="1">"9AP16616LWPZUH5ABK5MW346"</definedName>
    <definedName name="PalisadeReportWorkbookCreatedBy">"AtRisk"</definedName>
    <definedName name="param_compare_db">#REF!</definedName>
    <definedName name="param_compare_fcastvers">#REF!</definedName>
    <definedName name="param_compare_numseries">#REF!</definedName>
    <definedName name="param_compare_startdate">#REF!</definedName>
    <definedName name="Pasterange1">#REF!</definedName>
    <definedName name="Pasterange10">#REF!</definedName>
    <definedName name="Pasterange11">#REF!</definedName>
    <definedName name="Pasterange12">#REF!</definedName>
    <definedName name="Pasterange13">#REF!</definedName>
    <definedName name="Pasterange14">#REF!</definedName>
    <definedName name="Pasterange15">#REF!</definedName>
    <definedName name="Pasterange16">#REF!</definedName>
    <definedName name="Pasterange17">#REF!</definedName>
    <definedName name="Pasterange18">#REF!</definedName>
    <definedName name="Pasterange19">#REF!</definedName>
    <definedName name="Pasterange2">#REF!</definedName>
    <definedName name="Pasterange20">#REF!</definedName>
    <definedName name="Pasterange21">#REF!</definedName>
    <definedName name="Pasterange22">#REF!</definedName>
    <definedName name="Pasterange23">#REF!</definedName>
    <definedName name="Pasterange24">#REF!</definedName>
    <definedName name="Pasterange25">#REF!</definedName>
    <definedName name="Pasterange26">#REF!</definedName>
    <definedName name="Pasterange27">#REF!</definedName>
    <definedName name="Pasterange28">#REF!</definedName>
    <definedName name="Pasterange29">#REF!</definedName>
    <definedName name="Pasterange3">#REF!</definedName>
    <definedName name="Pasterange30">#REF!</definedName>
    <definedName name="Pasterange31">#REF!</definedName>
    <definedName name="Pasterange32">#REF!</definedName>
    <definedName name="Pasterange33">#REF!</definedName>
    <definedName name="Pasterange34">#REF!</definedName>
    <definedName name="Pasterange35">#REF!</definedName>
    <definedName name="Pasterange36">#REF!</definedName>
    <definedName name="Pasterange37">#REF!</definedName>
    <definedName name="Pasterange38">#REF!</definedName>
    <definedName name="Pasterange39">#REF!</definedName>
    <definedName name="Pasterange4">#REF!</definedName>
    <definedName name="Pasterange40">#REF!</definedName>
    <definedName name="Pasterange41">#REF!</definedName>
    <definedName name="Pasterange42">#REF!</definedName>
    <definedName name="Pasterange43">#REF!</definedName>
    <definedName name="Pasterange44">#REF!</definedName>
    <definedName name="Pasterange45">#REF!</definedName>
    <definedName name="Pasterange46">#REF!</definedName>
    <definedName name="Pasterange47">#REF!</definedName>
    <definedName name="Pasterange48">#REF!</definedName>
    <definedName name="Pasterange49">#REF!</definedName>
    <definedName name="Pasterange5">#REF!</definedName>
    <definedName name="Pasterange50">#REF!</definedName>
    <definedName name="Pasterange51">#REF!</definedName>
    <definedName name="Pasterange52">#REF!</definedName>
    <definedName name="Pasterange53">#REF!</definedName>
    <definedName name="Pasterange54">#REF!</definedName>
    <definedName name="Pasterange55">#REF!</definedName>
    <definedName name="Pasterange56">#REF!</definedName>
    <definedName name="Pasterange57">#REF!</definedName>
    <definedName name="Pasterange58">#REF!</definedName>
    <definedName name="Pasterange59">#REF!</definedName>
    <definedName name="Pasterange6">#REF!</definedName>
    <definedName name="Pasterange60">#REF!</definedName>
    <definedName name="Pasterange61">#REF!</definedName>
    <definedName name="Pasterange62">#REF!</definedName>
    <definedName name="Pasterange63">#REF!</definedName>
    <definedName name="Pasterange64">#REF!</definedName>
    <definedName name="Pasterange65">#REF!</definedName>
    <definedName name="Pasterange66">#REF!</definedName>
    <definedName name="Pasterange67">#REF!</definedName>
    <definedName name="Pasterange68">#REF!</definedName>
    <definedName name="Pasterange7">#REF!</definedName>
    <definedName name="Pasterange8">#REF!</definedName>
    <definedName name="Pasterange9">#REF!</definedName>
    <definedName name="path_control">#REF!</definedName>
    <definedName name="path_eviewsdatapull">#REF!</definedName>
    <definedName name="path_pub">#REF!</definedName>
    <definedName name="pft_now">OFFSET([2]Graphing!$L$3,[2]Graphing!$E$25,0,[2]Graphing!$E$27,1)</definedName>
    <definedName name="Print_Area_MI">[14]Receipts!#REF!</definedName>
    <definedName name="propbiomassremoved_DF" localSheetId="5">#REF!</definedName>
    <definedName name="propbiomassremoved_DF">#REF!</definedName>
    <definedName name="propbiomassremoved_pine" localSheetId="5">#REF!</definedName>
    <definedName name="propbiomassremoved_pine">#REF!</definedName>
    <definedName name="RBN">'[4]note 19'!#REF!</definedName>
    <definedName name="rbnz_bank">#REF!</definedName>
    <definedName name="rcc">#REF!</definedName>
    <definedName name="rec_last1">OFFSET([6]Graphing!$J$3,[6]Graphing!$E$21,0,[6]Graphing!$E$23,1)</definedName>
    <definedName name="rec_last2">OFFSET([6]Graphing!$K$3,[6]Graphing!$E$21,0,[6]Graphing!$E$23,1)</definedName>
    <definedName name="rec_now">OFFSET([6]Graphing!$I$3,[6]Graphing!$E$21,0,[6]Graphing!$E$23,1)</definedName>
    <definedName name="replantlag_DF" localSheetId="5">#REF!</definedName>
    <definedName name="replantlag_DF">#REF!</definedName>
    <definedName name="replantlag_pine" localSheetId="5">#REF!</definedName>
    <definedName name="replantlag_pine">#REF!</definedName>
    <definedName name="rev_last1">OFFSET([6]Graphing!$G$3,[6]Graphing!$E$21,0,[6]Graphing!$E$23,1)</definedName>
    <definedName name="rev_last2">OFFSET([6]Graphing!$H$3,[6]Graphing!$E$21,0,[6]Graphing!$E$23,1)</definedName>
    <definedName name="rev_now">OFFSET([6]Graphing!$F$3,[6]Graphing!$E$21,0,[6]Graphing!$E$23,1)</definedName>
    <definedName name="RFRR">'[10]Nordic @ 17.5'!$O$184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" hidden="1">{"CASH BALANCING",#N/A,FALSE,"CASH";"CASH REPORT",#N/A,FALSE,"CASH"}</definedName>
    <definedName name="risks2" hidden="1">{"CASH BALANCING",#N/A,FALSE,"CASH";"CASH REPORT",#N/A,FALSE,"CASH"}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tationlength_DF" localSheetId="5">#REF!</definedName>
    <definedName name="rotationlength_DF">#REF!</definedName>
    <definedName name="rotationlength_pine" localSheetId="5">#REF!</definedName>
    <definedName name="rotationlength_pine">#REF!</definedName>
    <definedName name="rr">#REF!</definedName>
    <definedName name="s" hidden="1">{"CASH BALANCING",#N/A,FALSE,"CASH";"CASH REPORT",#N/A,FALSE,"CASH"}</definedName>
    <definedName name="Scale">1000</definedName>
    <definedName name="Scenario">#REF!</definedName>
    <definedName name="Scenario_1">#REF!</definedName>
    <definedName name="Scenario_2">#REF!</definedName>
    <definedName name="Scenario_3">#REF!</definedName>
    <definedName name="scenario_select">#REF!</definedName>
    <definedName name="Scn_ID" localSheetId="11">'Current policy reference data'!$A$1</definedName>
    <definedName name="Scn_ID" localSheetId="10">'Demonstration path data'!$A$1</definedName>
    <definedName name="sheet_CAB">#REF!</definedName>
    <definedName name="sheet_FI">#REF!</definedName>
    <definedName name="sheet_INPUT">#REF!</definedName>
    <definedName name="sss">'[15]note 19'!#REF!</definedName>
    <definedName name="start">'[10]Bond v rental housing'!$B$7</definedName>
    <definedName name="start_ED">#REF!</definedName>
    <definedName name="Summary">#REF!</definedName>
    <definedName name="switch_ED">#REF!</definedName>
    <definedName name="tags_FDCAB_hist">#REF!</definedName>
    <definedName name="tags_FDCAB_new">#REF!</definedName>
    <definedName name="tags_FDFI_hist">#REF!</definedName>
    <definedName name="tags_FDFI_new">#REF!</definedName>
    <definedName name="tags_new_fiscaldata_CAB">'[8]Fiscal Data - CAB New'!$D$61:$D$405</definedName>
    <definedName name="tags_new_fiscaldata_FI">'[8]Fiscal Data - FI New'!$D$47:$D$400</definedName>
    <definedName name="tax_doc_num">#REF!</definedName>
    <definedName name="tax_doc_ver">#REF!</definedName>
    <definedName name="TBills">'[4]note 19'!#REF!</definedName>
    <definedName name="tC">3.666667</definedName>
    <definedName name="tdisc">'[10]40% saving'!$B$10</definedName>
    <definedName name="TEMPLATE">[2]Rcpt08!#REF!</definedName>
    <definedName name="TemplateB">[2]Rcpt08!#REF!</definedName>
    <definedName name="TemplateC">#REF!</definedName>
    <definedName name="tlow">#REF!</definedName>
    <definedName name="TO_FleetEntry_TL" localSheetId="11">'Current policy reference data'!#REF!</definedName>
    <definedName name="TO_FleetEntry_TL" localSheetId="10">'Demonstration path data'!#REF!</definedName>
    <definedName name="TO_FleetExit_TL" localSheetId="11">'Current policy reference data'!#REF!</definedName>
    <definedName name="TO_FleetExit_TL" localSheetId="10">'Demonstration path data'!#REF!</definedName>
    <definedName name="TO_FleetNum_TL" localSheetId="11">'Current policy reference data'!#REF!</definedName>
    <definedName name="TO_FleetNum_TL" localSheetId="10">'Demonstration path data'!#REF!</definedName>
    <definedName name="TO_Freight_ModeShare_TL" localSheetId="11">'Current policy reference data'!#REF!</definedName>
    <definedName name="TO_Freight_ModeShare_TL" localSheetId="10">'Demonstration path data'!#REF!</definedName>
    <definedName name="TO_ICE_Emissions_Eff_TL" localSheetId="11">'Current policy reference data'!#REF!</definedName>
    <definedName name="TO_ICE_Emissions_Eff_TL" localSheetId="10">'Demonstration path data'!#REF!</definedName>
    <definedName name="TO_Pkt_TL" localSheetId="11">'Current policy reference data'!#REF!</definedName>
    <definedName name="TO_Pkt_TL" localSheetId="10">'Demonstration path data'!#REF!</definedName>
    <definedName name="TO_Vkt_Light_HouseComm_TL" localSheetId="11">'Current policy reference data'!#REF!</definedName>
    <definedName name="TO_Vkt_Light_HouseComm_TL" localSheetId="10">'Demonstration path data'!#REF!</definedName>
    <definedName name="Tstats">[16]Tablz!$A$2:$B$31</definedName>
    <definedName name="ULCcty">[1]Sheet9!$E$3:$E$25</definedName>
    <definedName name="USD">'[4]note 19'!#REF!</definedName>
    <definedName name="wfwr" hidden="1">{"CASH BALANCING",#N/A,FALSE,"CASH";"CASH REPORT",#N/A,FALSE,"CASH"}</definedName>
    <definedName name="wfwr2" hidden="1">{"CASH BALANCING",#N/A,FALSE,"CASH";"CASH REPORT",#N/A,FALSE,"CASH"}</definedName>
    <definedName name="WO_AnDigest_TL" localSheetId="11">'Current policy reference data'!#REF!</definedName>
    <definedName name="WO_AnDigest_TL" localSheetId="10">'Demonstration path data'!#REF!</definedName>
    <definedName name="WO_BoilFuel_TL" localSheetId="11">'Current policy reference data'!#REF!</definedName>
    <definedName name="WO_BoilFuel_TL" localSheetId="10">'Demonstration path data'!#REF!</definedName>
    <definedName name="WO_Cat_Total_TL" localSheetId="11">'Current policy reference data'!#REF!</definedName>
    <definedName name="WO_Cat_Total_TL" localSheetId="10">'Demonstration path data'!#REF!</definedName>
    <definedName name="WO_Comp_TL" localSheetId="11">'Current policy reference data'!#REF!</definedName>
    <definedName name="WO_Comp_TL" localSheetId="10">'Demonstration path data'!#REF!</definedName>
    <definedName name="WO_Gen_LflType_TL" localSheetId="11">'Current policy reference data'!#REF!</definedName>
    <definedName name="WO_Gen_LflType_TL" localSheetId="10">'Demonstration path data'!#REF!</definedName>
    <definedName name="WO_Gen_WstType_TL" localSheetId="11">'Current policy reference data'!#REF!</definedName>
    <definedName name="WO_Gen_WstType_TL" localSheetId="10">'Demonstration path data'!#REF!</definedName>
    <definedName name="WO_GHG_Total_TL" localSheetId="11">'Current policy reference data'!#REF!</definedName>
    <definedName name="WO_GHG_Total_TL" localSheetId="10">'Demonstration path data'!#REF!</definedName>
    <definedName name="WO_Lfl_Type_TL" localSheetId="11">'Current policy reference data'!#REF!</definedName>
    <definedName name="WO_Lfl_Type_TL" localSheetId="10">'Demonstration path data'!#REF!</definedName>
    <definedName name="WO_Lfl_WstType_TL" localSheetId="11">'Current policy reference data'!#REF!</definedName>
    <definedName name="WO_Lfl_WstType_TL" localSheetId="10">'Demonstration path data'!#REF!</definedName>
    <definedName name="WO_Recycle_TL" localSheetId="11">'Current policy reference data'!#REF!</definedName>
    <definedName name="WO_Recycle_TL" localSheetId="10">'Demonstration path data'!#REF!</definedName>
    <definedName name="WO_Solid_CH4_Split_TL" localSheetId="11">'Current policy reference data'!#REF!</definedName>
    <definedName name="WO_Solid_CH4_Split_TL" localSheetId="10">'Demonstration path data'!#REF!</definedName>
    <definedName name="wrn.CASH._.REPORT." hidden="1">{"CASH BALANCING",#N/A,FALSE,"CASH";"CASH REPORT",#N/A,FALSE,"CASH"}</definedName>
    <definedName name="wrn.CASH._.SCHEDULE." hidden="1">{"DSBT",#N/A,FALSE,"DSBT";"CASHPAY",#N/A,FALSE,"CASHPAY"}</definedName>
    <definedName name="wrn.CASHDR._.PORT." hidden="1">{"CASH BALANCING",#N/A,FALSE,"CASH";"CASH REPORT",#N/A,FALSE,"CASH"}</definedName>
    <definedName name="wrn.DISBURSE." hidden="1">{"DISPAG1",#N/A,FALSE,"DISBURSE";"DISPAG2",#N/A,FALSE,"DISBURSE";"ACTDIS",#N/A,FALSE,"DISBURSE";"ACTOUT",#N/A,FALSE,"DISBURSE";"TOTDIFF",#N/A,FALSE,"DISBURSE";"REVDIS",#N/A,FALSE,"DISBURSE"}</definedName>
    <definedName name="wrn.FMRB." hidden="1">{"ESTIMATES",#N/A,FALSE,"CASH"}</definedName>
    <definedName name="x">#REF!</definedName>
    <definedName name="x_axis">OFFSET([6]Graphing!$B$3,[6]Graphing!$E$21,0,[6]Graphing!$E$23,1)</definedName>
    <definedName name="XEU">'[4]note 19'!#REF!</definedName>
    <definedName name="XO_Avg_Household_Elec_Bills_TL" localSheetId="11">'Current policy reference data'!#REF!</definedName>
    <definedName name="XO_Avg_Household_Elec_Bills_TL" localSheetId="10">'Demonstration path data'!#REF!</definedName>
    <definedName name="XO_Avg_Household_Gas_Bills_TL" localSheetId="11">'Current policy reference data'!#REF!</definedName>
    <definedName name="XO_Avg_Household_Gas_Bills_TL" localSheetId="10">'Demonstration path data'!#REF!</definedName>
    <definedName name="XO_Biomass_STL" localSheetId="11">'Current policy reference data'!#REF!</definedName>
    <definedName name="XO_Biomass_STL" localSheetId="10">'Demonstration path data'!#REF!</definedName>
    <definedName name="XO_CH4_CCCSum_TL" localSheetId="11">'Current policy reference data'!#REF!</definedName>
    <definedName name="XO_CH4_CCCSum_TL" localSheetId="10">'Demonstration path data'!#REF!</definedName>
    <definedName name="XO_CH4_Sum_TL" localSheetId="11">'Current policy reference data'!#REF!</definedName>
    <definedName name="XO_CH4_Sum_TL" localSheetId="10">'Demonstration path data'!#REF!</definedName>
    <definedName name="XO_Combustion_emissions_by_fuel_TL" localSheetId="11">'Current policy reference data'!#REF!</definedName>
    <definedName name="XO_Combustion_emissions_by_fuel_TL" localSheetId="10">'Demonstration path data'!#REF!</definedName>
    <definedName name="XO_Cons_Elec_Price_FullyVar_TL" localSheetId="11">'Current policy reference data'!#REF!</definedName>
    <definedName name="XO_Cons_Elec_Price_FullyVar_TL" localSheetId="10">'Demonstration path data'!#REF!</definedName>
    <definedName name="XO_Elec_Demand_Detail_TL" localSheetId="11">'Current policy reference data'!#REF!</definedName>
    <definedName name="XO_Elec_Demand_Detail_TL" localSheetId="10">'Demonstration path data'!#REF!</definedName>
    <definedName name="XO_En_plus_IPPU_GHG_HIP_Split_TL" localSheetId="11">'Current policy reference data'!#REF!</definedName>
    <definedName name="XO_En_plus_IPPU_GHG_HIP_Split_TL" localSheetId="10">'Demonstration path data'!#REF!</definedName>
    <definedName name="XO_ETS_by_sector_TL" localSheetId="11">'Current policy reference data'!#REF!</definedName>
    <definedName name="XO_ETS_by_sector_TL" localSheetId="10">'Demonstration path data'!#REF!</definedName>
    <definedName name="XO_ETS_Total_by_gas_TL" localSheetId="11">'Current policy reference data'!#REF!</definedName>
    <definedName name="XO_ETS_Total_by_gas_TL" localSheetId="10">'Demonstration path data'!#REF!</definedName>
    <definedName name="XO_EV_Propn_Entry_TL" localSheetId="11">'Current policy reference data'!#REF!</definedName>
    <definedName name="XO_EV_Propn_Entry_TL" localSheetId="10">'Demonstration path data'!#REF!</definedName>
    <definedName name="XO_EV_Propn_Veh_TL" localSheetId="11">'Current policy reference data'!#REF!</definedName>
    <definedName name="XO_EV_Propn_Veh_TL" localSheetId="10">'Demonstration path data'!#REF!</definedName>
    <definedName name="XO_EV_Propn_vkt_TL" localSheetId="11">'Current policy reference data'!#REF!</definedName>
    <definedName name="XO_EV_Propn_vkt_TL" localSheetId="10">'Demonstration path data'!#REF!</definedName>
    <definedName name="XO_FoodProc_InputEn_TL" localSheetId="11">'Current policy reference data'!#REF!</definedName>
    <definedName name="XO_FoodProc_InputEn_TL" localSheetId="10">'Demonstration path data'!#REF!</definedName>
    <definedName name="XO_Fuel_Dem_Coal_TL" localSheetId="11">'Current policy reference data'!#REF!</definedName>
    <definedName name="XO_Fuel_Dem_Coal_TL" localSheetId="10">'Demonstration path data'!#REF!</definedName>
    <definedName name="XO_Fuel_Dem_Gas_TL" localSheetId="11">'Current policy reference data'!#REF!</definedName>
    <definedName name="XO_Fuel_Dem_Gas_TL" localSheetId="10">'Demonstration path data'!#REF!</definedName>
    <definedName name="XO_Fuel_Dem_Oil_noBIO_TL" localSheetId="11">'Current policy reference data'!#REF!</definedName>
    <definedName name="XO_Fuel_Dem_Oil_noBIO_TL" localSheetId="10">'Demonstration path data'!#REF!</definedName>
    <definedName name="XO_Fuel_Dem_Oil_TL" localSheetId="11">'Current policy reference data'!#REF!</definedName>
    <definedName name="XO_Fuel_Dem_Oil_TL" localSheetId="10">'Demonstration path data'!#REF!</definedName>
    <definedName name="XO_Fugitive_TL" localSheetId="11">'Current policy reference data'!#REF!</definedName>
    <definedName name="XO_Fugitive_TL" localSheetId="10">'Demonstration path data'!#REF!</definedName>
    <definedName name="XO_Gas_Field_Prodn_TL" localSheetId="11">'Current policy reference data'!#REF!</definedName>
    <definedName name="XO_Gas_Field_Prodn_TL" localSheetId="10">'Demonstration path data'!#REF!</definedName>
    <definedName name="XO_Gas_Price_Res_BreakdoTL" localSheetId="11">'Current policy reference data'!#REF!</definedName>
    <definedName name="XO_Gas_Price_Res_BreakdoTL" localSheetId="10">'Demonstration path data'!#REF!</definedName>
    <definedName name="XO_Gen_Emissions_Intensity_TL" localSheetId="11">'Current policy reference data'!#REF!</definedName>
    <definedName name="XO_Gen_Emissions_Intensity_TL" localSheetId="10">'Demonstration path data'!#REF!</definedName>
    <definedName name="XO_Gen_Fuel_TWh_TL" localSheetId="11">'Current policy reference data'!#REF!</definedName>
    <definedName name="XO_Gen_Fuel_TWh_TL" localSheetId="10">'Demonstration path data'!#REF!</definedName>
    <definedName name="XO_Gen_TWh_TL" localSheetId="11">'Current policy reference data'!#REF!</definedName>
    <definedName name="XO_Gen_TWh_TL" localSheetId="10">'Demonstration path data'!#REF!</definedName>
    <definedName name="XO_GenFuel_PJ_TL" localSheetId="11">'Current policy reference data'!#REF!</definedName>
    <definedName name="XO_GenFuel_PJ_TL" localSheetId="10">'Demonstration path data'!#REF!</definedName>
    <definedName name="XO_GHG_EnInd_TL" localSheetId="11">'Current policy reference data'!#REF!</definedName>
    <definedName name="XO_GHG_EnInd_TL" localSheetId="10">'Demonstration path data'!#REF!</definedName>
    <definedName name="XO_GHG_GenFuel_TL" localSheetId="11">'Current policy reference data'!#REF!</definedName>
    <definedName name="XO_GHG_GenFuel_TL" localSheetId="10">'Demonstration path data'!#REF!</definedName>
    <definedName name="XO_GHG_RCA_TL" localSheetId="11">'Current policy reference data'!#REF!</definedName>
    <definedName name="XO_GHG_RCA_TL" localSheetId="10">'Demonstration path data'!#REF!</definedName>
    <definedName name="XO_GHG_Sum_TL" localSheetId="11">'Current policy reference data'!$D$39</definedName>
    <definedName name="XO_GHG_Sum_TL" localSheetId="10">'Demonstration path data'!$D$39</definedName>
    <definedName name="XO_GHG_Tpt_Dom_TL" localSheetId="11">'Current policy reference data'!#REF!</definedName>
    <definedName name="XO_GHG_Tpt_Dom_TL" localSheetId="10">'Demonstration path data'!#REF!</definedName>
    <definedName name="XO_GHG_Tpt_Mode_Post_SynFuel_TL" localSheetId="11">'Current policy reference data'!#REF!</definedName>
    <definedName name="XO_GHG_Tpt_Mode_Post_SynFuel_TL" localSheetId="10">'Demonstration path data'!#REF!</definedName>
    <definedName name="XO_GHG_Tpt_Mode_Pre_SynFuel_TL" localSheetId="11">'Current policy reference data'!#REF!</definedName>
    <definedName name="XO_GHG_Tpt_Mode_Pre_SynFuel_TL" localSheetId="10">'Demonstration path data'!#REF!</definedName>
    <definedName name="XO_IPPU_TL" localSheetId="11">'Current policy reference data'!#REF!</definedName>
    <definedName name="XO_IPPU_TL" localSheetId="10">'Demonstration path data'!#REF!</definedName>
    <definedName name="XO_Lnd_Output_TL" localSheetId="11">'Current policy reference data'!#REF!</definedName>
    <definedName name="XO_Lnd_Output_TL" localSheetId="10">'Demonstration path data'!#REF!</definedName>
    <definedName name="XO_LndArea_Delta_TL" localSheetId="11">'Current policy reference data'!#REF!</definedName>
    <definedName name="XO_LndArea_Delta_TL" localSheetId="10">'Demonstration path data'!#REF!</definedName>
    <definedName name="XO_LndArea_TL" localSheetId="11">'Current policy reference data'!#REF!</definedName>
    <definedName name="XO_LndArea_TL" localSheetId="10">'Demonstration path data'!#REF!</definedName>
    <definedName name="XO_ManCon_GHG_En_TL" localSheetId="11">'Current policy reference data'!#REF!</definedName>
    <definedName name="XO_ManCon_GHG_En_TL" localSheetId="10">'Demonstration path data'!#REF!</definedName>
    <definedName name="XO_non_bio_gas_split_TL" localSheetId="11">'Current policy reference data'!#REF!</definedName>
    <definedName name="XO_non_bio_gas_split_TL" localSheetId="10">'Demonstration path data'!#REF!</definedName>
    <definedName name="XO_NonCH4_CCCSum_TL" localSheetId="11">'Current policy reference data'!#REF!</definedName>
    <definedName name="XO_NonCH4_CCCSum_TL" localSheetId="10">'Demonstration path data'!#REF!</definedName>
    <definedName name="XO_NonCH4_Sum_TL" localSheetId="11">'Current policy reference data'!#REF!</definedName>
    <definedName name="XO_NonCH4_Sum_TL" localSheetId="10">'Demonstration path data'!#REF!</definedName>
    <definedName name="XO_Pgen_Type_Emissions_TL" localSheetId="11">'Current policy reference data'!#REF!</definedName>
    <definedName name="XO_Pgen_Type_Emissions_TL" localSheetId="10">'Demonstration path data'!#REF!</definedName>
    <definedName name="XO_PRICE_ENERGY_TL" localSheetId="11">'Current policy reference data'!#REF!</definedName>
    <definedName name="XO_PRICE_ENERGY_TL" localSheetId="10">'Demonstration path data'!#REF!</definedName>
    <definedName name="XO_RCA_Tariff_ComponenTL" localSheetId="11">'Current policy reference data'!#REF!</definedName>
    <definedName name="XO_RCA_Tariff_ComponenTL" localSheetId="10">'Demonstration path data'!#REF!</definedName>
    <definedName name="XO_REG_FP_ELEC_TL" localSheetId="11">'Current policy reference data'!#REF!</definedName>
    <definedName name="XO_REG_FP_ELEC_TL" localSheetId="10">'Demonstration path data'!#REF!</definedName>
    <definedName name="XO_Sector_by_gas_TL" localSheetId="11">'Current policy reference data'!$D$49</definedName>
    <definedName name="XO_Sector_by_gas_TL" localSheetId="10">'Demonstration path data'!$D$49</definedName>
    <definedName name="XO_StockNum_TL" localSheetId="11">'Current policy reference data'!#REF!</definedName>
    <definedName name="XO_StockNum_TL" localSheetId="10">'Demonstration path data'!#REF!</definedName>
    <definedName name="XO_synFuelBlendprop_TL" localSheetId="11">'Current policy reference data'!#REF!</definedName>
    <definedName name="XO_synFuelBlendprop_TL" localSheetId="10">'Demonstration path data'!#REF!</definedName>
    <definedName name="XO_TFC_TL" localSheetId="11">'Current policy reference data'!#REF!</definedName>
    <definedName name="XO_TFC_TL" localSheetId="10">'Demonstration path data'!#REF!</definedName>
    <definedName name="XO_TPES_TL" localSheetId="11">'Current policy reference data'!#REF!</definedName>
    <definedName name="XO_TPES_TL" localSheetId="10">'Demonstration path data'!#REF!</definedName>
    <definedName name="XO_Tpt_Fossil_PJ_TL" localSheetId="11">'Current policy reference data'!#REF!</definedName>
    <definedName name="XO_Tpt_Fossil_PJ_TL" localSheetId="10">'Demonstration path data'!#REF!</definedName>
    <definedName name="XO_Vkt_Mode_Fuel_TL" localSheetId="11">'Current policy reference data'!#REF!</definedName>
    <definedName name="XO_Vkt_Mode_Fuel_TL" localSheetId="10">'Demonstration path data'!#REF!</definedName>
    <definedName name="XXX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XXX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0" l="1"/>
  <c r="J20" i="70"/>
  <c r="C20" i="70"/>
  <c r="C11" i="70" l="1"/>
  <c r="I32" i="78"/>
  <c r="E12" i="78"/>
  <c r="E18" i="78" s="1"/>
  <c r="F12" i="78"/>
  <c r="F18" i="78" s="1"/>
  <c r="G12" i="78"/>
  <c r="G18" i="78" s="1"/>
  <c r="H12" i="78"/>
  <c r="H18" i="78" s="1"/>
  <c r="E11" i="78"/>
  <c r="E17" i="78" s="1"/>
  <c r="F11" i="78"/>
  <c r="F17" i="78" s="1"/>
  <c r="G11" i="78"/>
  <c r="G17" i="78" s="1"/>
  <c r="H11" i="78"/>
  <c r="H17" i="78" s="1"/>
  <c r="D11" i="78"/>
  <c r="D17" i="78" s="1"/>
  <c r="D12" i="78"/>
  <c r="D18" i="78" s="1"/>
  <c r="E10" i="78"/>
  <c r="E16" i="78" s="1"/>
  <c r="F10" i="78"/>
  <c r="F16" i="78" s="1"/>
  <c r="G10" i="78"/>
  <c r="G16" i="78" s="1"/>
  <c r="H10" i="78"/>
  <c r="H16" i="78" s="1"/>
  <c r="D10" i="78"/>
  <c r="D16" i="78" s="1"/>
  <c r="I24" i="78"/>
  <c r="I23" i="78"/>
  <c r="I22" i="78"/>
  <c r="I15" i="78"/>
  <c r="I5" i="78"/>
  <c r="I4" i="78"/>
  <c r="I3" i="78"/>
  <c r="H13" i="78" l="1"/>
  <c r="F29" i="78"/>
  <c r="F13" i="78"/>
  <c r="D13" i="78"/>
  <c r="H30" i="78"/>
  <c r="E13" i="78"/>
  <c r="G13" i="78"/>
  <c r="I11" i="78"/>
  <c r="D28" i="78"/>
  <c r="F19" i="78"/>
  <c r="F28" i="78"/>
  <c r="D30" i="78"/>
  <c r="I18" i="78"/>
  <c r="G19" i="78"/>
  <c r="G29" i="78"/>
  <c r="H28" i="78"/>
  <c r="G30" i="78"/>
  <c r="E29" i="78"/>
  <c r="G28" i="78"/>
  <c r="I12" i="78"/>
  <c r="E30" i="78"/>
  <c r="F30" i="78"/>
  <c r="I10" i="78"/>
  <c r="I13" i="78" l="1"/>
  <c r="H19" i="78"/>
  <c r="H29" i="78"/>
  <c r="H31" i="78" s="1"/>
  <c r="I17" i="78"/>
  <c r="D29" i="78"/>
  <c r="D31" i="78" s="1"/>
  <c r="D19" i="78"/>
  <c r="G31" i="78"/>
  <c r="F31" i="78"/>
  <c r="E19" i="78"/>
  <c r="I16" i="78"/>
  <c r="E28" i="78"/>
  <c r="I30" i="78"/>
  <c r="I29" i="78" l="1"/>
  <c r="I19" i="78"/>
  <c r="E31" i="78"/>
  <c r="I31" i="78" s="1"/>
  <c r="I28" i="78"/>
  <c r="O14" i="62" l="1"/>
  <c r="Q14" i="62" s="1"/>
  <c r="R14" i="62"/>
  <c r="P14" i="62"/>
  <c r="O4" i="62"/>
  <c r="R3" i="62"/>
  <c r="Q3" i="62"/>
  <c r="E17" i="10"/>
  <c r="D17" i="10"/>
  <c r="V65" i="62"/>
  <c r="V50" i="62"/>
  <c r="V51" i="62"/>
  <c r="V52" i="62"/>
  <c r="V53" i="62"/>
  <c r="V54" i="62"/>
  <c r="V55" i="62"/>
  <c r="V56" i="62"/>
  <c r="V57" i="62"/>
  <c r="V58" i="62"/>
  <c r="V59" i="62"/>
  <c r="V49" i="62"/>
  <c r="V30" i="62"/>
  <c r="V29" i="62"/>
  <c r="V28" i="62"/>
  <c r="V27" i="62"/>
  <c r="V26" i="62"/>
  <c r="V25" i="62"/>
  <c r="V24" i="62"/>
  <c r="V23" i="62"/>
  <c r="V22" i="62"/>
  <c r="V21" i="62"/>
  <c r="V20" i="62"/>
  <c r="V4" i="62"/>
  <c r="V5" i="62"/>
  <c r="V6" i="62"/>
  <c r="V7" i="62"/>
  <c r="V8" i="62"/>
  <c r="V9" i="62"/>
  <c r="V10" i="62"/>
  <c r="V11" i="62"/>
  <c r="V12" i="62"/>
  <c r="V13" i="62"/>
  <c r="V3" i="62"/>
  <c r="T23" i="61"/>
  <c r="T26" i="61"/>
  <c r="T74" i="61"/>
  <c r="S14" i="62" l="1"/>
  <c r="F62" i="61"/>
  <c r="G60" i="61"/>
  <c r="H60" i="61"/>
  <c r="I60" i="61"/>
  <c r="J60" i="61"/>
  <c r="K60" i="61"/>
  <c r="L60" i="61"/>
  <c r="M60" i="61"/>
  <c r="N60" i="61"/>
  <c r="O60" i="61"/>
  <c r="P60" i="61"/>
  <c r="Q60" i="61"/>
  <c r="R60" i="61"/>
  <c r="S60" i="61"/>
  <c r="F60" i="61"/>
  <c r="K58" i="61" l="1"/>
  <c r="P14" i="10" l="1"/>
  <c r="F53" i="61"/>
  <c r="M29" i="62" l="1"/>
  <c r="M28" i="62"/>
  <c r="M31" i="62"/>
  <c r="M30" i="62"/>
  <c r="M27" i="62"/>
  <c r="M26" i="62"/>
  <c r="M25" i="62"/>
  <c r="M24" i="62"/>
  <c r="M22" i="62"/>
  <c r="M21" i="62"/>
  <c r="M20" i="62"/>
  <c r="H5" i="72" l="1"/>
  <c r="H7" i="72"/>
  <c r="H8" i="72"/>
  <c r="H9" i="72"/>
  <c r="H10" i="72"/>
  <c r="H4" i="72"/>
  <c r="F13" i="28"/>
  <c r="C24" i="76" s="1"/>
  <c r="E13" i="28"/>
  <c r="B24" i="76" s="1"/>
  <c r="E15" i="28" l="1"/>
  <c r="B4" i="76" s="1"/>
  <c r="F15" i="28"/>
  <c r="C4" i="76" s="1"/>
  <c r="P6" i="76"/>
  <c r="B43" i="76"/>
  <c r="C43" i="76"/>
  <c r="D43" i="76"/>
  <c r="E43" i="76"/>
  <c r="F43" i="76"/>
  <c r="G43" i="76" l="1"/>
  <c r="F30" i="75"/>
  <c r="F51" i="75"/>
  <c r="E51" i="75"/>
  <c r="E30" i="75"/>
  <c r="E41" i="75" l="1"/>
  <c r="C23" i="76" l="1"/>
  <c r="B23" i="76"/>
  <c r="C40" i="70"/>
  <c r="C58" i="70"/>
  <c r="C49" i="70"/>
  <c r="C32" i="76"/>
  <c r="B32" i="76"/>
  <c r="G6" i="76"/>
  <c r="I76" i="72" l="1"/>
  <c r="I74" i="72"/>
  <c r="I72" i="72"/>
  <c r="I71" i="72"/>
  <c r="I67" i="72"/>
  <c r="E20" i="72"/>
  <c r="D20" i="72"/>
  <c r="E19" i="72"/>
  <c r="D19" i="72"/>
  <c r="E16" i="72"/>
  <c r="D16" i="72"/>
  <c r="E15" i="72"/>
  <c r="D15" i="72"/>
  <c r="I22" i="72"/>
  <c r="I23" i="72"/>
  <c r="D22" i="70" l="1"/>
  <c r="D3" i="28" s="1"/>
  <c r="F22" i="70"/>
  <c r="G22" i="70"/>
  <c r="H22" i="70"/>
  <c r="E22" i="70"/>
  <c r="E3" i="28" l="1"/>
  <c r="G30" i="70"/>
  <c r="E30" i="70"/>
  <c r="E31" i="70" s="1"/>
  <c r="E33" i="72"/>
  <c r="E60" i="72"/>
  <c r="E46" i="72"/>
  <c r="G60" i="72"/>
  <c r="G46" i="72"/>
  <c r="G33" i="72"/>
  <c r="G20" i="72"/>
  <c r="H3" i="28"/>
  <c r="F3" i="28"/>
  <c r="H30" i="70"/>
  <c r="F60" i="72"/>
  <c r="F33" i="72"/>
  <c r="F20" i="72"/>
  <c r="F46" i="72"/>
  <c r="G3" i="28"/>
  <c r="F30" i="70"/>
  <c r="F31" i="70" s="1"/>
  <c r="D33" i="72"/>
  <c r="D46" i="72"/>
  <c r="D60" i="72"/>
  <c r="F16" i="76"/>
  <c r="E16" i="76"/>
  <c r="D16" i="76"/>
  <c r="C16" i="76"/>
  <c r="B16" i="76"/>
  <c r="C14" i="76"/>
  <c r="D12" i="75"/>
  <c r="E12" i="75" s="1"/>
  <c r="F12" i="75" s="1"/>
  <c r="G12" i="75" s="1"/>
  <c r="H12" i="75" s="1"/>
  <c r="K20" i="75"/>
  <c r="K18" i="75"/>
  <c r="J18" i="75" s="1"/>
  <c r="K17" i="75"/>
  <c r="C28" i="76" l="1"/>
  <c r="B28" i="76"/>
  <c r="B14" i="76"/>
  <c r="G16" i="76"/>
  <c r="I12" i="75"/>
  <c r="J12" i="75" s="1"/>
  <c r="K12" i="75" s="1"/>
  <c r="K26" i="75" s="1"/>
  <c r="J17" i="75"/>
  <c r="I18" i="75"/>
  <c r="J20" i="75"/>
  <c r="K35" i="75" l="1"/>
  <c r="K31" i="75"/>
  <c r="J26" i="75"/>
  <c r="K25" i="75"/>
  <c r="J47" i="75"/>
  <c r="I20" i="75"/>
  <c r="H18" i="75"/>
  <c r="I26" i="75"/>
  <c r="J25" i="75"/>
  <c r="I17" i="75"/>
  <c r="K47" i="75"/>
  <c r="J54" i="75" l="1"/>
  <c r="J51" i="75"/>
  <c r="K34" i="75"/>
  <c r="K30" i="75"/>
  <c r="K54" i="75"/>
  <c r="K51" i="75"/>
  <c r="J35" i="75"/>
  <c r="J31" i="75"/>
  <c r="I35" i="75"/>
  <c r="I31" i="75"/>
  <c r="J34" i="75"/>
  <c r="J30" i="75"/>
  <c r="F26" i="76"/>
  <c r="I47" i="75"/>
  <c r="H20" i="75"/>
  <c r="H26" i="75"/>
  <c r="G18" i="75"/>
  <c r="I25" i="75"/>
  <c r="H17" i="75"/>
  <c r="F53" i="76" l="1"/>
  <c r="I54" i="75"/>
  <c r="I51" i="75"/>
  <c r="I34" i="75"/>
  <c r="I30" i="75"/>
  <c r="H35" i="75"/>
  <c r="H31" i="75"/>
  <c r="G26" i="75"/>
  <c r="F18" i="75"/>
  <c r="H47" i="75"/>
  <c r="G20" i="75"/>
  <c r="H25" i="75"/>
  <c r="G17" i="75"/>
  <c r="E53" i="76" l="1"/>
  <c r="F23" i="76"/>
  <c r="F50" i="76"/>
  <c r="F59" i="76"/>
  <c r="F32" i="76"/>
  <c r="G35" i="75"/>
  <c r="G31" i="75"/>
  <c r="H34" i="75"/>
  <c r="H30" i="75"/>
  <c r="E26" i="76"/>
  <c r="H54" i="75"/>
  <c r="H51" i="75"/>
  <c r="G47" i="75"/>
  <c r="F20" i="75"/>
  <c r="E18" i="75"/>
  <c r="F26" i="75"/>
  <c r="F17" i="75"/>
  <c r="G25" i="75"/>
  <c r="D53" i="76" l="1"/>
  <c r="D26" i="76"/>
  <c r="E59" i="76"/>
  <c r="H41" i="75"/>
  <c r="E23" i="76"/>
  <c r="E50" i="76"/>
  <c r="F35" i="75"/>
  <c r="E32" i="76"/>
  <c r="G54" i="75"/>
  <c r="G51" i="75"/>
  <c r="G34" i="75"/>
  <c r="G30" i="75"/>
  <c r="H60" i="75"/>
  <c r="H42" i="75"/>
  <c r="E26" i="75"/>
  <c r="E35" i="75" s="1"/>
  <c r="D18" i="75"/>
  <c r="C18" i="75" s="1"/>
  <c r="F25" i="75"/>
  <c r="E17" i="75"/>
  <c r="F47" i="75"/>
  <c r="E20" i="75"/>
  <c r="C53" i="76" l="1"/>
  <c r="G41" i="75"/>
  <c r="D23" i="76"/>
  <c r="D50" i="76"/>
  <c r="B53" i="76"/>
  <c r="D59" i="76"/>
  <c r="D32" i="76"/>
  <c r="G60" i="75"/>
  <c r="E42" i="75"/>
  <c r="G42" i="75"/>
  <c r="F54" i="75"/>
  <c r="F34" i="75"/>
  <c r="F41" i="75"/>
  <c r="D17" i="75"/>
  <c r="E25" i="75"/>
  <c r="E34" i="75" s="1"/>
  <c r="D20" i="75"/>
  <c r="C20" i="75" s="1"/>
  <c r="E47" i="75"/>
  <c r="E54" i="75" s="1"/>
  <c r="B59" i="76" l="1"/>
  <c r="C50" i="76"/>
  <c r="C59" i="76"/>
  <c r="B50" i="76"/>
  <c r="F60" i="75"/>
  <c r="F42" i="75"/>
  <c r="C17" i="75"/>
  <c r="E60" i="75"/>
  <c r="E19" i="61" l="1"/>
  <c r="E41" i="61" s="1"/>
  <c r="D19" i="61"/>
  <c r="D41" i="61" s="1"/>
  <c r="E20" i="61"/>
  <c r="E42" i="61" s="1"/>
  <c r="D18" i="61"/>
  <c r="D40" i="61" s="1"/>
  <c r="F18" i="61"/>
  <c r="AI34" i="48"/>
  <c r="AI35" i="48" s="1"/>
  <c r="AH34" i="48"/>
  <c r="AH35" i="48" s="1"/>
  <c r="E22" i="61"/>
  <c r="E44" i="61" s="1"/>
  <c r="D22" i="61"/>
  <c r="E17" i="61"/>
  <c r="E39" i="61" s="1"/>
  <c r="E18" i="61"/>
  <c r="E40" i="61" s="1"/>
  <c r="E21" i="61"/>
  <c r="E43" i="61" s="1"/>
  <c r="D21" i="61"/>
  <c r="D43" i="61" s="1"/>
  <c r="D20" i="61"/>
  <c r="D42" i="61" s="1"/>
  <c r="D17" i="61"/>
  <c r="D39" i="61" s="1"/>
  <c r="E10" i="61"/>
  <c r="E11" i="61"/>
  <c r="E12" i="61" s="1"/>
  <c r="D11" i="61"/>
  <c r="D12" i="61" s="1"/>
  <c r="D10" i="61"/>
  <c r="E6" i="61"/>
  <c r="D6" i="61"/>
  <c r="E5" i="61"/>
  <c r="D5" i="61"/>
  <c r="F22" i="61"/>
  <c r="F23" i="61" s="1"/>
  <c r="L69" i="72"/>
  <c r="M69" i="72"/>
  <c r="N69" i="72"/>
  <c r="O69" i="72"/>
  <c r="P69" i="72"/>
  <c r="K69" i="72"/>
  <c r="J69" i="72"/>
  <c r="H69" i="72"/>
  <c r="G69" i="72"/>
  <c r="F69" i="72"/>
  <c r="E69" i="72"/>
  <c r="D69" i="72"/>
  <c r="H35" i="72"/>
  <c r="G35" i="72"/>
  <c r="F35" i="72"/>
  <c r="E35" i="72"/>
  <c r="D35" i="72"/>
  <c r="E18" i="72"/>
  <c r="D18" i="72"/>
  <c r="G11" i="72"/>
  <c r="F11" i="72"/>
  <c r="E11" i="72"/>
  <c r="D11" i="72"/>
  <c r="C11" i="72"/>
  <c r="G6" i="72"/>
  <c r="F6" i="72"/>
  <c r="E6" i="72"/>
  <c r="E17" i="72" s="1"/>
  <c r="D6" i="72"/>
  <c r="D17" i="72" s="1"/>
  <c r="C6" i="72"/>
  <c r="E48" i="72" l="1"/>
  <c r="E62" i="72"/>
  <c r="F48" i="72"/>
  <c r="F62" i="72"/>
  <c r="G48" i="72"/>
  <c r="G62" i="72"/>
  <c r="H48" i="72"/>
  <c r="I48" i="72" s="1"/>
  <c r="H62" i="72"/>
  <c r="D62" i="72"/>
  <c r="D48" i="72"/>
  <c r="H11" i="72"/>
  <c r="H6" i="72"/>
  <c r="T60" i="61"/>
  <c r="E7" i="61"/>
  <c r="E47" i="61"/>
  <c r="E48" i="61" s="1"/>
  <c r="E51" i="61" s="1"/>
  <c r="E52" i="61" s="1"/>
  <c r="D23" i="61"/>
  <c r="D44" i="61"/>
  <c r="D7" i="61"/>
  <c r="D47" i="61"/>
  <c r="D53" i="61" s="1"/>
  <c r="D24" i="72"/>
  <c r="I35" i="72"/>
  <c r="I69" i="72"/>
  <c r="E24" i="72"/>
  <c r="E25" i="61"/>
  <c r="E26" i="61" s="1"/>
  <c r="D25" i="61"/>
  <c r="E23" i="61"/>
  <c r="I62" i="72" l="1"/>
  <c r="E53" i="61"/>
  <c r="E54" i="61" s="1"/>
  <c r="D48" i="61"/>
  <c r="D51" i="61" s="1"/>
  <c r="D52" i="61" s="1"/>
  <c r="D54" i="61" s="1"/>
  <c r="B3" i="76"/>
  <c r="C3" i="76"/>
  <c r="D26" i="61"/>
  <c r="D33" i="61"/>
  <c r="E33" i="61"/>
  <c r="E27" i="61"/>
  <c r="D27" i="61"/>
  <c r="B5" i="76" l="1"/>
  <c r="B13" i="76"/>
  <c r="C5" i="76"/>
  <c r="C7" i="76" s="1"/>
  <c r="C13" i="76"/>
  <c r="E28" i="61"/>
  <c r="E31" i="61"/>
  <c r="E32" i="61" s="1"/>
  <c r="E34" i="61" s="1"/>
  <c r="D28" i="61"/>
  <c r="D31" i="61"/>
  <c r="D32" i="61" s="1"/>
  <c r="D34" i="61" s="1"/>
  <c r="C15" i="76" l="1"/>
  <c r="C17" i="76"/>
  <c r="B15" i="76"/>
  <c r="B7" i="76"/>
  <c r="B17" i="76" s="1"/>
  <c r="D20" i="70" l="1"/>
  <c r="D21" i="70" s="1"/>
  <c r="L17" i="70"/>
  <c r="O3" i="62" l="1"/>
  <c r="AK35" i="49"/>
  <c r="AL35" i="49"/>
  <c r="AM35" i="49"/>
  <c r="AN35" i="49"/>
  <c r="AO35" i="49"/>
  <c r="AP35" i="49"/>
  <c r="AQ35" i="49"/>
  <c r="AR35" i="49"/>
  <c r="AS35" i="49"/>
  <c r="AT35" i="49"/>
  <c r="AU35" i="49"/>
  <c r="AV35" i="49"/>
  <c r="AW35" i="49"/>
  <c r="AX35" i="49"/>
  <c r="AY35" i="49"/>
  <c r="AZ35" i="49"/>
  <c r="BA35" i="49"/>
  <c r="BB35" i="49"/>
  <c r="BC35" i="49"/>
  <c r="BD35" i="49"/>
  <c r="BE35" i="49"/>
  <c r="BF35" i="49"/>
  <c r="BG35" i="49"/>
  <c r="BH35" i="49"/>
  <c r="BI35" i="49"/>
  <c r="BJ35" i="49"/>
  <c r="BK35" i="49"/>
  <c r="BL35" i="49"/>
  <c r="AJ35" i="49"/>
  <c r="T57" i="61"/>
  <c r="C41" i="61"/>
  <c r="AK34" i="48" l="1"/>
  <c r="AL34" i="48"/>
  <c r="AM34" i="48"/>
  <c r="AN34" i="48"/>
  <c r="AO34" i="48"/>
  <c r="AP34" i="48"/>
  <c r="AQ34" i="48"/>
  <c r="AR34" i="48"/>
  <c r="AS34" i="48"/>
  <c r="AT34" i="48"/>
  <c r="AU34" i="48"/>
  <c r="AV34" i="48"/>
  <c r="AW34" i="48"/>
  <c r="AX34" i="48"/>
  <c r="AX35" i="48" s="1"/>
  <c r="AY34" i="48"/>
  <c r="AY35" i="48" s="1"/>
  <c r="AZ34" i="48"/>
  <c r="AZ35" i="48" s="1"/>
  <c r="BA34" i="48"/>
  <c r="BA35" i="48" s="1"/>
  <c r="BB34" i="48"/>
  <c r="BB35" i="48" s="1"/>
  <c r="BC34" i="48"/>
  <c r="BC35" i="48" s="1"/>
  <c r="BD34" i="48"/>
  <c r="BD35" i="48" s="1"/>
  <c r="BE34" i="48"/>
  <c r="BE35" i="48" s="1"/>
  <c r="BF34" i="48"/>
  <c r="BF35" i="48" s="1"/>
  <c r="BG34" i="48"/>
  <c r="BG35" i="48" s="1"/>
  <c r="BH34" i="48"/>
  <c r="BH35" i="48" s="1"/>
  <c r="BI34" i="48"/>
  <c r="BI35" i="48" s="1"/>
  <c r="BJ34" i="48"/>
  <c r="BJ35" i="48" s="1"/>
  <c r="BK34" i="48"/>
  <c r="BK35" i="48" s="1"/>
  <c r="BL34" i="48"/>
  <c r="BL35" i="48" s="1"/>
  <c r="AJ34" i="48"/>
  <c r="AJ35" i="48" s="1"/>
  <c r="M62" i="61" l="1"/>
  <c r="AQ35" i="48"/>
  <c r="N62" i="61"/>
  <c r="AR35" i="48"/>
  <c r="K62" i="61"/>
  <c r="AO35" i="48"/>
  <c r="J62" i="61"/>
  <c r="AN35" i="48"/>
  <c r="Q62" i="61"/>
  <c r="AU35" i="48"/>
  <c r="I62" i="61"/>
  <c r="AM35" i="48"/>
  <c r="R62" i="61"/>
  <c r="AV35" i="48"/>
  <c r="P62" i="61"/>
  <c r="AT35" i="48"/>
  <c r="H62" i="61"/>
  <c r="AL35" i="48"/>
  <c r="L62" i="61"/>
  <c r="AP35" i="48"/>
  <c r="S62" i="61"/>
  <c r="AW35" i="48"/>
  <c r="O62" i="61"/>
  <c r="AS35" i="48"/>
  <c r="G62" i="61"/>
  <c r="AK35" i="48"/>
  <c r="AK34" i="49"/>
  <c r="AL34" i="49"/>
  <c r="AM34" i="49"/>
  <c r="AN34" i="49"/>
  <c r="AO34" i="49"/>
  <c r="AP34" i="49"/>
  <c r="AQ34" i="49"/>
  <c r="AR34" i="49"/>
  <c r="AS34" i="49"/>
  <c r="AT34" i="49"/>
  <c r="AU34" i="49"/>
  <c r="AV34" i="49"/>
  <c r="AW34" i="49"/>
  <c r="AX34" i="49"/>
  <c r="AY34" i="49"/>
  <c r="AZ34" i="49"/>
  <c r="BA34" i="49"/>
  <c r="BB34" i="49"/>
  <c r="BC34" i="49"/>
  <c r="BD34" i="49"/>
  <c r="BE34" i="49"/>
  <c r="BF34" i="49"/>
  <c r="BG34" i="49"/>
  <c r="BH34" i="49"/>
  <c r="BI34" i="49"/>
  <c r="BJ34" i="49"/>
  <c r="BK34" i="49"/>
  <c r="BL34" i="49"/>
  <c r="AJ34" i="49"/>
  <c r="T62" i="61" l="1"/>
  <c r="H44" i="61"/>
  <c r="H45" i="61" s="1"/>
  <c r="F21" i="61" l="1"/>
  <c r="AR52" i="62" l="1"/>
  <c r="AQ52" i="62"/>
  <c r="AP52" i="62"/>
  <c r="AO52" i="62"/>
  <c r="AN52" i="62"/>
  <c r="AM52" i="62"/>
  <c r="AL52" i="62"/>
  <c r="AK52" i="62"/>
  <c r="AJ52" i="62"/>
  <c r="AI52" i="62"/>
  <c r="AH52" i="62"/>
  <c r="AG52" i="62"/>
  <c r="AF52" i="62"/>
  <c r="AE52" i="62"/>
  <c r="AD52" i="62"/>
  <c r="AC52" i="62"/>
  <c r="AB52" i="62"/>
  <c r="AA52" i="62"/>
  <c r="Z52" i="62"/>
  <c r="Y52" i="62"/>
  <c r="X52" i="62"/>
  <c r="W52" i="62"/>
  <c r="U52" i="62"/>
  <c r="T52" i="62"/>
  <c r="S52" i="62"/>
  <c r="R52" i="62"/>
  <c r="Q52" i="62"/>
  <c r="M60" i="62"/>
  <c r="L31" i="62"/>
  <c r="L60" i="62" s="1"/>
  <c r="K31" i="62"/>
  <c r="K60" i="62" s="1"/>
  <c r="J31" i="62"/>
  <c r="J60" i="62" s="1"/>
  <c r="I31" i="62"/>
  <c r="I60" i="62" s="1"/>
  <c r="H31" i="62"/>
  <c r="H60" i="62" s="1"/>
  <c r="G31" i="62"/>
  <c r="G60" i="62" s="1"/>
  <c r="F31" i="62"/>
  <c r="F60" i="62" s="1"/>
  <c r="E31" i="62"/>
  <c r="E60" i="62" s="1"/>
  <c r="D31" i="62"/>
  <c r="D60" i="62" s="1"/>
  <c r="M59" i="62"/>
  <c r="L30" i="62"/>
  <c r="L59" i="62" s="1"/>
  <c r="K30" i="62"/>
  <c r="K59" i="62" s="1"/>
  <c r="J30" i="62"/>
  <c r="J59" i="62" s="1"/>
  <c r="I30" i="62"/>
  <c r="I59" i="62" s="1"/>
  <c r="H30" i="62"/>
  <c r="H59" i="62" s="1"/>
  <c r="G30" i="62"/>
  <c r="G59" i="62" s="1"/>
  <c r="F30" i="62"/>
  <c r="F59" i="62" s="1"/>
  <c r="E30" i="62"/>
  <c r="E59" i="62" s="1"/>
  <c r="D30" i="62"/>
  <c r="D59" i="62" s="1"/>
  <c r="M58" i="62"/>
  <c r="L29" i="62"/>
  <c r="L58" i="62" s="1"/>
  <c r="K29" i="62"/>
  <c r="K58" i="62" s="1"/>
  <c r="J29" i="62"/>
  <c r="J58" i="62" s="1"/>
  <c r="I29" i="62"/>
  <c r="I58" i="62" s="1"/>
  <c r="H29" i="62"/>
  <c r="H58" i="62" s="1"/>
  <c r="G29" i="62"/>
  <c r="G58" i="62" s="1"/>
  <c r="F29" i="62"/>
  <c r="F58" i="62" s="1"/>
  <c r="E29" i="62"/>
  <c r="E58" i="62" s="1"/>
  <c r="D29" i="62"/>
  <c r="D58" i="62" s="1"/>
  <c r="M57" i="62"/>
  <c r="L28" i="62"/>
  <c r="L57" i="62" s="1"/>
  <c r="K28" i="62"/>
  <c r="K57" i="62" s="1"/>
  <c r="J28" i="62"/>
  <c r="J57" i="62" s="1"/>
  <c r="I28" i="62"/>
  <c r="I57" i="62" s="1"/>
  <c r="H28" i="62"/>
  <c r="H57" i="62" s="1"/>
  <c r="G28" i="62"/>
  <c r="G57" i="62" s="1"/>
  <c r="F28" i="62"/>
  <c r="F57" i="62" s="1"/>
  <c r="E28" i="62"/>
  <c r="E57" i="62" s="1"/>
  <c r="D28" i="62"/>
  <c r="D57" i="62" s="1"/>
  <c r="N27" i="62"/>
  <c r="N56" i="62" s="1"/>
  <c r="M56" i="62"/>
  <c r="L27" i="62"/>
  <c r="L56" i="62" s="1"/>
  <c r="K27" i="62"/>
  <c r="K56" i="62" s="1"/>
  <c r="J27" i="62"/>
  <c r="J56" i="62" s="1"/>
  <c r="I27" i="62"/>
  <c r="I56" i="62" s="1"/>
  <c r="H27" i="62"/>
  <c r="H56" i="62" s="1"/>
  <c r="G27" i="62"/>
  <c r="G56" i="62" s="1"/>
  <c r="F27" i="62"/>
  <c r="F56" i="62" s="1"/>
  <c r="E27" i="62"/>
  <c r="E56" i="62" s="1"/>
  <c r="D27" i="62"/>
  <c r="D56" i="62" s="1"/>
  <c r="N26" i="62"/>
  <c r="N55" i="62" s="1"/>
  <c r="M55" i="62"/>
  <c r="L26" i="62"/>
  <c r="L55" i="62" s="1"/>
  <c r="K26" i="62"/>
  <c r="K55" i="62" s="1"/>
  <c r="J26" i="62"/>
  <c r="J55" i="62" s="1"/>
  <c r="I26" i="62"/>
  <c r="I55" i="62" s="1"/>
  <c r="H26" i="62"/>
  <c r="H55" i="62" s="1"/>
  <c r="G26" i="62"/>
  <c r="G55" i="62" s="1"/>
  <c r="F26" i="62"/>
  <c r="F55" i="62" s="1"/>
  <c r="E26" i="62"/>
  <c r="E55" i="62" s="1"/>
  <c r="D26" i="62"/>
  <c r="D55" i="62" s="1"/>
  <c r="N25" i="62"/>
  <c r="N54" i="62" s="1"/>
  <c r="M54" i="62"/>
  <c r="L25" i="62"/>
  <c r="L54" i="62" s="1"/>
  <c r="K25" i="62"/>
  <c r="K54" i="62" s="1"/>
  <c r="J25" i="62"/>
  <c r="J54" i="62" s="1"/>
  <c r="I25" i="62"/>
  <c r="I54" i="62" s="1"/>
  <c r="H25" i="62"/>
  <c r="H54" i="62" s="1"/>
  <c r="G25" i="62"/>
  <c r="G54" i="62" s="1"/>
  <c r="F25" i="62"/>
  <c r="F54" i="62" s="1"/>
  <c r="E25" i="62"/>
  <c r="E54" i="62" s="1"/>
  <c r="D25" i="62"/>
  <c r="D54" i="62" s="1"/>
  <c r="M53" i="62"/>
  <c r="L24" i="62"/>
  <c r="L53" i="62" s="1"/>
  <c r="K24" i="62"/>
  <c r="K53" i="62" s="1"/>
  <c r="J24" i="62"/>
  <c r="J53" i="62" s="1"/>
  <c r="I24" i="62"/>
  <c r="I53" i="62" s="1"/>
  <c r="H24" i="62"/>
  <c r="H53" i="62" s="1"/>
  <c r="G24" i="62"/>
  <c r="G53" i="62" s="1"/>
  <c r="F24" i="62"/>
  <c r="F53" i="62" s="1"/>
  <c r="E24" i="62"/>
  <c r="E53" i="62" s="1"/>
  <c r="D24" i="62"/>
  <c r="D53" i="62" s="1"/>
  <c r="L23" i="62"/>
  <c r="L52" i="62" s="1"/>
  <c r="K23" i="62"/>
  <c r="K52" i="62" s="1"/>
  <c r="J23" i="62"/>
  <c r="J52" i="62" s="1"/>
  <c r="I23" i="62"/>
  <c r="I52" i="62" s="1"/>
  <c r="H23" i="62"/>
  <c r="H52" i="62" s="1"/>
  <c r="G23" i="62"/>
  <c r="G52" i="62" s="1"/>
  <c r="F23" i="62"/>
  <c r="F52" i="62" s="1"/>
  <c r="E23" i="62"/>
  <c r="E52" i="62" s="1"/>
  <c r="D23" i="62"/>
  <c r="D52" i="62" s="1"/>
  <c r="M51" i="62"/>
  <c r="L22" i="62"/>
  <c r="L51" i="62" s="1"/>
  <c r="K22" i="62"/>
  <c r="K51" i="62" s="1"/>
  <c r="J22" i="62"/>
  <c r="J51" i="62" s="1"/>
  <c r="I22" i="62"/>
  <c r="I51" i="62" s="1"/>
  <c r="H22" i="62"/>
  <c r="H51" i="62" s="1"/>
  <c r="G22" i="62"/>
  <c r="G51" i="62" s="1"/>
  <c r="F22" i="62"/>
  <c r="F51" i="62" s="1"/>
  <c r="E22" i="62"/>
  <c r="E51" i="62" s="1"/>
  <c r="D22" i="62"/>
  <c r="D51" i="62" s="1"/>
  <c r="M50" i="62"/>
  <c r="L21" i="62"/>
  <c r="L50" i="62" s="1"/>
  <c r="K21" i="62"/>
  <c r="K50" i="62" s="1"/>
  <c r="J21" i="62"/>
  <c r="J50" i="62" s="1"/>
  <c r="I21" i="62"/>
  <c r="I50" i="62" s="1"/>
  <c r="H21" i="62"/>
  <c r="H50" i="62" s="1"/>
  <c r="G21" i="62"/>
  <c r="G50" i="62" s="1"/>
  <c r="F21" i="62"/>
  <c r="F50" i="62" s="1"/>
  <c r="E21" i="62"/>
  <c r="E50" i="62" s="1"/>
  <c r="D21" i="62"/>
  <c r="D50" i="62" s="1"/>
  <c r="L20" i="62"/>
  <c r="K20" i="62"/>
  <c r="J20" i="62"/>
  <c r="I20" i="62"/>
  <c r="H20" i="62"/>
  <c r="G20" i="62"/>
  <c r="F20" i="62"/>
  <c r="E20" i="62"/>
  <c r="D20" i="62"/>
  <c r="D49" i="62" s="1"/>
  <c r="L15" i="62"/>
  <c r="K15" i="62"/>
  <c r="J15" i="62"/>
  <c r="I15" i="62"/>
  <c r="H15" i="62"/>
  <c r="G15" i="62"/>
  <c r="F15" i="62"/>
  <c r="E15" i="62"/>
  <c r="D15" i="62"/>
  <c r="C15" i="62"/>
  <c r="O31" i="62"/>
  <c r="O60" i="62" s="1"/>
  <c r="O13" i="62"/>
  <c r="O30" i="62" s="1"/>
  <c r="O59" i="62" s="1"/>
  <c r="N30" i="62"/>
  <c r="N59" i="62" s="1"/>
  <c r="N29" i="62"/>
  <c r="N58" i="62" s="1"/>
  <c r="O11" i="62"/>
  <c r="O28" i="62" s="1"/>
  <c r="O57" i="62" s="1"/>
  <c r="O10" i="62"/>
  <c r="O9" i="62"/>
  <c r="P9" i="62" s="1"/>
  <c r="Q9" i="62" s="1"/>
  <c r="Q26" i="62" s="1"/>
  <c r="Q55" i="62" s="1"/>
  <c r="O8" i="62"/>
  <c r="O25" i="62" s="1"/>
  <c r="O54" i="62" s="1"/>
  <c r="O7" i="62"/>
  <c r="O24" i="62" s="1"/>
  <c r="O53" i="62" s="1"/>
  <c r="M6" i="62"/>
  <c r="O5" i="62"/>
  <c r="O22" i="62" s="1"/>
  <c r="O51" i="62" s="1"/>
  <c r="P3" i="62"/>
  <c r="M23" i="62" l="1"/>
  <c r="M52" i="62" s="1"/>
  <c r="M15" i="62"/>
  <c r="Q31" i="62"/>
  <c r="R9" i="62"/>
  <c r="S9" i="62" s="1"/>
  <c r="P8" i="62"/>
  <c r="Q8" i="62" s="1"/>
  <c r="Q25" i="62" s="1"/>
  <c r="Q54" i="62" s="1"/>
  <c r="P20" i="62"/>
  <c r="N20" i="62"/>
  <c r="N15" i="62"/>
  <c r="P5" i="62"/>
  <c r="P10" i="62"/>
  <c r="O27" i="62"/>
  <c r="O56" i="62" s="1"/>
  <c r="P11" i="62"/>
  <c r="P26" i="62"/>
  <c r="P55" i="62" s="1"/>
  <c r="K49" i="62"/>
  <c r="K63" i="62" s="1"/>
  <c r="K64" i="62" s="1"/>
  <c r="K32" i="62"/>
  <c r="N24" i="62"/>
  <c r="N53" i="62" s="1"/>
  <c r="N28" i="62"/>
  <c r="N57" i="62" s="1"/>
  <c r="D63" i="62"/>
  <c r="D64" i="62" s="1"/>
  <c r="O20" i="62"/>
  <c r="N31" i="62"/>
  <c r="N60" i="62" s="1"/>
  <c r="O6" i="62"/>
  <c r="N23" i="62"/>
  <c r="N52" i="62" s="1"/>
  <c r="D32" i="62"/>
  <c r="L32" i="62"/>
  <c r="E49" i="62"/>
  <c r="E63" i="62" s="1"/>
  <c r="E64" i="62" s="1"/>
  <c r="E32" i="62"/>
  <c r="M49" i="62"/>
  <c r="N21" i="62"/>
  <c r="N50" i="62" s="1"/>
  <c r="P7" i="62"/>
  <c r="P25" i="62"/>
  <c r="P54" i="62" s="1"/>
  <c r="O26" i="62"/>
  <c r="O55" i="62" s="1"/>
  <c r="F49" i="62"/>
  <c r="F63" i="62" s="1"/>
  <c r="F64" i="62" s="1"/>
  <c r="F32" i="62"/>
  <c r="N22" i="62"/>
  <c r="N51" i="62" s="1"/>
  <c r="L49" i="62"/>
  <c r="L63" i="62" s="1"/>
  <c r="L64" i="62" s="1"/>
  <c r="G49" i="62"/>
  <c r="G63" i="62" s="1"/>
  <c r="G64" i="62" s="1"/>
  <c r="G32" i="62"/>
  <c r="H49" i="62"/>
  <c r="H63" i="62" s="1"/>
  <c r="H64" i="62" s="1"/>
  <c r="H32" i="62"/>
  <c r="P13" i="62"/>
  <c r="I49" i="62"/>
  <c r="I63" i="62" s="1"/>
  <c r="I64" i="62" s="1"/>
  <c r="I32" i="62"/>
  <c r="O12" i="62"/>
  <c r="J49" i="62"/>
  <c r="J63" i="62" s="1"/>
  <c r="J64" i="62" s="1"/>
  <c r="J32" i="62"/>
  <c r="F5" i="61"/>
  <c r="F17" i="61"/>
  <c r="C5" i="10"/>
  <c r="C4" i="10"/>
  <c r="F88" i="61"/>
  <c r="G88" i="61"/>
  <c r="H88" i="61"/>
  <c r="I88" i="61"/>
  <c r="J88" i="61"/>
  <c r="K88" i="61"/>
  <c r="L88" i="61"/>
  <c r="M88" i="61"/>
  <c r="N88" i="61"/>
  <c r="O88" i="61"/>
  <c r="P88" i="61"/>
  <c r="Q88" i="61"/>
  <c r="R88" i="61"/>
  <c r="S88" i="61"/>
  <c r="F102" i="61"/>
  <c r="G102" i="61"/>
  <c r="H102" i="61"/>
  <c r="I102" i="61"/>
  <c r="J102" i="61"/>
  <c r="K102" i="61"/>
  <c r="L102" i="61"/>
  <c r="M102" i="61"/>
  <c r="N102" i="61"/>
  <c r="O102" i="61"/>
  <c r="P102" i="61"/>
  <c r="Q102" i="61"/>
  <c r="R102" i="61"/>
  <c r="S102" i="61"/>
  <c r="G44" i="61"/>
  <c r="G45" i="61" s="1"/>
  <c r="I44" i="61"/>
  <c r="I45" i="61" s="1"/>
  <c r="J44" i="61"/>
  <c r="J45" i="61" s="1"/>
  <c r="K44" i="61"/>
  <c r="K45" i="61" s="1"/>
  <c r="L44" i="61"/>
  <c r="L45" i="61" s="1"/>
  <c r="M44" i="61"/>
  <c r="M45" i="61" s="1"/>
  <c r="N44" i="61"/>
  <c r="N45" i="61" s="1"/>
  <c r="O44" i="61"/>
  <c r="O45" i="61" s="1"/>
  <c r="P44" i="61"/>
  <c r="P45" i="61" s="1"/>
  <c r="Q44" i="61"/>
  <c r="Q45" i="61" s="1"/>
  <c r="R44" i="61"/>
  <c r="R45" i="61" s="1"/>
  <c r="S44" i="61"/>
  <c r="S45" i="61" s="1"/>
  <c r="F44" i="61"/>
  <c r="F45" i="61" s="1"/>
  <c r="G41" i="61"/>
  <c r="H41" i="61"/>
  <c r="I41" i="61"/>
  <c r="J41" i="61"/>
  <c r="K41" i="61"/>
  <c r="L41" i="61"/>
  <c r="M41" i="61"/>
  <c r="N41" i="61"/>
  <c r="O41" i="61"/>
  <c r="P41" i="61"/>
  <c r="Q41" i="61"/>
  <c r="R41" i="61"/>
  <c r="S41" i="61"/>
  <c r="F41" i="61"/>
  <c r="G40" i="61"/>
  <c r="D5" i="10"/>
  <c r="E5" i="10"/>
  <c r="F5" i="10"/>
  <c r="G5" i="10"/>
  <c r="H5" i="10"/>
  <c r="I5" i="10"/>
  <c r="J5" i="10"/>
  <c r="K5" i="10"/>
  <c r="L5" i="10"/>
  <c r="M5" i="10"/>
  <c r="N5" i="10"/>
  <c r="O5" i="10"/>
  <c r="D4" i="10"/>
  <c r="E4" i="10"/>
  <c r="F4" i="10"/>
  <c r="G4" i="10"/>
  <c r="H4" i="10"/>
  <c r="I4" i="10"/>
  <c r="J4" i="10"/>
  <c r="K4" i="10"/>
  <c r="L4" i="10"/>
  <c r="M4" i="10"/>
  <c r="N4" i="10"/>
  <c r="O4" i="10"/>
  <c r="D8" i="10"/>
  <c r="E8" i="10"/>
  <c r="E9" i="10" s="1"/>
  <c r="F8" i="10"/>
  <c r="F9" i="10" s="1"/>
  <c r="G8" i="10"/>
  <c r="G9" i="10" s="1"/>
  <c r="H8" i="10"/>
  <c r="H9" i="10" s="1"/>
  <c r="I8" i="10"/>
  <c r="I9" i="10" s="1"/>
  <c r="J8" i="10"/>
  <c r="J9" i="10" s="1"/>
  <c r="K8" i="10"/>
  <c r="K9" i="10" s="1"/>
  <c r="L8" i="10"/>
  <c r="L9" i="10" s="1"/>
  <c r="M8" i="10"/>
  <c r="M9" i="10" s="1"/>
  <c r="N8" i="10"/>
  <c r="N9" i="10" s="1"/>
  <c r="O8" i="10"/>
  <c r="O9" i="10" s="1"/>
  <c r="C8" i="10"/>
  <c r="C9" i="10" s="1"/>
  <c r="Q60" i="62" l="1"/>
  <c r="P5" i="10"/>
  <c r="M32" i="62"/>
  <c r="M63" i="62"/>
  <c r="M64" i="62" s="1"/>
  <c r="M66" i="62" s="1"/>
  <c r="T88" i="61"/>
  <c r="D9" i="10"/>
  <c r="P9" i="10" s="1"/>
  <c r="P8" i="10"/>
  <c r="T102" i="61"/>
  <c r="P4" i="10"/>
  <c r="R8" i="62"/>
  <c r="R25" i="62" s="1"/>
  <c r="R54" i="62" s="1"/>
  <c r="T44" i="61"/>
  <c r="T45" i="61" s="1"/>
  <c r="T41" i="61"/>
  <c r="O15" i="62"/>
  <c r="R26" i="62"/>
  <c r="R55" i="62" s="1"/>
  <c r="C11" i="10"/>
  <c r="C12" i="10" s="1"/>
  <c r="Q10" i="62"/>
  <c r="P27" i="62"/>
  <c r="P56" i="62" s="1"/>
  <c r="O29" i="62"/>
  <c r="O58" i="62" s="1"/>
  <c r="P12" i="62"/>
  <c r="S26" i="62"/>
  <c r="S55" i="62" s="1"/>
  <c r="T9" i="62"/>
  <c r="P6" i="62"/>
  <c r="P23" i="62" s="1"/>
  <c r="P52" i="62" s="1"/>
  <c r="O23" i="62"/>
  <c r="O52" i="62" s="1"/>
  <c r="P22" i="62"/>
  <c r="P51" i="62" s="1"/>
  <c r="Q5" i="62"/>
  <c r="P30" i="62"/>
  <c r="P59" i="62" s="1"/>
  <c r="Q13" i="62"/>
  <c r="P31" i="62"/>
  <c r="P60" i="62" s="1"/>
  <c r="N49" i="62"/>
  <c r="N63" i="62" s="1"/>
  <c r="N64" i="62" s="1"/>
  <c r="N66" i="62" s="1"/>
  <c r="N32" i="62"/>
  <c r="S31" i="62"/>
  <c r="S60" i="62" s="1"/>
  <c r="U14" i="62"/>
  <c r="V14" i="62" s="1"/>
  <c r="Q20" i="62"/>
  <c r="Q11" i="62"/>
  <c r="P28" i="62"/>
  <c r="P57" i="62" s="1"/>
  <c r="O21" i="62"/>
  <c r="O50" i="62" s="1"/>
  <c r="P4" i="62"/>
  <c r="Q7" i="62"/>
  <c r="P24" i="62"/>
  <c r="P53" i="62" s="1"/>
  <c r="O49" i="62"/>
  <c r="P49" i="62"/>
  <c r="S8" i="62" l="1"/>
  <c r="C36" i="70"/>
  <c r="O32" i="62"/>
  <c r="O63" i="62"/>
  <c r="O64" i="62" s="1"/>
  <c r="O66" i="62" s="1"/>
  <c r="T26" i="62"/>
  <c r="T55" i="62" s="1"/>
  <c r="U9" i="62"/>
  <c r="R7" i="62"/>
  <c r="Q24" i="62"/>
  <c r="Q53" i="62" s="1"/>
  <c r="P29" i="62"/>
  <c r="P58" i="62" s="1"/>
  <c r="Q12" i="62"/>
  <c r="S25" i="62"/>
  <c r="S54" i="62" s="1"/>
  <c r="T8" i="62"/>
  <c r="R11" i="62"/>
  <c r="Q28" i="62"/>
  <c r="Q57" i="62" s="1"/>
  <c r="R20" i="62"/>
  <c r="S3" i="62"/>
  <c r="Q49" i="62"/>
  <c r="Q22" i="62"/>
  <c r="Q51" i="62" s="1"/>
  <c r="R5" i="62"/>
  <c r="R31" i="62"/>
  <c r="R60" i="62" s="1"/>
  <c r="T14" i="62"/>
  <c r="Q30" i="62"/>
  <c r="Q59" i="62" s="1"/>
  <c r="R13" i="62"/>
  <c r="U31" i="62"/>
  <c r="U60" i="62" s="1"/>
  <c r="V60" i="62" s="1"/>
  <c r="X14" i="62"/>
  <c r="P21" i="62"/>
  <c r="Q4" i="62"/>
  <c r="P15" i="62"/>
  <c r="R10" i="62"/>
  <c r="Q27" i="62"/>
  <c r="Q56" i="62" s="1"/>
  <c r="F39" i="61"/>
  <c r="F40" i="61"/>
  <c r="F43" i="61"/>
  <c r="F42" i="61"/>
  <c r="F19" i="61"/>
  <c r="F79" i="61"/>
  <c r="F20" i="61"/>
  <c r="F61" i="61"/>
  <c r="S22" i="61"/>
  <c r="R22" i="61"/>
  <c r="Q22" i="61"/>
  <c r="P22" i="61"/>
  <c r="O22" i="61"/>
  <c r="N22" i="61"/>
  <c r="M22" i="61"/>
  <c r="L22" i="61"/>
  <c r="K22" i="61"/>
  <c r="J22" i="61"/>
  <c r="I22" i="61"/>
  <c r="H22" i="61"/>
  <c r="G22" i="61"/>
  <c r="H20" i="61"/>
  <c r="I20" i="61"/>
  <c r="J20" i="61"/>
  <c r="K20" i="61"/>
  <c r="L20" i="61"/>
  <c r="M20" i="61"/>
  <c r="N20" i="61"/>
  <c r="O20" i="61"/>
  <c r="P20" i="61"/>
  <c r="Q20" i="61"/>
  <c r="R20" i="61"/>
  <c r="S20" i="61"/>
  <c r="G20" i="61"/>
  <c r="H21" i="61"/>
  <c r="I21" i="61"/>
  <c r="I79" i="61" s="1"/>
  <c r="J21" i="61"/>
  <c r="J79" i="61" s="1"/>
  <c r="K21" i="61"/>
  <c r="K79" i="61" s="1"/>
  <c r="L21" i="61"/>
  <c r="L79" i="61" s="1"/>
  <c r="M21" i="61"/>
  <c r="M79" i="61" s="1"/>
  <c r="N21" i="61"/>
  <c r="N79" i="61" s="1"/>
  <c r="O21" i="61"/>
  <c r="O79" i="61" s="1"/>
  <c r="P21" i="61"/>
  <c r="P79" i="61" s="1"/>
  <c r="Q21" i="61"/>
  <c r="Q79" i="61" s="1"/>
  <c r="R21" i="61"/>
  <c r="R79" i="61" s="1"/>
  <c r="S21" i="61"/>
  <c r="S79" i="61" s="1"/>
  <c r="G21" i="61"/>
  <c r="G79" i="61" s="1"/>
  <c r="H19" i="61"/>
  <c r="I19" i="61"/>
  <c r="J19" i="61"/>
  <c r="K19" i="61"/>
  <c r="L19" i="61"/>
  <c r="M19" i="61"/>
  <c r="N19" i="61"/>
  <c r="O19" i="61"/>
  <c r="P19" i="61"/>
  <c r="Q19" i="61"/>
  <c r="R19" i="61"/>
  <c r="S19" i="61"/>
  <c r="G19" i="61"/>
  <c r="H18" i="61"/>
  <c r="I18" i="61"/>
  <c r="J18" i="61"/>
  <c r="K18" i="61"/>
  <c r="L18" i="61"/>
  <c r="M18" i="61"/>
  <c r="N18" i="61"/>
  <c r="O18" i="61"/>
  <c r="P18" i="61"/>
  <c r="Q18" i="61"/>
  <c r="R18" i="61"/>
  <c r="S18" i="61"/>
  <c r="G18" i="61"/>
  <c r="H17" i="61"/>
  <c r="I17" i="61"/>
  <c r="J17" i="61"/>
  <c r="K17" i="61"/>
  <c r="L17" i="61"/>
  <c r="M17" i="61"/>
  <c r="N17" i="61"/>
  <c r="O17" i="61"/>
  <c r="P17" i="61"/>
  <c r="Q17" i="61"/>
  <c r="R17" i="61"/>
  <c r="S17" i="61"/>
  <c r="G17" i="61"/>
  <c r="H42" i="61"/>
  <c r="I42" i="61"/>
  <c r="J42" i="61"/>
  <c r="K42" i="61"/>
  <c r="L42" i="61"/>
  <c r="M42" i="61"/>
  <c r="N42" i="61"/>
  <c r="O42" i="61"/>
  <c r="P42" i="61"/>
  <c r="Q42" i="61"/>
  <c r="R42" i="61"/>
  <c r="S42" i="61"/>
  <c r="G42" i="61"/>
  <c r="S43" i="61"/>
  <c r="R43" i="61"/>
  <c r="Q43" i="61"/>
  <c r="P43" i="61"/>
  <c r="O43" i="61"/>
  <c r="N43" i="61"/>
  <c r="M43" i="61"/>
  <c r="L43" i="61"/>
  <c r="K43" i="61"/>
  <c r="J43" i="61"/>
  <c r="I43" i="61"/>
  <c r="H43" i="61"/>
  <c r="G43" i="61"/>
  <c r="H40" i="61"/>
  <c r="I40" i="61"/>
  <c r="J40" i="61"/>
  <c r="K40" i="61"/>
  <c r="L40" i="61"/>
  <c r="M40" i="61"/>
  <c r="N40" i="61"/>
  <c r="O40" i="61"/>
  <c r="P40" i="61"/>
  <c r="Q40" i="61"/>
  <c r="R40" i="61"/>
  <c r="S40" i="61"/>
  <c r="V31" i="62" l="1"/>
  <c r="J61" i="61"/>
  <c r="J23" i="61"/>
  <c r="R61" i="61"/>
  <c r="R23" i="61"/>
  <c r="Q61" i="61"/>
  <c r="Q23" i="61"/>
  <c r="K61" i="61"/>
  <c r="K23" i="61"/>
  <c r="S61" i="61"/>
  <c r="S23" i="61"/>
  <c r="C54" i="70"/>
  <c r="C45" i="70"/>
  <c r="I61" i="61"/>
  <c r="I23" i="61"/>
  <c r="L61" i="61"/>
  <c r="L23" i="61"/>
  <c r="M61" i="61"/>
  <c r="M23" i="61"/>
  <c r="N61" i="61"/>
  <c r="N23" i="61"/>
  <c r="G61" i="61"/>
  <c r="G23" i="61"/>
  <c r="O61" i="61"/>
  <c r="O23" i="61"/>
  <c r="H61" i="61"/>
  <c r="H23" i="61"/>
  <c r="P61" i="61"/>
  <c r="P23" i="61"/>
  <c r="T40" i="61"/>
  <c r="T43" i="61"/>
  <c r="T42" i="61"/>
  <c r="T20" i="61"/>
  <c r="T19" i="61"/>
  <c r="T18" i="61"/>
  <c r="T22" i="61"/>
  <c r="H79" i="61"/>
  <c r="T21" i="61"/>
  <c r="T17" i="61"/>
  <c r="Q29" i="62"/>
  <c r="Q58" i="62" s="1"/>
  <c r="R12" i="62"/>
  <c r="S20" i="62"/>
  <c r="T3" i="62"/>
  <c r="X31" i="62"/>
  <c r="X60" i="62" s="1"/>
  <c r="Z14" i="62"/>
  <c r="R30" i="62"/>
  <c r="R59" i="62" s="1"/>
  <c r="S13" i="62"/>
  <c r="S10" i="62"/>
  <c r="R27" i="62"/>
  <c r="R56" i="62" s="1"/>
  <c r="W14" i="62"/>
  <c r="T31" i="62"/>
  <c r="T60" i="62" s="1"/>
  <c r="R49" i="62"/>
  <c r="R24" i="62"/>
  <c r="R53" i="62" s="1"/>
  <c r="S7" i="62"/>
  <c r="U26" i="62"/>
  <c r="U55" i="62" s="1"/>
  <c r="W9" i="62"/>
  <c r="Q21" i="62"/>
  <c r="R4" i="62"/>
  <c r="Q15" i="62"/>
  <c r="R22" i="62"/>
  <c r="R51" i="62" s="1"/>
  <c r="S5" i="62"/>
  <c r="S11" i="62"/>
  <c r="R28" i="62"/>
  <c r="R57" i="62" s="1"/>
  <c r="P50" i="62"/>
  <c r="P32" i="62"/>
  <c r="T25" i="62"/>
  <c r="T54" i="62" s="1"/>
  <c r="U8" i="62"/>
  <c r="L82" i="61"/>
  <c r="L92" i="61" s="1"/>
  <c r="L105" i="61" s="1"/>
  <c r="Q80" i="61"/>
  <c r="Q90" i="61" s="1"/>
  <c r="Q104" i="61" s="1"/>
  <c r="I80" i="61"/>
  <c r="I90" i="61" s="1"/>
  <c r="I104" i="61" s="1"/>
  <c r="K83" i="61"/>
  <c r="S83" i="61"/>
  <c r="K82" i="61"/>
  <c r="K92" i="61" s="1"/>
  <c r="K105" i="61" s="1"/>
  <c r="P80" i="61"/>
  <c r="P90" i="61" s="1"/>
  <c r="P104" i="61" s="1"/>
  <c r="H80" i="61"/>
  <c r="L83" i="61"/>
  <c r="F83" i="61"/>
  <c r="O81" i="61"/>
  <c r="O91" i="61" s="1"/>
  <c r="M81" i="61"/>
  <c r="M91" i="61" s="1"/>
  <c r="J82" i="61"/>
  <c r="J92" i="61" s="1"/>
  <c r="J105" i="61" s="1"/>
  <c r="O80" i="61"/>
  <c r="O90" i="61" s="1"/>
  <c r="O104" i="61" s="1"/>
  <c r="M83" i="61"/>
  <c r="S82" i="61"/>
  <c r="S92" i="61" s="1"/>
  <c r="S105" i="61" s="1"/>
  <c r="L81" i="61"/>
  <c r="L91" i="61" s="1"/>
  <c r="Q82" i="61"/>
  <c r="N80" i="61"/>
  <c r="N90" i="61" s="1"/>
  <c r="N104" i="61" s="1"/>
  <c r="N83" i="61"/>
  <c r="G81" i="61"/>
  <c r="I82" i="61"/>
  <c r="I92" i="61" s="1"/>
  <c r="I105" i="61" s="1"/>
  <c r="S81" i="61"/>
  <c r="S91" i="61" s="1"/>
  <c r="K81" i="61"/>
  <c r="K91" i="61" s="1"/>
  <c r="P82" i="61"/>
  <c r="P92" i="61" s="1"/>
  <c r="P105" i="61" s="1"/>
  <c r="H82" i="61"/>
  <c r="M80" i="61"/>
  <c r="G83" i="61"/>
  <c r="O83" i="61"/>
  <c r="F80" i="61"/>
  <c r="F90" i="61" s="1"/>
  <c r="F104" i="61" s="1"/>
  <c r="G82" i="61"/>
  <c r="R82" i="61"/>
  <c r="R92" i="61" s="1"/>
  <c r="R105" i="61" s="1"/>
  <c r="R81" i="61"/>
  <c r="R91" i="61" s="1"/>
  <c r="J81" i="61"/>
  <c r="J91" i="61" s="1"/>
  <c r="O82" i="61"/>
  <c r="O92" i="61" s="1"/>
  <c r="O105" i="61" s="1"/>
  <c r="G80" i="61"/>
  <c r="G90" i="61" s="1"/>
  <c r="G104" i="61" s="1"/>
  <c r="L80" i="61"/>
  <c r="L84" i="61" s="1"/>
  <c r="L85" i="61" s="1"/>
  <c r="H83" i="61"/>
  <c r="P83" i="61"/>
  <c r="F82" i="61"/>
  <c r="Q81" i="61"/>
  <c r="Q91" i="61" s="1"/>
  <c r="I81" i="61"/>
  <c r="I91" i="61" s="1"/>
  <c r="N82" i="61"/>
  <c r="N92" i="61" s="1"/>
  <c r="N105" i="61" s="1"/>
  <c r="S80" i="61"/>
  <c r="S90" i="61" s="1"/>
  <c r="S104" i="61" s="1"/>
  <c r="K80" i="61"/>
  <c r="K90" i="61" s="1"/>
  <c r="K104" i="61" s="1"/>
  <c r="I83" i="61"/>
  <c r="Q83" i="61"/>
  <c r="F81" i="61"/>
  <c r="N81" i="61"/>
  <c r="N91" i="61" s="1"/>
  <c r="P81" i="61"/>
  <c r="P91" i="61" s="1"/>
  <c r="H81" i="61"/>
  <c r="M82" i="61"/>
  <c r="M92" i="61" s="1"/>
  <c r="M105" i="61" s="1"/>
  <c r="R80" i="61"/>
  <c r="R90" i="61" s="1"/>
  <c r="R104" i="61" s="1"/>
  <c r="J80" i="61"/>
  <c r="J90" i="61" s="1"/>
  <c r="J104" i="61" s="1"/>
  <c r="J83" i="61"/>
  <c r="R83" i="61"/>
  <c r="M89" i="61"/>
  <c r="G89" i="61"/>
  <c r="L89" i="61"/>
  <c r="N89" i="61"/>
  <c r="S89" i="61"/>
  <c r="K89" i="61"/>
  <c r="F89" i="61"/>
  <c r="R89" i="61"/>
  <c r="J89" i="61"/>
  <c r="Q89" i="61"/>
  <c r="I89" i="61"/>
  <c r="P89" i="61"/>
  <c r="O89" i="61"/>
  <c r="F47" i="61"/>
  <c r="I25" i="61"/>
  <c r="Q25" i="61"/>
  <c r="R25" i="61"/>
  <c r="J25" i="61"/>
  <c r="P25" i="61"/>
  <c r="H25" i="61"/>
  <c r="H26" i="61" s="1"/>
  <c r="O25" i="61"/>
  <c r="F25" i="61"/>
  <c r="G25" i="61"/>
  <c r="L25" i="61"/>
  <c r="S25" i="61"/>
  <c r="K25" i="61"/>
  <c r="N25" i="61"/>
  <c r="M25" i="61"/>
  <c r="J84" i="61" l="1"/>
  <c r="J85" i="61" s="1"/>
  <c r="R84" i="61"/>
  <c r="R85" i="61" s="1"/>
  <c r="I84" i="61"/>
  <c r="I85" i="61" s="1"/>
  <c r="M84" i="61"/>
  <c r="M85" i="61" s="1"/>
  <c r="N84" i="61"/>
  <c r="N85" i="61" s="1"/>
  <c r="K84" i="61"/>
  <c r="K85" i="61" s="1"/>
  <c r="H84" i="61"/>
  <c r="H85" i="61" s="1"/>
  <c r="O84" i="61"/>
  <c r="O85" i="61" s="1"/>
  <c r="S84" i="61"/>
  <c r="S85" i="61" s="1"/>
  <c r="Q84" i="61"/>
  <c r="Q85" i="61" s="1"/>
  <c r="P84" i="61"/>
  <c r="P85" i="61" s="1"/>
  <c r="G84" i="61"/>
  <c r="G85" i="61" s="1"/>
  <c r="T61" i="61"/>
  <c r="O27" i="61"/>
  <c r="L56" i="72" s="1"/>
  <c r="O26" i="61"/>
  <c r="M27" i="61"/>
  <c r="M28" i="61" s="1"/>
  <c r="M26" i="61"/>
  <c r="I27" i="61"/>
  <c r="E29" i="72" s="1"/>
  <c r="I26" i="61"/>
  <c r="F33" i="61"/>
  <c r="F26" i="61"/>
  <c r="P27" i="61"/>
  <c r="P28" i="61" s="1"/>
  <c r="P26" i="61"/>
  <c r="Q27" i="61"/>
  <c r="N16" i="72" s="1"/>
  <c r="Q26" i="61"/>
  <c r="G27" i="61"/>
  <c r="G26" i="61"/>
  <c r="K27" i="61"/>
  <c r="K26" i="61"/>
  <c r="J27" i="61"/>
  <c r="J26" i="61"/>
  <c r="L27" i="61"/>
  <c r="L26" i="61"/>
  <c r="N27" i="61"/>
  <c r="N28" i="61" s="1"/>
  <c r="N26" i="61"/>
  <c r="S27" i="61"/>
  <c r="S28" i="61" s="1"/>
  <c r="S26" i="61"/>
  <c r="R27" i="61"/>
  <c r="O16" i="72" s="1"/>
  <c r="R26" i="61"/>
  <c r="H91" i="61"/>
  <c r="T81" i="61"/>
  <c r="H92" i="61"/>
  <c r="T82" i="61"/>
  <c r="H89" i="61"/>
  <c r="T89" i="61" s="1"/>
  <c r="T79" i="61"/>
  <c r="T83" i="61"/>
  <c r="T80" i="61"/>
  <c r="H27" i="61"/>
  <c r="T25" i="61"/>
  <c r="P63" i="62"/>
  <c r="P64" i="62" s="1"/>
  <c r="P66" i="62" s="1"/>
  <c r="F92" i="61"/>
  <c r="F105" i="61" s="1"/>
  <c r="U25" i="62"/>
  <c r="U54" i="62" s="1"/>
  <c r="W8" i="62"/>
  <c r="T20" i="62"/>
  <c r="U3" i="62"/>
  <c r="Q50" i="62"/>
  <c r="Q32" i="62"/>
  <c r="W31" i="62"/>
  <c r="W60" i="62" s="1"/>
  <c r="Y14" i="62"/>
  <c r="Z31" i="62"/>
  <c r="Z60" i="62" s="1"/>
  <c r="AB14" i="62"/>
  <c r="S49" i="62"/>
  <c r="S27" i="62"/>
  <c r="S56" i="62" s="1"/>
  <c r="T10" i="62"/>
  <c r="R29" i="62"/>
  <c r="R58" i="62" s="1"/>
  <c r="S12" i="62"/>
  <c r="X9" i="62"/>
  <c r="W26" i="62"/>
  <c r="W55" i="62" s="1"/>
  <c r="T11" i="62"/>
  <c r="S28" i="62"/>
  <c r="S57" i="62" s="1"/>
  <c r="T7" i="62"/>
  <c r="S24" i="62"/>
  <c r="S53" i="62" s="1"/>
  <c r="S30" i="62"/>
  <c r="S59" i="62" s="1"/>
  <c r="T13" i="62"/>
  <c r="R21" i="62"/>
  <c r="S4" i="62"/>
  <c r="R15" i="62"/>
  <c r="T5" i="62"/>
  <c r="S22" i="62"/>
  <c r="S51" i="62" s="1"/>
  <c r="F84" i="61"/>
  <c r="L90" i="61"/>
  <c r="L104" i="61" s="1"/>
  <c r="H90" i="61"/>
  <c r="M90" i="61"/>
  <c r="M104" i="61" s="1"/>
  <c r="F91" i="61"/>
  <c r="G92" i="61"/>
  <c r="Q92" i="61"/>
  <c r="Q105" i="61" s="1"/>
  <c r="F48" i="61"/>
  <c r="G91" i="61"/>
  <c r="N94" i="61"/>
  <c r="N103" i="61"/>
  <c r="L103" i="61"/>
  <c r="I94" i="61"/>
  <c r="I103" i="61"/>
  <c r="Q103" i="61"/>
  <c r="O103" i="61"/>
  <c r="O94" i="61"/>
  <c r="R94" i="61"/>
  <c r="R103" i="61"/>
  <c r="P103" i="61"/>
  <c r="P94" i="61"/>
  <c r="K94" i="61"/>
  <c r="K103" i="61"/>
  <c r="G103" i="61"/>
  <c r="F103" i="61"/>
  <c r="J103" i="61"/>
  <c r="J94" i="61"/>
  <c r="S94" i="61"/>
  <c r="S103" i="61"/>
  <c r="M103" i="61"/>
  <c r="F27" i="61"/>
  <c r="F28" i="61" s="1"/>
  <c r="S39" i="61"/>
  <c r="R39" i="61"/>
  <c r="Q39" i="61"/>
  <c r="P39" i="61"/>
  <c r="O39" i="61"/>
  <c r="N39" i="61"/>
  <c r="M39" i="61"/>
  <c r="L39" i="61"/>
  <c r="K39" i="61"/>
  <c r="J39" i="61"/>
  <c r="I39" i="61"/>
  <c r="H39" i="61"/>
  <c r="G39" i="61"/>
  <c r="G47" i="61" s="1"/>
  <c r="G48" i="61" s="1"/>
  <c r="G93" i="61"/>
  <c r="G106" i="61" s="1"/>
  <c r="H93" i="61"/>
  <c r="I93" i="61"/>
  <c r="I106" i="61" s="1"/>
  <c r="J93" i="61"/>
  <c r="J106" i="61" s="1"/>
  <c r="K93" i="61"/>
  <c r="K106" i="61" s="1"/>
  <c r="L93" i="61"/>
  <c r="L106" i="61" s="1"/>
  <c r="M93" i="61"/>
  <c r="M106" i="61" s="1"/>
  <c r="N93" i="61"/>
  <c r="N106" i="61" s="1"/>
  <c r="O93" i="61"/>
  <c r="O106" i="61" s="1"/>
  <c r="P93" i="61"/>
  <c r="P106" i="61" s="1"/>
  <c r="Q93" i="61"/>
  <c r="Q106" i="61" s="1"/>
  <c r="R93" i="61"/>
  <c r="R106" i="61" s="1"/>
  <c r="S93" i="61"/>
  <c r="S106" i="61" s="1"/>
  <c r="F93" i="61"/>
  <c r="F106" i="61" s="1"/>
  <c r="C56" i="70" l="1"/>
  <c r="C47" i="70"/>
  <c r="C38" i="70"/>
  <c r="I107" i="61"/>
  <c r="S107" i="61"/>
  <c r="P95" i="61"/>
  <c r="I95" i="61"/>
  <c r="J98" i="61"/>
  <c r="K95" i="61"/>
  <c r="S95" i="61"/>
  <c r="S99" i="61" s="1"/>
  <c r="K107" i="61"/>
  <c r="J95" i="61"/>
  <c r="J99" i="61" s="1"/>
  <c r="Q28" i="61"/>
  <c r="R95" i="61"/>
  <c r="N95" i="61"/>
  <c r="N99" i="61" s="1"/>
  <c r="O95" i="61"/>
  <c r="S98" i="61"/>
  <c r="O107" i="61"/>
  <c r="M56" i="72"/>
  <c r="Q107" i="61"/>
  <c r="P98" i="61"/>
  <c r="L107" i="61"/>
  <c r="I98" i="61"/>
  <c r="P107" i="61"/>
  <c r="R107" i="61"/>
  <c r="N107" i="61"/>
  <c r="N98" i="61"/>
  <c r="J107" i="61"/>
  <c r="O98" i="61"/>
  <c r="M107" i="61"/>
  <c r="K98" i="61"/>
  <c r="R98" i="61"/>
  <c r="M42" i="72"/>
  <c r="M29" i="72"/>
  <c r="F56" i="72"/>
  <c r="J56" i="72"/>
  <c r="L16" i="72"/>
  <c r="G68" i="61"/>
  <c r="G72" i="61" s="1"/>
  <c r="K16" i="72"/>
  <c r="E56" i="72"/>
  <c r="J28" i="61"/>
  <c r="AA9" i="61" s="1"/>
  <c r="N56" i="72"/>
  <c r="H29" i="72"/>
  <c r="P16" i="72"/>
  <c r="F16" i="72"/>
  <c r="O42" i="72"/>
  <c r="L42" i="72"/>
  <c r="R28" i="61"/>
  <c r="P56" i="72"/>
  <c r="P29" i="72"/>
  <c r="G56" i="72"/>
  <c r="G42" i="72"/>
  <c r="P42" i="72"/>
  <c r="G29" i="72"/>
  <c r="G16" i="72"/>
  <c r="L29" i="72"/>
  <c r="O28" i="61"/>
  <c r="K28" i="61"/>
  <c r="AB9" i="61" s="1"/>
  <c r="J29" i="72"/>
  <c r="J42" i="72"/>
  <c r="O56" i="72"/>
  <c r="M16" i="72"/>
  <c r="J16" i="72"/>
  <c r="F42" i="72"/>
  <c r="O29" i="72"/>
  <c r="F29" i="72"/>
  <c r="N29" i="72"/>
  <c r="G28" i="61"/>
  <c r="I28" i="61"/>
  <c r="Z9" i="61" s="1"/>
  <c r="K42" i="72"/>
  <c r="K56" i="72"/>
  <c r="H42" i="72"/>
  <c r="L28" i="61"/>
  <c r="AC9" i="61" s="1"/>
  <c r="H56" i="72"/>
  <c r="K29" i="72"/>
  <c r="H16" i="72"/>
  <c r="N42" i="72"/>
  <c r="E42" i="72"/>
  <c r="D56" i="72"/>
  <c r="D42" i="72"/>
  <c r="D29" i="72"/>
  <c r="H28" i="61"/>
  <c r="Y9" i="61" s="1"/>
  <c r="H103" i="61"/>
  <c r="T39" i="61"/>
  <c r="F107" i="61"/>
  <c r="H105" i="61"/>
  <c r="T92" i="61"/>
  <c r="H106" i="61"/>
  <c r="T106" i="61" s="1"/>
  <c r="T93" i="61"/>
  <c r="T84" i="61"/>
  <c r="H104" i="61"/>
  <c r="T90" i="61"/>
  <c r="T27" i="61"/>
  <c r="F94" i="61"/>
  <c r="F98" i="61" s="1"/>
  <c r="Q63" i="62"/>
  <c r="F85" i="61"/>
  <c r="T22" i="62"/>
  <c r="T51" i="62" s="1"/>
  <c r="U5" i="62"/>
  <c r="W3" i="62"/>
  <c r="U20" i="62"/>
  <c r="U11" i="62"/>
  <c r="T28" i="62"/>
  <c r="T57" i="62" s="1"/>
  <c r="T27" i="62"/>
  <c r="T56" i="62" s="1"/>
  <c r="U10" i="62"/>
  <c r="U7" i="62"/>
  <c r="T24" i="62"/>
  <c r="T53" i="62" s="1"/>
  <c r="R50" i="62"/>
  <c r="R32" i="62"/>
  <c r="Y9" i="62"/>
  <c r="X26" i="62"/>
  <c r="X55" i="62" s="1"/>
  <c r="AB31" i="62"/>
  <c r="AB60" i="62" s="1"/>
  <c r="AD14" i="62"/>
  <c r="T30" i="62"/>
  <c r="T59" i="62" s="1"/>
  <c r="U13" i="62"/>
  <c r="S29" i="62"/>
  <c r="S58" i="62" s="1"/>
  <c r="T12" i="62"/>
  <c r="Y31" i="62"/>
  <c r="Y60" i="62" s="1"/>
  <c r="AA14" i="62"/>
  <c r="X8" i="62"/>
  <c r="W25" i="62"/>
  <c r="W54" i="62" s="1"/>
  <c r="S21" i="62"/>
  <c r="T4" i="62"/>
  <c r="S15" i="62"/>
  <c r="T49" i="62"/>
  <c r="M94" i="61"/>
  <c r="M95" i="61" s="1"/>
  <c r="Q94" i="61"/>
  <c r="Q95" i="61" s="1"/>
  <c r="L94" i="61"/>
  <c r="H94" i="61"/>
  <c r="G105" i="61"/>
  <c r="G107" i="61" s="1"/>
  <c r="G94" i="61"/>
  <c r="F68" i="61"/>
  <c r="F72" i="61" s="1"/>
  <c r="H11" i="61"/>
  <c r="H12" i="61" s="1"/>
  <c r="Q10" i="61"/>
  <c r="J10" i="61"/>
  <c r="AA8" i="61" s="1"/>
  <c r="R10" i="61"/>
  <c r="I10" i="61"/>
  <c r="Z8" i="61" s="1"/>
  <c r="G11" i="61"/>
  <c r="L11" i="61"/>
  <c r="O11" i="61"/>
  <c r="O12" i="61" s="1"/>
  <c r="P11" i="61"/>
  <c r="P12" i="61" s="1"/>
  <c r="M10" i="61"/>
  <c r="F11" i="61"/>
  <c r="F12" i="61" s="1"/>
  <c r="N11" i="61"/>
  <c r="N12" i="61" s="1"/>
  <c r="I11" i="61"/>
  <c r="Q11" i="61"/>
  <c r="Q12" i="61" s="1"/>
  <c r="H10" i="61"/>
  <c r="Y8" i="61" s="1"/>
  <c r="O10" i="61"/>
  <c r="G10" i="61"/>
  <c r="G53" i="61" s="1"/>
  <c r="N10" i="61"/>
  <c r="P10" i="61"/>
  <c r="K11" i="61"/>
  <c r="S11" i="61"/>
  <c r="S12" i="61" s="1"/>
  <c r="L10" i="61"/>
  <c r="AC8" i="61" s="1"/>
  <c r="F10" i="61"/>
  <c r="S10" i="61"/>
  <c r="K10" i="61"/>
  <c r="AB8" i="61" s="1"/>
  <c r="M11" i="61"/>
  <c r="M12" i="61" s="1"/>
  <c r="G5" i="61"/>
  <c r="G33" i="61" s="1"/>
  <c r="Q5" i="61"/>
  <c r="Q33" i="61" s="1"/>
  <c r="I5" i="61"/>
  <c r="I33" i="61" s="1"/>
  <c r="P5" i="61"/>
  <c r="P33" i="61" s="1"/>
  <c r="H5" i="61"/>
  <c r="H33" i="61" s="1"/>
  <c r="O5" i="61"/>
  <c r="O33" i="61" s="1"/>
  <c r="M5" i="61"/>
  <c r="M33" i="61" s="1"/>
  <c r="N5" i="61"/>
  <c r="N33" i="61" s="1"/>
  <c r="L5" i="61"/>
  <c r="L33" i="61" s="1"/>
  <c r="S5" i="61"/>
  <c r="S33" i="61" s="1"/>
  <c r="K5" i="61"/>
  <c r="K33" i="61" s="1"/>
  <c r="R5" i="61"/>
  <c r="R33" i="61" s="1"/>
  <c r="J5" i="61"/>
  <c r="J33" i="61" s="1"/>
  <c r="P6" i="61"/>
  <c r="H6" i="61"/>
  <c r="J11" i="61"/>
  <c r="R11" i="61"/>
  <c r="R12" i="61" s="1"/>
  <c r="Q6" i="61"/>
  <c r="S6" i="61"/>
  <c r="K6" i="61"/>
  <c r="R6" i="61"/>
  <c r="J6" i="61"/>
  <c r="J108" i="61" s="1"/>
  <c r="I6" i="61"/>
  <c r="I108" i="61" s="1"/>
  <c r="F6" i="61"/>
  <c r="F7" i="61" s="1"/>
  <c r="N6" i="61"/>
  <c r="N108" i="61" s="1"/>
  <c r="G6" i="61"/>
  <c r="O6" i="61"/>
  <c r="M6" i="61"/>
  <c r="L6" i="61"/>
  <c r="L108" i="61" s="1"/>
  <c r="Q64" i="62" l="1"/>
  <c r="M108" i="61"/>
  <c r="Q66" i="62"/>
  <c r="D59" i="72"/>
  <c r="D32" i="72"/>
  <c r="D45" i="72"/>
  <c r="K108" i="61"/>
  <c r="L98" i="61"/>
  <c r="L95" i="61"/>
  <c r="L99" i="61" s="1"/>
  <c r="M98" i="61"/>
  <c r="G98" i="61"/>
  <c r="G95" i="61"/>
  <c r="H98" i="61"/>
  <c r="H95" i="61"/>
  <c r="P7" i="61"/>
  <c r="M28" i="72" s="1"/>
  <c r="M30" i="72" s="1"/>
  <c r="P108" i="61"/>
  <c r="I99" i="61"/>
  <c r="R7" i="61"/>
  <c r="O15" i="72" s="1"/>
  <c r="O17" i="72" s="1"/>
  <c r="R108" i="61"/>
  <c r="K99" i="61"/>
  <c r="M99" i="61"/>
  <c r="P99" i="61"/>
  <c r="G108" i="61"/>
  <c r="Q7" i="61"/>
  <c r="N55" i="72" s="1"/>
  <c r="Q108" i="61"/>
  <c r="H107" i="61"/>
  <c r="H108" i="61" s="1"/>
  <c r="Q98" i="61"/>
  <c r="Q99" i="61"/>
  <c r="O99" i="61"/>
  <c r="O7" i="61"/>
  <c r="L41" i="72" s="1"/>
  <c r="O108" i="61"/>
  <c r="S7" i="61"/>
  <c r="P41" i="72" s="1"/>
  <c r="S108" i="61"/>
  <c r="R99" i="61"/>
  <c r="N7" i="61"/>
  <c r="K41" i="72" s="1"/>
  <c r="I7" i="61"/>
  <c r="E28" i="72" s="1"/>
  <c r="E30" i="72" s="1"/>
  <c r="H7" i="61"/>
  <c r="D55" i="72" s="1"/>
  <c r="T103" i="61"/>
  <c r="J7" i="61"/>
  <c r="F55" i="72" s="1"/>
  <c r="G7" i="61"/>
  <c r="T105" i="61"/>
  <c r="L7" i="61"/>
  <c r="H41" i="72" s="1"/>
  <c r="M7" i="61"/>
  <c r="J55" i="72" s="1"/>
  <c r="K7" i="61"/>
  <c r="G41" i="72" s="1"/>
  <c r="I29" i="72"/>
  <c r="I16" i="72"/>
  <c r="I42" i="72"/>
  <c r="I56" i="72"/>
  <c r="P15" i="72"/>
  <c r="P17" i="72" s="1"/>
  <c r="L28" i="72"/>
  <c r="L30" i="72" s="1"/>
  <c r="N28" i="72"/>
  <c r="N30" i="72" s="1"/>
  <c r="N41" i="72"/>
  <c r="N15" i="72"/>
  <c r="N17" i="72" s="1"/>
  <c r="I12" i="61"/>
  <c r="G12" i="61"/>
  <c r="K12" i="61"/>
  <c r="J12" i="61"/>
  <c r="AA11" i="61"/>
  <c r="AD8" i="61"/>
  <c r="L12" i="61"/>
  <c r="AD9" i="61"/>
  <c r="T28" i="61"/>
  <c r="T33" i="61"/>
  <c r="F95" i="61"/>
  <c r="F99" i="61" s="1"/>
  <c r="F108" i="61"/>
  <c r="T5" i="61"/>
  <c r="T94" i="61"/>
  <c r="T104" i="61"/>
  <c r="T85" i="61"/>
  <c r="T11" i="61"/>
  <c r="T10" i="61"/>
  <c r="T6" i="61"/>
  <c r="G51" i="61"/>
  <c r="R63" i="62"/>
  <c r="R64" i="62" s="1"/>
  <c r="H99" i="61"/>
  <c r="G99" i="61"/>
  <c r="AA31" i="62"/>
  <c r="AA60" i="62" s="1"/>
  <c r="AC14" i="62"/>
  <c r="U12" i="62"/>
  <c r="T29" i="62"/>
  <c r="T58" i="62" s="1"/>
  <c r="U28" i="62"/>
  <c r="U57" i="62" s="1"/>
  <c r="W11" i="62"/>
  <c r="U49" i="62"/>
  <c r="U30" i="62"/>
  <c r="U59" i="62" s="1"/>
  <c r="W13" i="62"/>
  <c r="W20" i="62"/>
  <c r="X3" i="62"/>
  <c r="U24" i="62"/>
  <c r="U53" i="62" s="1"/>
  <c r="W7" i="62"/>
  <c r="AD31" i="62"/>
  <c r="AD60" i="62" s="1"/>
  <c r="AF14" i="62"/>
  <c r="U27" i="62"/>
  <c r="U56" i="62" s="1"/>
  <c r="W10" i="62"/>
  <c r="W5" i="62"/>
  <c r="U22" i="62"/>
  <c r="U51" i="62" s="1"/>
  <c r="Z9" i="62"/>
  <c r="Y26" i="62"/>
  <c r="Y55" i="62" s="1"/>
  <c r="U4" i="62"/>
  <c r="T21" i="62"/>
  <c r="T15" i="62"/>
  <c r="S50" i="62"/>
  <c r="S32" i="62"/>
  <c r="X25" i="62"/>
  <c r="X54" i="62" s="1"/>
  <c r="Y8" i="62"/>
  <c r="F67" i="61"/>
  <c r="F71" i="61" s="1"/>
  <c r="F31" i="61"/>
  <c r="F51" i="61"/>
  <c r="G67" i="61"/>
  <c r="L15" i="72" l="1"/>
  <c r="L17" i="72" s="1"/>
  <c r="F15" i="72"/>
  <c r="P28" i="72"/>
  <c r="P30" i="72" s="1"/>
  <c r="P55" i="72"/>
  <c r="P57" i="72" s="1"/>
  <c r="R66" i="62"/>
  <c r="E32" i="72"/>
  <c r="E45" i="72"/>
  <c r="E59" i="72"/>
  <c r="L55" i="72"/>
  <c r="L57" i="72" s="1"/>
  <c r="Z11" i="61"/>
  <c r="K55" i="72"/>
  <c r="Y11" i="61"/>
  <c r="E41" i="72"/>
  <c r="E43" i="72" s="1"/>
  <c r="E55" i="72"/>
  <c r="O41" i="72"/>
  <c r="O43" i="72" s="1"/>
  <c r="O55" i="72"/>
  <c r="O57" i="72" s="1"/>
  <c r="O28" i="72"/>
  <c r="O30" i="72" s="1"/>
  <c r="M55" i="72"/>
  <c r="M57" i="72" s="1"/>
  <c r="M15" i="72"/>
  <c r="M17" i="72" s="1"/>
  <c r="M41" i="72"/>
  <c r="M43" i="72" s="1"/>
  <c r="K15" i="72"/>
  <c r="AC11" i="61"/>
  <c r="H15" i="72"/>
  <c r="H28" i="72"/>
  <c r="H30" i="72" s="1"/>
  <c r="H55" i="72"/>
  <c r="C37" i="72"/>
  <c r="G55" i="72"/>
  <c r="AB11" i="61"/>
  <c r="G28" i="72"/>
  <c r="G30" i="72" s="1"/>
  <c r="K28" i="72"/>
  <c r="K30" i="72" s="1"/>
  <c r="F28" i="72"/>
  <c r="F30" i="72" s="1"/>
  <c r="J15" i="72"/>
  <c r="J17" i="72" s="1"/>
  <c r="F41" i="72"/>
  <c r="J28" i="72"/>
  <c r="J30" i="72" s="1"/>
  <c r="D28" i="72"/>
  <c r="D30" i="72" s="1"/>
  <c r="J41" i="72"/>
  <c r="J43" i="72" s="1"/>
  <c r="D41" i="72"/>
  <c r="D43" i="72" s="1"/>
  <c r="G15" i="72"/>
  <c r="G17" i="72" s="1"/>
  <c r="T98" i="61"/>
  <c r="F17" i="72"/>
  <c r="D57" i="72"/>
  <c r="L43" i="72"/>
  <c r="C50" i="72"/>
  <c r="P43" i="72"/>
  <c r="H43" i="72"/>
  <c r="N57" i="72"/>
  <c r="G43" i="72"/>
  <c r="K43" i="72"/>
  <c r="N43" i="72"/>
  <c r="J57" i="72"/>
  <c r="F57" i="72"/>
  <c r="G52" i="61"/>
  <c r="G54" i="61" s="1"/>
  <c r="F32" i="61"/>
  <c r="F34" i="61" s="1"/>
  <c r="F52" i="61"/>
  <c r="F54" i="61" s="1"/>
  <c r="G71" i="61"/>
  <c r="C28" i="70"/>
  <c r="T7" i="61"/>
  <c r="T12" i="61"/>
  <c r="T107" i="61"/>
  <c r="T108" i="61"/>
  <c r="T99" i="61"/>
  <c r="T95" i="61"/>
  <c r="F69" i="61"/>
  <c r="F73" i="61" s="1"/>
  <c r="S63" i="62"/>
  <c r="Z26" i="62"/>
  <c r="Z55" i="62" s="1"/>
  <c r="AA9" i="62"/>
  <c r="X11" i="62"/>
  <c r="W28" i="62"/>
  <c r="W57" i="62" s="1"/>
  <c r="X10" i="62"/>
  <c r="W27" i="62"/>
  <c r="W56" i="62" s="1"/>
  <c r="X7" i="62"/>
  <c r="W24" i="62"/>
  <c r="W53" i="62" s="1"/>
  <c r="X5" i="62"/>
  <c r="W22" i="62"/>
  <c r="W51" i="62" s="1"/>
  <c r="X20" i="62"/>
  <c r="Y3" i="62"/>
  <c r="W49" i="62"/>
  <c r="U29" i="62"/>
  <c r="U58" i="62" s="1"/>
  <c r="W12" i="62"/>
  <c r="Z8" i="62"/>
  <c r="Y25" i="62"/>
  <c r="Y54" i="62" s="1"/>
  <c r="T50" i="62"/>
  <c r="T32" i="62"/>
  <c r="AF31" i="62"/>
  <c r="AF60" i="62" s="1"/>
  <c r="AH14" i="62"/>
  <c r="W30" i="62"/>
  <c r="W59" i="62" s="1"/>
  <c r="X13" i="62"/>
  <c r="AC31" i="62"/>
  <c r="AC60" i="62" s="1"/>
  <c r="AE14" i="62"/>
  <c r="W4" i="62"/>
  <c r="U21" i="62"/>
  <c r="U15" i="62"/>
  <c r="V15" i="62" s="1"/>
  <c r="I67" i="61"/>
  <c r="O67" i="61"/>
  <c r="O71" i="61" s="1"/>
  <c r="M67" i="61"/>
  <c r="M71" i="61" s="1"/>
  <c r="P67" i="61"/>
  <c r="P71" i="61" s="1"/>
  <c r="N67" i="61"/>
  <c r="N71" i="61" s="1"/>
  <c r="L67" i="61"/>
  <c r="L71" i="61" s="1"/>
  <c r="Q67" i="61"/>
  <c r="Q71" i="61" s="1"/>
  <c r="R67" i="61"/>
  <c r="R71" i="61" s="1"/>
  <c r="J67" i="61"/>
  <c r="K31" i="61"/>
  <c r="K32" i="61" s="1"/>
  <c r="S67" i="61"/>
  <c r="S71" i="61" s="1"/>
  <c r="H67" i="61"/>
  <c r="H71" i="61" s="1"/>
  <c r="K67" i="61"/>
  <c r="J31" i="61"/>
  <c r="J32" i="61" s="1"/>
  <c r="L31" i="61"/>
  <c r="L32" i="61" s="1"/>
  <c r="R31" i="61"/>
  <c r="R32" i="61" s="1"/>
  <c r="S31" i="61"/>
  <c r="S32" i="61" s="1"/>
  <c r="Q31" i="61"/>
  <c r="Q32" i="61" s="1"/>
  <c r="P31" i="61"/>
  <c r="P32" i="61" s="1"/>
  <c r="O31" i="61"/>
  <c r="O32" i="61" s="1"/>
  <c r="S64" i="62" l="1"/>
  <c r="S66" i="62"/>
  <c r="F19" i="72"/>
  <c r="F45" i="72"/>
  <c r="F32" i="72"/>
  <c r="F59" i="72"/>
  <c r="K57" i="72"/>
  <c r="C64" i="72"/>
  <c r="E57" i="72"/>
  <c r="I15" i="72"/>
  <c r="K17" i="72"/>
  <c r="H17" i="72"/>
  <c r="AD11" i="61"/>
  <c r="H57" i="72"/>
  <c r="I55" i="72"/>
  <c r="I28" i="72"/>
  <c r="I41" i="72"/>
  <c r="G57" i="72"/>
  <c r="F43" i="72"/>
  <c r="I43" i="72" s="1"/>
  <c r="I30" i="72"/>
  <c r="AB10" i="61"/>
  <c r="AA10" i="61"/>
  <c r="AC10" i="61"/>
  <c r="I71" i="61"/>
  <c r="K71" i="61"/>
  <c r="J71" i="61"/>
  <c r="R58" i="61"/>
  <c r="R34" i="61"/>
  <c r="P58" i="61"/>
  <c r="P34" i="61"/>
  <c r="Q58" i="61"/>
  <c r="Q34" i="61"/>
  <c r="O58" i="61"/>
  <c r="O34" i="61"/>
  <c r="S58" i="61"/>
  <c r="S34" i="61"/>
  <c r="F74" i="61"/>
  <c r="T67" i="61"/>
  <c r="T63" i="62"/>
  <c r="T64" i="62" s="1"/>
  <c r="X24" i="62"/>
  <c r="X53" i="62" s="1"/>
  <c r="Y7" i="62"/>
  <c r="AH31" i="62"/>
  <c r="AH60" i="62" s="1"/>
  <c r="AJ14" i="62"/>
  <c r="AE31" i="62"/>
  <c r="AE60" i="62" s="1"/>
  <c r="AG14" i="62"/>
  <c r="X28" i="62"/>
  <c r="X57" i="62" s="1"/>
  <c r="Y11" i="62"/>
  <c r="U50" i="62"/>
  <c r="U63" i="62" s="1"/>
  <c r="U64" i="62" s="1"/>
  <c r="U32" i="62"/>
  <c r="V32" i="62" s="1"/>
  <c r="Y20" i="62"/>
  <c r="Z3" i="62"/>
  <c r="W21" i="62"/>
  <c r="X4" i="62"/>
  <c r="W15" i="62"/>
  <c r="Z25" i="62"/>
  <c r="Z54" i="62" s="1"/>
  <c r="AA8" i="62"/>
  <c r="AA26" i="62"/>
  <c r="AA55" i="62" s="1"/>
  <c r="AB9" i="62"/>
  <c r="X30" i="62"/>
  <c r="X59" i="62" s="1"/>
  <c r="Y13" i="62"/>
  <c r="W29" i="62"/>
  <c r="W58" i="62" s="1"/>
  <c r="X12" i="62"/>
  <c r="X22" i="62"/>
  <c r="X51" i="62" s="1"/>
  <c r="Y5" i="62"/>
  <c r="Y10" i="62"/>
  <c r="X27" i="62"/>
  <c r="X56" i="62" s="1"/>
  <c r="X49" i="62"/>
  <c r="I31" i="61"/>
  <c r="I32" i="61" s="1"/>
  <c r="M31" i="61"/>
  <c r="M32" i="61" s="1"/>
  <c r="N31" i="61"/>
  <c r="N32" i="61" s="1"/>
  <c r="G31" i="61"/>
  <c r="G32" i="61" s="1"/>
  <c r="G58" i="61" s="1"/>
  <c r="H31" i="61"/>
  <c r="H32" i="61" s="1"/>
  <c r="V63" i="62" l="1"/>
  <c r="V64" i="62"/>
  <c r="U66" i="62"/>
  <c r="V66" i="62" s="1"/>
  <c r="H59" i="72"/>
  <c r="H45" i="72"/>
  <c r="H19" i="72"/>
  <c r="H32" i="72"/>
  <c r="I32" i="72" s="1"/>
  <c r="T66" i="62"/>
  <c r="G32" i="72"/>
  <c r="G45" i="72"/>
  <c r="G59" i="72"/>
  <c r="G19" i="72"/>
  <c r="I19" i="72"/>
  <c r="I17" i="72"/>
  <c r="I57" i="72"/>
  <c r="C55" i="70"/>
  <c r="C57" i="70" s="1"/>
  <c r="C46" i="70"/>
  <c r="C48" i="70" s="1"/>
  <c r="C37" i="70"/>
  <c r="C39" i="70" s="1"/>
  <c r="G25" i="70"/>
  <c r="Z10" i="61"/>
  <c r="F35" i="70"/>
  <c r="E44" i="70"/>
  <c r="Y10" i="61"/>
  <c r="E19" i="70"/>
  <c r="I19" i="70"/>
  <c r="K19" i="70"/>
  <c r="L34" i="61"/>
  <c r="G19" i="70"/>
  <c r="J19" i="70"/>
  <c r="F19" i="70"/>
  <c r="H19" i="70"/>
  <c r="J58" i="61"/>
  <c r="J34" i="61"/>
  <c r="K34" i="61"/>
  <c r="L58" i="61"/>
  <c r="G34" i="61"/>
  <c r="T71" i="61"/>
  <c r="T31" i="61"/>
  <c r="Y30" i="62"/>
  <c r="Y59" i="62" s="1"/>
  <c r="Z13" i="62"/>
  <c r="X21" i="62"/>
  <c r="Y4" i="62"/>
  <c r="X15" i="62"/>
  <c r="Z11" i="62"/>
  <c r="Y28" i="62"/>
  <c r="Y57" i="62" s="1"/>
  <c r="AG31" i="62"/>
  <c r="AG60" i="62" s="1"/>
  <c r="AI14" i="62"/>
  <c r="Z10" i="62"/>
  <c r="Y27" i="62"/>
  <c r="Y56" i="62" s="1"/>
  <c r="AJ31" i="62"/>
  <c r="AJ60" i="62" s="1"/>
  <c r="AL14" i="62"/>
  <c r="W50" i="62"/>
  <c r="W63" i="62" s="1"/>
  <c r="W64" i="62" s="1"/>
  <c r="W32" i="62"/>
  <c r="Z20" i="62"/>
  <c r="AA3" i="62"/>
  <c r="AB26" i="62"/>
  <c r="AB55" i="62" s="1"/>
  <c r="AC9" i="62"/>
  <c r="Y22" i="62"/>
  <c r="Y51" i="62" s="1"/>
  <c r="Z5" i="62"/>
  <c r="AA25" i="62"/>
  <c r="AA54" i="62" s="1"/>
  <c r="AB8" i="62"/>
  <c r="Z7" i="62"/>
  <c r="Y24" i="62"/>
  <c r="Y53" i="62" s="1"/>
  <c r="Y49" i="62"/>
  <c r="X29" i="62"/>
  <c r="X58" i="62" s="1"/>
  <c r="Y12" i="62"/>
  <c r="I59" i="72" l="1"/>
  <c r="I45" i="72"/>
  <c r="W66" i="62"/>
  <c r="J45" i="72"/>
  <c r="J19" i="72"/>
  <c r="J59" i="72"/>
  <c r="J32" i="72"/>
  <c r="H56" i="70"/>
  <c r="H55" i="70"/>
  <c r="E55" i="70"/>
  <c r="E56" i="70"/>
  <c r="K56" i="70"/>
  <c r="K55" i="70"/>
  <c r="F56" i="70"/>
  <c r="F55" i="70"/>
  <c r="J56" i="70"/>
  <c r="J55" i="70"/>
  <c r="G56" i="70"/>
  <c r="G55" i="70"/>
  <c r="I55" i="70"/>
  <c r="I56" i="70"/>
  <c r="J47" i="70"/>
  <c r="J46" i="70"/>
  <c r="F46" i="70"/>
  <c r="F47" i="70"/>
  <c r="H46" i="70"/>
  <c r="H47" i="70"/>
  <c r="I47" i="70"/>
  <c r="I46" i="70"/>
  <c r="G47" i="70"/>
  <c r="G46" i="70"/>
  <c r="K47" i="70"/>
  <c r="K46" i="70"/>
  <c r="E46" i="70"/>
  <c r="E47" i="70"/>
  <c r="F37" i="70"/>
  <c r="F38" i="70"/>
  <c r="E20" i="70"/>
  <c r="AD10" i="61"/>
  <c r="F36" i="70"/>
  <c r="G20" i="70"/>
  <c r="G36" i="70"/>
  <c r="J22" i="70"/>
  <c r="J36" i="70"/>
  <c r="H20" i="70"/>
  <c r="H36" i="70"/>
  <c r="K20" i="70"/>
  <c r="K22" i="70" s="1"/>
  <c r="K36" i="70"/>
  <c r="E45" i="70"/>
  <c r="E36" i="70"/>
  <c r="E54" i="70"/>
  <c r="I20" i="70"/>
  <c r="I36" i="70"/>
  <c r="I25" i="70"/>
  <c r="K35" i="70"/>
  <c r="K25" i="70"/>
  <c r="G28" i="70"/>
  <c r="G54" i="70"/>
  <c r="G45" i="70"/>
  <c r="H25" i="70"/>
  <c r="G35" i="70"/>
  <c r="H44" i="70"/>
  <c r="K54" i="70"/>
  <c r="K45" i="70"/>
  <c r="H54" i="70"/>
  <c r="H45" i="70"/>
  <c r="I44" i="70"/>
  <c r="F45" i="70"/>
  <c r="F54" i="70"/>
  <c r="I45" i="70"/>
  <c r="I54" i="70"/>
  <c r="H34" i="61"/>
  <c r="E53" i="70"/>
  <c r="E35" i="70"/>
  <c r="L19" i="70"/>
  <c r="I34" i="61"/>
  <c r="F53" i="70"/>
  <c r="F44" i="70"/>
  <c r="J35" i="70"/>
  <c r="J25" i="70"/>
  <c r="H35" i="70"/>
  <c r="G44" i="70"/>
  <c r="J54" i="70"/>
  <c r="J45" i="70"/>
  <c r="I35" i="70"/>
  <c r="M58" i="61"/>
  <c r="M34" i="61"/>
  <c r="N58" i="61"/>
  <c r="N34" i="61"/>
  <c r="I58" i="61"/>
  <c r="H58" i="61"/>
  <c r="T32" i="61"/>
  <c r="AB25" i="62"/>
  <c r="AB54" i="62" s="1"/>
  <c r="AC8" i="62"/>
  <c r="Z49" i="62"/>
  <c r="AL31" i="62"/>
  <c r="AL60" i="62" s="1"/>
  <c r="AN14" i="62"/>
  <c r="AC26" i="62"/>
  <c r="AC55" i="62" s="1"/>
  <c r="AD9" i="62"/>
  <c r="Y21" i="62"/>
  <c r="Z4" i="62"/>
  <c r="Y15" i="62"/>
  <c r="AA11" i="62"/>
  <c r="Z28" i="62"/>
  <c r="Z57" i="62" s="1"/>
  <c r="X50" i="62"/>
  <c r="X63" i="62" s="1"/>
  <c r="X64" i="62" s="1"/>
  <c r="X32" i="62"/>
  <c r="Y29" i="62"/>
  <c r="Y58" i="62" s="1"/>
  <c r="Z12" i="62"/>
  <c r="Z22" i="62"/>
  <c r="Z51" i="62" s="1"/>
  <c r="AA5" i="62"/>
  <c r="AA20" i="62"/>
  <c r="AB3" i="62"/>
  <c r="AA10" i="62"/>
  <c r="Z27" i="62"/>
  <c r="Z56" i="62" s="1"/>
  <c r="Z30" i="62"/>
  <c r="Z59" i="62" s="1"/>
  <c r="AA13" i="62"/>
  <c r="AA7" i="62"/>
  <c r="Z24" i="62"/>
  <c r="Z53" i="62" s="1"/>
  <c r="AI31" i="62"/>
  <c r="AI60" i="62" s="1"/>
  <c r="AK14" i="62"/>
  <c r="F48" i="70" l="1"/>
  <c r="J57" i="70"/>
  <c r="J61" i="72" s="1"/>
  <c r="H57" i="70"/>
  <c r="G61" i="72" s="1"/>
  <c r="X66" i="62"/>
  <c r="K45" i="72"/>
  <c r="K32" i="72"/>
  <c r="K59" i="72"/>
  <c r="K19" i="72"/>
  <c r="F39" i="70"/>
  <c r="F57" i="70"/>
  <c r="E47" i="72"/>
  <c r="K57" i="70"/>
  <c r="I57" i="70"/>
  <c r="I48" i="70"/>
  <c r="H47" i="72" s="1"/>
  <c r="L56" i="70"/>
  <c r="G57" i="70"/>
  <c r="L55" i="70"/>
  <c r="J48" i="70"/>
  <c r="J47" i="72" s="1"/>
  <c r="G48" i="70"/>
  <c r="E57" i="70"/>
  <c r="L46" i="70"/>
  <c r="H48" i="70"/>
  <c r="E48" i="70"/>
  <c r="L47" i="70"/>
  <c r="K48" i="70"/>
  <c r="K47" i="72" s="1"/>
  <c r="H37" i="70"/>
  <c r="H38" i="70"/>
  <c r="E37" i="70"/>
  <c r="E38" i="70"/>
  <c r="J37" i="70"/>
  <c r="J38" i="70"/>
  <c r="G37" i="70"/>
  <c r="G38" i="70"/>
  <c r="I38" i="70"/>
  <c r="I37" i="70"/>
  <c r="K38" i="70"/>
  <c r="K37" i="70"/>
  <c r="K20" i="72"/>
  <c r="K60" i="72"/>
  <c r="K46" i="72"/>
  <c r="K33" i="72"/>
  <c r="L3" i="28"/>
  <c r="K30" i="70"/>
  <c r="J46" i="72"/>
  <c r="J20" i="72"/>
  <c r="J33" i="72"/>
  <c r="J60" i="72"/>
  <c r="J30" i="70"/>
  <c r="K3" i="28"/>
  <c r="E21" i="70"/>
  <c r="G21" i="70"/>
  <c r="K21" i="70"/>
  <c r="J21" i="70"/>
  <c r="H21" i="70"/>
  <c r="F21" i="70"/>
  <c r="I21" i="70"/>
  <c r="I28" i="70"/>
  <c r="J28" i="70"/>
  <c r="H28" i="70"/>
  <c r="K28" i="70"/>
  <c r="T34" i="61"/>
  <c r="L45" i="70"/>
  <c r="L25" i="70"/>
  <c r="L54" i="70"/>
  <c r="L20" i="70"/>
  <c r="L44" i="70"/>
  <c r="L35" i="70"/>
  <c r="L53" i="70"/>
  <c r="T58" i="61"/>
  <c r="AB10" i="62"/>
  <c r="AA27" i="62"/>
  <c r="AA56" i="62" s="1"/>
  <c r="AK31" i="62"/>
  <c r="AK60" i="62" s="1"/>
  <c r="AM14" i="62"/>
  <c r="AC3" i="62"/>
  <c r="AB20" i="62"/>
  <c r="AB11" i="62"/>
  <c r="AA28" i="62"/>
  <c r="AA57" i="62" s="1"/>
  <c r="AN31" i="62"/>
  <c r="AN60" i="62" s="1"/>
  <c r="AP14" i="62"/>
  <c r="AB7" i="62"/>
  <c r="AA24" i="62"/>
  <c r="AA53" i="62" s="1"/>
  <c r="AA22" i="62"/>
  <c r="AA51" i="62" s="1"/>
  <c r="AB5" i="62"/>
  <c r="AA30" i="62"/>
  <c r="AA59" i="62" s="1"/>
  <c r="AB13" i="62"/>
  <c r="Z21" i="62"/>
  <c r="AA4" i="62"/>
  <c r="Z15" i="62"/>
  <c r="AA49" i="62"/>
  <c r="Z29" i="62"/>
  <c r="Z58" i="62" s="1"/>
  <c r="AA12" i="62"/>
  <c r="Y50" i="62"/>
  <c r="Y63" i="62" s="1"/>
  <c r="Y64" i="62" s="1"/>
  <c r="Y32" i="62"/>
  <c r="AC25" i="62"/>
  <c r="AC54" i="62" s="1"/>
  <c r="AD8" i="62"/>
  <c r="AD26" i="62"/>
  <c r="AD55" i="62" s="1"/>
  <c r="AE9" i="62"/>
  <c r="G39" i="70" l="1"/>
  <c r="F34" i="72" s="1"/>
  <c r="Y66" i="62"/>
  <c r="L32" i="72"/>
  <c r="L19" i="72"/>
  <c r="L59" i="72"/>
  <c r="L45" i="72"/>
  <c r="I39" i="70"/>
  <c r="H34" i="72" s="1"/>
  <c r="K39" i="70"/>
  <c r="K34" i="72" s="1"/>
  <c r="H39" i="70"/>
  <c r="G34" i="72" s="1"/>
  <c r="E39" i="70"/>
  <c r="D34" i="72" s="1"/>
  <c r="D61" i="72"/>
  <c r="H61" i="72"/>
  <c r="K61" i="72"/>
  <c r="J39" i="70"/>
  <c r="J34" i="72" s="1"/>
  <c r="F61" i="72"/>
  <c r="E61" i="72"/>
  <c r="G47" i="72"/>
  <c r="E34" i="72"/>
  <c r="D47" i="72"/>
  <c r="F47" i="72"/>
  <c r="L57" i="70"/>
  <c r="L48" i="70"/>
  <c r="L38" i="70"/>
  <c r="L37" i="70"/>
  <c r="I22" i="70"/>
  <c r="I3" i="28" s="1"/>
  <c r="L21" i="70"/>
  <c r="C27" i="70"/>
  <c r="G27" i="70" s="1"/>
  <c r="L28" i="70"/>
  <c r="L36" i="70"/>
  <c r="AC20" i="62"/>
  <c r="AD3" i="62"/>
  <c r="AC11" i="62"/>
  <c r="AB28" i="62"/>
  <c r="AB57" i="62" s="1"/>
  <c r="AB49" i="62"/>
  <c r="AF9" i="62"/>
  <c r="AE26" i="62"/>
  <c r="AE55" i="62" s="1"/>
  <c r="AC5" i="62"/>
  <c r="AB22" i="62"/>
  <c r="AB51" i="62" s="1"/>
  <c r="AD25" i="62"/>
  <c r="AD54" i="62" s="1"/>
  <c r="AE8" i="62"/>
  <c r="AC7" i="62"/>
  <c r="AB24" i="62"/>
  <c r="AB53" i="62" s="1"/>
  <c r="AM31" i="62"/>
  <c r="AM60" i="62" s="1"/>
  <c r="AO14" i="62"/>
  <c r="AA21" i="62"/>
  <c r="AB4" i="62"/>
  <c r="AA15" i="62"/>
  <c r="AP31" i="62"/>
  <c r="AP60" i="62" s="1"/>
  <c r="AR14" i="62"/>
  <c r="AR31" i="62" s="1"/>
  <c r="AR60" i="62" s="1"/>
  <c r="Z50" i="62"/>
  <c r="Z63" i="62" s="1"/>
  <c r="Z64" i="62" s="1"/>
  <c r="Z32" i="62"/>
  <c r="AA29" i="62"/>
  <c r="AA58" i="62" s="1"/>
  <c r="AB12" i="62"/>
  <c r="AB30" i="62"/>
  <c r="AB59" i="62" s="1"/>
  <c r="AC13" i="62"/>
  <c r="AB27" i="62"/>
  <c r="AB56" i="62" s="1"/>
  <c r="AC10" i="62"/>
  <c r="Z66" i="62" l="1"/>
  <c r="M19" i="72"/>
  <c r="M32" i="72"/>
  <c r="M59" i="72"/>
  <c r="M45" i="72"/>
  <c r="L39" i="70"/>
  <c r="I47" i="72"/>
  <c r="I34" i="72"/>
  <c r="H60" i="72"/>
  <c r="L22" i="70"/>
  <c r="H33" i="72"/>
  <c r="I33" i="72" s="1"/>
  <c r="J3" i="28"/>
  <c r="H46" i="72"/>
  <c r="I46" i="72" s="1"/>
  <c r="I30" i="70"/>
  <c r="H20" i="72"/>
  <c r="I61" i="72"/>
  <c r="I27" i="70"/>
  <c r="H27" i="70"/>
  <c r="K27" i="70"/>
  <c r="J27" i="70"/>
  <c r="AC27" i="62"/>
  <c r="AC56" i="62" s="1"/>
  <c r="AD10" i="62"/>
  <c r="AF8" i="62"/>
  <c r="AE25" i="62"/>
  <c r="AE54" i="62" s="1"/>
  <c r="AC30" i="62"/>
  <c r="AC59" i="62" s="1"/>
  <c r="AD13" i="62"/>
  <c r="AD11" i="62"/>
  <c r="AC28" i="62"/>
  <c r="AC57" i="62" s="1"/>
  <c r="AB21" i="62"/>
  <c r="AC4" i="62"/>
  <c r="AB15" i="62"/>
  <c r="AD20" i="62"/>
  <c r="AE3" i="62"/>
  <c r="AB29" i="62"/>
  <c r="AB58" i="62" s="1"/>
  <c r="AC12" i="62"/>
  <c r="AA50" i="62"/>
  <c r="AA63" i="62" s="1"/>
  <c r="AA64" i="62" s="1"/>
  <c r="AA32" i="62"/>
  <c r="AC22" i="62"/>
  <c r="AC51" i="62" s="1"/>
  <c r="AD5" i="62"/>
  <c r="AD7" i="62"/>
  <c r="AC24" i="62"/>
  <c r="AC53" i="62" s="1"/>
  <c r="AO31" i="62"/>
  <c r="AO60" i="62" s="1"/>
  <c r="AQ14" i="62"/>
  <c r="AQ31" i="62" s="1"/>
  <c r="AQ60" i="62" s="1"/>
  <c r="AC49" i="62"/>
  <c r="AG9" i="62"/>
  <c r="AF26" i="62"/>
  <c r="AF55" i="62" s="1"/>
  <c r="I60" i="72" l="1"/>
  <c r="AA66" i="62"/>
  <c r="N32" i="72"/>
  <c r="N59" i="72"/>
  <c r="N19" i="72"/>
  <c r="N45" i="72"/>
  <c r="I20" i="72"/>
  <c r="L27" i="70"/>
  <c r="AE5" i="62"/>
  <c r="AD22" i="62"/>
  <c r="AD51" i="62" s="1"/>
  <c r="AE20" i="62"/>
  <c r="AF3" i="62"/>
  <c r="AD28" i="62"/>
  <c r="AD57" i="62" s="1"/>
  <c r="AE11" i="62"/>
  <c r="AD24" i="62"/>
  <c r="AD53" i="62" s="1"/>
  <c r="AE7" i="62"/>
  <c r="AD49" i="62"/>
  <c r="AF25" i="62"/>
  <c r="AF54" i="62" s="1"/>
  <c r="AG8" i="62"/>
  <c r="AD4" i="62"/>
  <c r="AC21" i="62"/>
  <c r="AC15" i="62"/>
  <c r="AD27" i="62"/>
  <c r="AD56" i="62" s="1"/>
  <c r="AE10" i="62"/>
  <c r="AD30" i="62"/>
  <c r="AD59" i="62" s="1"/>
  <c r="AE13" i="62"/>
  <c r="AH9" i="62"/>
  <c r="AG26" i="62"/>
  <c r="AG55" i="62" s="1"/>
  <c r="AD12" i="62"/>
  <c r="AC29" i="62"/>
  <c r="AC58" i="62" s="1"/>
  <c r="AB50" i="62"/>
  <c r="AB63" i="62" s="1"/>
  <c r="AB64" i="62" s="1"/>
  <c r="AB32" i="62"/>
  <c r="AB66" i="62" l="1"/>
  <c r="O45" i="72"/>
  <c r="O59" i="72"/>
  <c r="O32" i="72"/>
  <c r="O19" i="72"/>
  <c r="AC50" i="62"/>
  <c r="AC63" i="62" s="1"/>
  <c r="AC64" i="62" s="1"/>
  <c r="AC32" i="62"/>
  <c r="AD29" i="62"/>
  <c r="AD58" i="62" s="1"/>
  <c r="AE12" i="62"/>
  <c r="AD21" i="62"/>
  <c r="AE4" i="62"/>
  <c r="AD15" i="62"/>
  <c r="AF20" i="62"/>
  <c r="AG3" i="62"/>
  <c r="AF10" i="62"/>
  <c r="AE27" i="62"/>
  <c r="AE56" i="62" s="1"/>
  <c r="AE49" i="62"/>
  <c r="AF11" i="62"/>
  <c r="AE28" i="62"/>
  <c r="AE57" i="62" s="1"/>
  <c r="AH8" i="62"/>
  <c r="AG25" i="62"/>
  <c r="AG54" i="62" s="1"/>
  <c r="AH26" i="62"/>
  <c r="AH55" i="62" s="1"/>
  <c r="AI9" i="62"/>
  <c r="AE30" i="62"/>
  <c r="AE59" i="62" s="1"/>
  <c r="AF13" i="62"/>
  <c r="AF7" i="62"/>
  <c r="AE24" i="62"/>
  <c r="AE53" i="62" s="1"/>
  <c r="AF5" i="62"/>
  <c r="AE22" i="62"/>
  <c r="AE51" i="62" s="1"/>
  <c r="AC66" i="62" l="1"/>
  <c r="P19" i="72"/>
  <c r="P32" i="72"/>
  <c r="P45" i="72"/>
  <c r="P59" i="72"/>
  <c r="AF30" i="62"/>
  <c r="AF59" i="62" s="1"/>
  <c r="AG13" i="62"/>
  <c r="AF49" i="62"/>
  <c r="AF24" i="62"/>
  <c r="AF53" i="62" s="1"/>
  <c r="AG7" i="62"/>
  <c r="AD50" i="62"/>
  <c r="AD63" i="62" s="1"/>
  <c r="AD64" i="62" s="1"/>
  <c r="AD32" i="62"/>
  <c r="AG10" i="62"/>
  <c r="AF27" i="62"/>
  <c r="AF56" i="62" s="1"/>
  <c r="AF28" i="62"/>
  <c r="AF57" i="62" s="1"/>
  <c r="AG11" i="62"/>
  <c r="AE21" i="62"/>
  <c r="AF4" i="62"/>
  <c r="AE15" i="62"/>
  <c r="AG20" i="62"/>
  <c r="AH3" i="62"/>
  <c r="AI26" i="62"/>
  <c r="AI55" i="62" s="1"/>
  <c r="AJ9" i="62"/>
  <c r="AE29" i="62"/>
  <c r="AE58" i="62" s="1"/>
  <c r="AF12" i="62"/>
  <c r="AF22" i="62"/>
  <c r="AF51" i="62" s="1"/>
  <c r="AG5" i="62"/>
  <c r="AH25" i="62"/>
  <c r="AH54" i="62" s="1"/>
  <c r="AI8" i="62"/>
  <c r="AG49" i="62" l="1"/>
  <c r="AH7" i="62"/>
  <c r="AG24" i="62"/>
  <c r="AG53" i="62" s="1"/>
  <c r="AE50" i="62"/>
  <c r="AE63" i="62" s="1"/>
  <c r="AE64" i="62" s="1"/>
  <c r="AE32" i="62"/>
  <c r="AJ26" i="62"/>
  <c r="AJ55" i="62" s="1"/>
  <c r="AK9" i="62"/>
  <c r="AH20" i="62"/>
  <c r="AI3" i="62"/>
  <c r="AG30" i="62"/>
  <c r="AG59" i="62" s="1"/>
  <c r="AH13" i="62"/>
  <c r="AF29" i="62"/>
  <c r="AF58" i="62" s="1"/>
  <c r="AG12" i="62"/>
  <c r="AF21" i="62"/>
  <c r="AG4" i="62"/>
  <c r="AF15" i="62"/>
  <c r="AH11" i="62"/>
  <c r="AG28" i="62"/>
  <c r="AG57" i="62" s="1"/>
  <c r="AI25" i="62"/>
  <c r="AI54" i="62" s="1"/>
  <c r="AJ8" i="62"/>
  <c r="AG22" i="62"/>
  <c r="AG51" i="62" s="1"/>
  <c r="AH5" i="62"/>
  <c r="AH10" i="62"/>
  <c r="AG27" i="62"/>
  <c r="AG56" i="62" s="1"/>
  <c r="AI20" i="62" l="1"/>
  <c r="AJ3" i="62"/>
  <c r="AG29" i="62"/>
  <c r="AG58" i="62" s="1"/>
  <c r="AH12" i="62"/>
  <c r="AJ25" i="62"/>
  <c r="AJ54" i="62" s="1"/>
  <c r="AK8" i="62"/>
  <c r="AH30" i="62"/>
  <c r="AH59" i="62" s="1"/>
  <c r="AI13" i="62"/>
  <c r="AI11" i="62"/>
  <c r="AH28" i="62"/>
  <c r="AH57" i="62" s="1"/>
  <c r="AI7" i="62"/>
  <c r="AH24" i="62"/>
  <c r="AH53" i="62" s="1"/>
  <c r="AI10" i="62"/>
  <c r="AH27" i="62"/>
  <c r="AH56" i="62" s="1"/>
  <c r="AG21" i="62"/>
  <c r="AH4" i="62"/>
  <c r="AG15" i="62"/>
  <c r="AH49" i="62"/>
  <c r="AH22" i="62"/>
  <c r="AH51" i="62" s="1"/>
  <c r="AI5" i="62"/>
  <c r="AF50" i="62"/>
  <c r="AF63" i="62" s="1"/>
  <c r="AF64" i="62" s="1"/>
  <c r="AF32" i="62"/>
  <c r="AK26" i="62"/>
  <c r="AK55" i="62" s="1"/>
  <c r="AL9" i="62"/>
  <c r="AK25" i="62" l="1"/>
  <c r="AK54" i="62" s="1"/>
  <c r="AL8" i="62"/>
  <c r="AG50" i="62"/>
  <c r="AG63" i="62" s="1"/>
  <c r="AG64" i="62" s="1"/>
  <c r="AG32" i="62"/>
  <c r="AJ10" i="62"/>
  <c r="AI27" i="62"/>
  <c r="AI56" i="62" s="1"/>
  <c r="AK3" i="62"/>
  <c r="AJ20" i="62"/>
  <c r="AJ7" i="62"/>
  <c r="AI24" i="62"/>
  <c r="AI53" i="62" s="1"/>
  <c r="AI22" i="62"/>
  <c r="AI51" i="62" s="1"/>
  <c r="AJ5" i="62"/>
  <c r="AH29" i="62"/>
  <c r="AH58" i="62" s="1"/>
  <c r="AI12" i="62"/>
  <c r="AL26" i="62"/>
  <c r="AL55" i="62" s="1"/>
  <c r="AM9" i="62"/>
  <c r="AI28" i="62"/>
  <c r="AI57" i="62" s="1"/>
  <c r="AJ11" i="62"/>
  <c r="AH21" i="62"/>
  <c r="AI4" i="62"/>
  <c r="AH15" i="62"/>
  <c r="AI30" i="62"/>
  <c r="AI59" i="62" s="1"/>
  <c r="AJ13" i="62"/>
  <c r="AI49" i="62"/>
  <c r="AK5" i="62" l="1"/>
  <c r="AJ22" i="62"/>
  <c r="AJ51" i="62" s="1"/>
  <c r="AK7" i="62"/>
  <c r="AJ24" i="62"/>
  <c r="AJ53" i="62" s="1"/>
  <c r="AI29" i="62"/>
  <c r="AI58" i="62" s="1"/>
  <c r="AJ12" i="62"/>
  <c r="AI21" i="62"/>
  <c r="AJ4" i="62"/>
  <c r="AI15" i="62"/>
  <c r="AH50" i="62"/>
  <c r="AH63" i="62" s="1"/>
  <c r="AH64" i="62" s="1"/>
  <c r="AH32" i="62"/>
  <c r="AJ49" i="62"/>
  <c r="AL25" i="62"/>
  <c r="AL54" i="62" s="1"/>
  <c r="AM8" i="62"/>
  <c r="AK20" i="62"/>
  <c r="AL3" i="62"/>
  <c r="AJ27" i="62"/>
  <c r="AJ56" i="62" s="1"/>
  <c r="AK10" i="62"/>
  <c r="AK11" i="62"/>
  <c r="AJ28" i="62"/>
  <c r="AJ57" i="62" s="1"/>
  <c r="AN9" i="62"/>
  <c r="AM26" i="62"/>
  <c r="AM55" i="62" s="1"/>
  <c r="AJ30" i="62"/>
  <c r="AJ59" i="62" s="1"/>
  <c r="AK13" i="62"/>
  <c r="AO9" i="62" l="1"/>
  <c r="AN26" i="62"/>
  <c r="AN55" i="62" s="1"/>
  <c r="AK49" i="62"/>
  <c r="AK4" i="62"/>
  <c r="AJ21" i="62"/>
  <c r="AJ15" i="62"/>
  <c r="AN8" i="62"/>
  <c r="AM25" i="62"/>
  <c r="AM54" i="62" s="1"/>
  <c r="AI50" i="62"/>
  <c r="AI63" i="62" s="1"/>
  <c r="AI64" i="62" s="1"/>
  <c r="AI32" i="62"/>
  <c r="AK30" i="62"/>
  <c r="AK59" i="62" s="1"/>
  <c r="AL13" i="62"/>
  <c r="AL7" i="62"/>
  <c r="AK24" i="62"/>
  <c r="AK53" i="62" s="1"/>
  <c r="AJ29" i="62"/>
  <c r="AJ58" i="62" s="1"/>
  <c r="AK12" i="62"/>
  <c r="AL11" i="62"/>
  <c r="AK28" i="62"/>
  <c r="AK57" i="62" s="1"/>
  <c r="AK27" i="62"/>
  <c r="AK56" i="62" s="1"/>
  <c r="AL10" i="62"/>
  <c r="AM3" i="62"/>
  <c r="AL20" i="62"/>
  <c r="AK22" i="62"/>
  <c r="AK51" i="62" s="1"/>
  <c r="AL5" i="62"/>
  <c r="AM20" i="62" l="1"/>
  <c r="AN3" i="62"/>
  <c r="AL30" i="62"/>
  <c r="AL59" i="62" s="1"/>
  <c r="AM13" i="62"/>
  <c r="AL4" i="62"/>
  <c r="AK21" i="62"/>
  <c r="AK15" i="62"/>
  <c r="AN25" i="62"/>
  <c r="AN54" i="62" s="1"/>
  <c r="AO8" i="62"/>
  <c r="AJ50" i="62"/>
  <c r="AJ63" i="62" s="1"/>
  <c r="AJ64" i="62" s="1"/>
  <c r="AJ32" i="62"/>
  <c r="AM5" i="62"/>
  <c r="AL22" i="62"/>
  <c r="AL51" i="62" s="1"/>
  <c r="AL28" i="62"/>
  <c r="AL57" i="62" s="1"/>
  <c r="AM11" i="62"/>
  <c r="AL49" i="62"/>
  <c r="AL24" i="62"/>
  <c r="AL53" i="62" s="1"/>
  <c r="AM7" i="62"/>
  <c r="AL27" i="62"/>
  <c r="AL56" i="62" s="1"/>
  <c r="AM10" i="62"/>
  <c r="AL12" i="62"/>
  <c r="AK29" i="62"/>
  <c r="AK58" i="62" s="1"/>
  <c r="AP9" i="62"/>
  <c r="AO26" i="62"/>
  <c r="AO55" i="62" s="1"/>
  <c r="AK50" i="62" l="1"/>
  <c r="AK63" i="62" s="1"/>
  <c r="AK64" i="62" s="1"/>
  <c r="AK32" i="62"/>
  <c r="AN10" i="62"/>
  <c r="AM27" i="62"/>
  <c r="AM56" i="62" s="1"/>
  <c r="AM30" i="62"/>
  <c r="AM59" i="62" s="1"/>
  <c r="AN13" i="62"/>
  <c r="AN20" i="62"/>
  <c r="AO3" i="62"/>
  <c r="AM28" i="62"/>
  <c r="AM57" i="62" s="1"/>
  <c r="AN11" i="62"/>
  <c r="AL21" i="62"/>
  <c r="AM4" i="62"/>
  <c r="AL15" i="62"/>
  <c r="AN5" i="62"/>
  <c r="AM22" i="62"/>
  <c r="AM51" i="62" s="1"/>
  <c r="AP26" i="62"/>
  <c r="AP55" i="62" s="1"/>
  <c r="AQ9" i="62"/>
  <c r="AP8" i="62"/>
  <c r="AO25" i="62"/>
  <c r="AO54" i="62" s="1"/>
  <c r="AL29" i="62"/>
  <c r="AL58" i="62" s="1"/>
  <c r="AM12" i="62"/>
  <c r="AN7" i="62"/>
  <c r="AM24" i="62"/>
  <c r="AM53" i="62" s="1"/>
  <c r="AM49" i="62"/>
  <c r="AN22" i="62" l="1"/>
  <c r="AN51" i="62" s="1"/>
  <c r="AO5" i="62"/>
  <c r="AN49" i="62"/>
  <c r="AN24" i="62"/>
  <c r="AN53" i="62" s="1"/>
  <c r="AO7" i="62"/>
  <c r="AP25" i="62"/>
  <c r="AP54" i="62" s="1"/>
  <c r="AQ8" i="62"/>
  <c r="AN28" i="62"/>
  <c r="AN57" i="62" s="1"/>
  <c r="AO11" i="62"/>
  <c r="AO10" i="62"/>
  <c r="AN27" i="62"/>
  <c r="AN56" i="62" s="1"/>
  <c r="AM29" i="62"/>
  <c r="AM58" i="62" s="1"/>
  <c r="AN12" i="62"/>
  <c r="AL50" i="62"/>
  <c r="AL63" i="62" s="1"/>
  <c r="AL64" i="62" s="1"/>
  <c r="AL32" i="62"/>
  <c r="AQ26" i="62"/>
  <c r="AQ55" i="62" s="1"/>
  <c r="AR9" i="62"/>
  <c r="AR26" i="62" s="1"/>
  <c r="AR55" i="62" s="1"/>
  <c r="AN30" i="62"/>
  <c r="AN59" i="62" s="1"/>
  <c r="AO13" i="62"/>
  <c r="AM21" i="62"/>
  <c r="AN4" i="62"/>
  <c r="AM15" i="62"/>
  <c r="AO20" i="62"/>
  <c r="AP3" i="62"/>
  <c r="AQ25" i="62" l="1"/>
  <c r="AQ54" i="62" s="1"/>
  <c r="AR8" i="62"/>
  <c r="AR25" i="62" s="1"/>
  <c r="AR54" i="62" s="1"/>
  <c r="AM50" i="62"/>
  <c r="AM63" i="62" s="1"/>
  <c r="AM64" i="62" s="1"/>
  <c r="AM32" i="62"/>
  <c r="AN29" i="62"/>
  <c r="AN58" i="62" s="1"/>
  <c r="AO12" i="62"/>
  <c r="AO30" i="62"/>
  <c r="AO59" i="62" s="1"/>
  <c r="AP13" i="62"/>
  <c r="AN21" i="62"/>
  <c r="AO4" i="62"/>
  <c r="AN15" i="62"/>
  <c r="AP7" i="62"/>
  <c r="AO24" i="62"/>
  <c r="AO53" i="62" s="1"/>
  <c r="AP20" i="62"/>
  <c r="AQ3" i="62"/>
  <c r="AP10" i="62"/>
  <c r="AO27" i="62"/>
  <c r="AO56" i="62" s="1"/>
  <c r="AO28" i="62"/>
  <c r="AO57" i="62" s="1"/>
  <c r="AP11" i="62"/>
  <c r="AO22" i="62"/>
  <c r="AO51" i="62" s="1"/>
  <c r="AP5" i="62"/>
  <c r="AO49" i="62"/>
  <c r="AP22" i="62" l="1"/>
  <c r="AP51" i="62" s="1"/>
  <c r="AQ5" i="62"/>
  <c r="AP30" i="62"/>
  <c r="AP59" i="62" s="1"/>
  <c r="AQ13" i="62"/>
  <c r="AQ20" i="62"/>
  <c r="AR3" i="62"/>
  <c r="AP49" i="62"/>
  <c r="AP28" i="62"/>
  <c r="AP57" i="62" s="1"/>
  <c r="AQ11" i="62"/>
  <c r="AO29" i="62"/>
  <c r="AO58" i="62" s="1"/>
  <c r="AP12" i="62"/>
  <c r="AQ7" i="62"/>
  <c r="AP24" i="62"/>
  <c r="AP53" i="62" s="1"/>
  <c r="AO21" i="62"/>
  <c r="AP4" i="62"/>
  <c r="AO15" i="62"/>
  <c r="AQ10" i="62"/>
  <c r="AP27" i="62"/>
  <c r="AP56" i="62" s="1"/>
  <c r="AN50" i="62"/>
  <c r="AN63" i="62" s="1"/>
  <c r="AN64" i="62" s="1"/>
  <c r="AN32" i="62"/>
  <c r="AR20" i="62" l="1"/>
  <c r="AR7" i="62"/>
  <c r="AR24" i="62" s="1"/>
  <c r="AR53" i="62" s="1"/>
  <c r="AQ24" i="62"/>
  <c r="AQ53" i="62" s="1"/>
  <c r="AQ49" i="62"/>
  <c r="AP21" i="62"/>
  <c r="AQ4" i="62"/>
  <c r="AP15" i="62"/>
  <c r="AQ22" i="62"/>
  <c r="AQ51" i="62" s="1"/>
  <c r="AR5" i="62"/>
  <c r="AR22" i="62" s="1"/>
  <c r="AR51" i="62" s="1"/>
  <c r="AP29" i="62"/>
  <c r="AP58" i="62" s="1"/>
  <c r="AQ12" i="62"/>
  <c r="AR10" i="62"/>
  <c r="AR27" i="62" s="1"/>
  <c r="AR56" i="62" s="1"/>
  <c r="AQ27" i="62"/>
  <c r="AQ56" i="62" s="1"/>
  <c r="AQ30" i="62"/>
  <c r="AQ59" i="62" s="1"/>
  <c r="AR13" i="62"/>
  <c r="AR30" i="62" s="1"/>
  <c r="AR59" i="62" s="1"/>
  <c r="AQ28" i="62"/>
  <c r="AQ57" i="62" s="1"/>
  <c r="AR11" i="62"/>
  <c r="AR28" i="62" s="1"/>
  <c r="AR57" i="62" s="1"/>
  <c r="AO50" i="62"/>
  <c r="AO63" i="62" s="1"/>
  <c r="AO64" i="62" s="1"/>
  <c r="AO32" i="62"/>
  <c r="AP50" i="62" l="1"/>
  <c r="AP63" i="62" s="1"/>
  <c r="AP64" i="62" s="1"/>
  <c r="AP32" i="62"/>
  <c r="AQ29" i="62"/>
  <c r="AQ58" i="62" s="1"/>
  <c r="AR12" i="62"/>
  <c r="AR29" i="62" s="1"/>
  <c r="AR58" i="62" s="1"/>
  <c r="AQ21" i="62"/>
  <c r="AR4" i="62"/>
  <c r="AQ15" i="62"/>
  <c r="AR49" i="62"/>
  <c r="AQ50" i="62" l="1"/>
  <c r="AQ63" i="62" s="1"/>
  <c r="AQ64" i="62" s="1"/>
  <c r="AQ32" i="62"/>
  <c r="AR21" i="62"/>
  <c r="AR15" i="62"/>
  <c r="AR50" i="62" l="1"/>
  <c r="AR63" i="62" s="1"/>
  <c r="AR64" i="62" s="1"/>
  <c r="AR32" i="62"/>
  <c r="J47" i="61" l="1"/>
  <c r="J53" i="61" s="1"/>
  <c r="M47" i="61"/>
  <c r="M53" i="61" s="1"/>
  <c r="L47" i="61"/>
  <c r="L53" i="61" s="1"/>
  <c r="O47" i="61"/>
  <c r="O53" i="61" s="1"/>
  <c r="N47" i="61"/>
  <c r="N53" i="61" s="1"/>
  <c r="K47" i="61"/>
  <c r="K53" i="61" s="1"/>
  <c r="S47" i="61"/>
  <c r="S53" i="61" s="1"/>
  <c r="I47" i="61"/>
  <c r="I53" i="61" s="1"/>
  <c r="Q47" i="61"/>
  <c r="Q53" i="61" s="1"/>
  <c r="H47" i="61"/>
  <c r="H53" i="61" s="1"/>
  <c r="R47" i="61"/>
  <c r="R53" i="61" s="1"/>
  <c r="P47" i="61"/>
  <c r="P53" i="61" s="1"/>
  <c r="T53" i="61" l="1"/>
  <c r="T47" i="61"/>
  <c r="Q48" i="61"/>
  <c r="Q51" i="61" s="1"/>
  <c r="L48" i="61"/>
  <c r="M48" i="61"/>
  <c r="J48" i="61"/>
  <c r="I48" i="61"/>
  <c r="P48" i="61"/>
  <c r="P51" i="61" s="1"/>
  <c r="S48" i="61"/>
  <c r="S51" i="61" s="1"/>
  <c r="K48" i="61"/>
  <c r="R48" i="61"/>
  <c r="R51" i="61" s="1"/>
  <c r="N48" i="61"/>
  <c r="H48" i="61"/>
  <c r="O48" i="61"/>
  <c r="O51" i="61" s="1"/>
  <c r="I51" i="61" l="1"/>
  <c r="I52" i="61" s="1"/>
  <c r="I54" i="61" s="1"/>
  <c r="J51" i="61"/>
  <c r="J52" i="61" s="1"/>
  <c r="J54" i="61" s="1"/>
  <c r="M51" i="61"/>
  <c r="M52" i="61" s="1"/>
  <c r="M54" i="61" s="1"/>
  <c r="N51" i="61"/>
  <c r="N52" i="61" s="1"/>
  <c r="N54" i="61" s="1"/>
  <c r="L51" i="61"/>
  <c r="L52" i="61" s="1"/>
  <c r="L54" i="61" s="1"/>
  <c r="K51" i="61"/>
  <c r="K52" i="61" s="1"/>
  <c r="K54" i="61" s="1"/>
  <c r="Q52" i="61"/>
  <c r="Q54" i="61" s="1"/>
  <c r="R52" i="61"/>
  <c r="R54" i="61" s="1"/>
  <c r="S52" i="61"/>
  <c r="S54" i="61" s="1"/>
  <c r="P52" i="61"/>
  <c r="P54" i="61" s="1"/>
  <c r="O52" i="61"/>
  <c r="O54" i="61" s="1"/>
  <c r="H51" i="61"/>
  <c r="H52" i="61" s="1"/>
  <c r="T48" i="61"/>
  <c r="N68" i="61"/>
  <c r="N72" i="61" s="1"/>
  <c r="I68" i="61"/>
  <c r="S68" i="61"/>
  <c r="S72" i="61" s="1"/>
  <c r="P68" i="61"/>
  <c r="P72" i="61" s="1"/>
  <c r="O68" i="61"/>
  <c r="O72" i="61" s="1"/>
  <c r="H68" i="61"/>
  <c r="H72" i="61" s="1"/>
  <c r="L68" i="61"/>
  <c r="R68" i="61"/>
  <c r="R72" i="61" s="1"/>
  <c r="Q68" i="61"/>
  <c r="Q72" i="61" s="1"/>
  <c r="M68" i="61"/>
  <c r="M72" i="61" s="1"/>
  <c r="K68" i="61"/>
  <c r="J68" i="61"/>
  <c r="J72" i="61" s="1"/>
  <c r="G69" i="61"/>
  <c r="G73" i="61" s="1"/>
  <c r="K72" i="61" l="1"/>
  <c r="L72" i="61"/>
  <c r="I72" i="61"/>
  <c r="S69" i="61"/>
  <c r="R69" i="61"/>
  <c r="Q69" i="61"/>
  <c r="G74" i="61"/>
  <c r="O69" i="61"/>
  <c r="T68" i="61"/>
  <c r="P69" i="61"/>
  <c r="T51" i="61"/>
  <c r="N69" i="61"/>
  <c r="N73" i="61" s="1"/>
  <c r="H69" i="61"/>
  <c r="H73" i="61" s="1"/>
  <c r="M69" i="61"/>
  <c r="M73" i="61" s="1"/>
  <c r="L69" i="61"/>
  <c r="I69" i="61"/>
  <c r="J69" i="61"/>
  <c r="K69" i="61"/>
  <c r="K73" i="61" l="1"/>
  <c r="K74" i="61" s="1"/>
  <c r="P73" i="61"/>
  <c r="P74" i="61" s="1"/>
  <c r="J73" i="61"/>
  <c r="J74" i="61" s="1"/>
  <c r="O73" i="61"/>
  <c r="O74" i="61" s="1"/>
  <c r="L73" i="61"/>
  <c r="L74" i="61" s="1"/>
  <c r="Q73" i="61"/>
  <c r="Q74" i="61" s="1"/>
  <c r="R73" i="61"/>
  <c r="R74" i="61" s="1"/>
  <c r="I73" i="61"/>
  <c r="I74" i="61" s="1"/>
  <c r="S73" i="61"/>
  <c r="S74" i="61" s="1"/>
  <c r="T52" i="61"/>
  <c r="H54" i="61"/>
  <c r="T54" i="61" s="1"/>
  <c r="T72" i="61"/>
  <c r="T69" i="61"/>
  <c r="N74" i="61"/>
  <c r="M74" i="61"/>
  <c r="I11" i="10"/>
  <c r="I12" i="10" s="1"/>
  <c r="D11" i="10"/>
  <c r="D12" i="10" s="1"/>
  <c r="E11" i="10"/>
  <c r="E12" i="10" s="1"/>
  <c r="F11" i="10"/>
  <c r="F12" i="10" s="1"/>
  <c r="F17" i="10" s="1"/>
  <c r="G11" i="10"/>
  <c r="G12" i="10" s="1"/>
  <c r="G17" i="10" s="1"/>
  <c r="H11" i="10"/>
  <c r="J11" i="10"/>
  <c r="J12" i="10" s="1"/>
  <c r="K11" i="10"/>
  <c r="K12" i="10" s="1"/>
  <c r="L11" i="10"/>
  <c r="L12" i="10" s="1"/>
  <c r="M11" i="10"/>
  <c r="M12" i="10" s="1"/>
  <c r="N11" i="10"/>
  <c r="N12" i="10" s="1"/>
  <c r="O11" i="10"/>
  <c r="O12" i="10" s="1"/>
  <c r="O58" i="72" l="1"/>
  <c r="O44" i="72"/>
  <c r="O31" i="72"/>
  <c r="O18" i="72"/>
  <c r="E44" i="72"/>
  <c r="E58" i="72"/>
  <c r="E31" i="72"/>
  <c r="K18" i="72"/>
  <c r="K58" i="72"/>
  <c r="K44" i="72"/>
  <c r="K31" i="72"/>
  <c r="N44" i="72"/>
  <c r="N31" i="72"/>
  <c r="N18" i="72"/>
  <c r="N58" i="72"/>
  <c r="M58" i="72"/>
  <c r="M44" i="72"/>
  <c r="M31" i="72"/>
  <c r="M18" i="72"/>
  <c r="J18" i="72"/>
  <c r="J58" i="72"/>
  <c r="J44" i="72"/>
  <c r="J31" i="72"/>
  <c r="L58" i="72"/>
  <c r="L44" i="72"/>
  <c r="L18" i="72"/>
  <c r="L31" i="72"/>
  <c r="H12" i="10"/>
  <c r="H17" i="10" s="1"/>
  <c r="G18" i="72"/>
  <c r="G58" i="72"/>
  <c r="G44" i="72"/>
  <c r="G31" i="72"/>
  <c r="D58" i="72"/>
  <c r="D44" i="72"/>
  <c r="D31" i="72"/>
  <c r="C26" i="70"/>
  <c r="P58" i="72"/>
  <c r="P44" i="72"/>
  <c r="P31" i="72"/>
  <c r="P18" i="72"/>
  <c r="F58" i="72"/>
  <c r="F44" i="72"/>
  <c r="F31" i="72"/>
  <c r="F18" i="72"/>
  <c r="P11" i="10"/>
  <c r="T73" i="61"/>
  <c r="H74" i="61"/>
  <c r="H26" i="70" l="1"/>
  <c r="G26" i="70"/>
  <c r="K26" i="70"/>
  <c r="J26" i="70"/>
  <c r="I26" i="70"/>
  <c r="C29" i="70"/>
  <c r="H18" i="72"/>
  <c r="I18" i="72" s="1"/>
  <c r="H44" i="72"/>
  <c r="H58" i="72"/>
  <c r="H31" i="72"/>
  <c r="P12" i="10"/>
  <c r="I58" i="72" l="1"/>
  <c r="I31" i="72"/>
  <c r="I44" i="72"/>
  <c r="H29" i="70"/>
  <c r="L26" i="70"/>
  <c r="G29" i="70"/>
  <c r="I29" i="70"/>
  <c r="J29" i="70"/>
  <c r="K29" i="70"/>
  <c r="H31" i="70" l="1"/>
  <c r="K31" i="70"/>
  <c r="J31" i="70"/>
  <c r="G31" i="70"/>
  <c r="I31" i="70"/>
  <c r="L24" i="72"/>
  <c r="F21" i="72"/>
  <c r="L29" i="70"/>
  <c r="N24" i="72"/>
  <c r="M24" i="72"/>
  <c r="H21" i="72"/>
  <c r="O24" i="72"/>
  <c r="P24" i="72"/>
  <c r="G21" i="72"/>
  <c r="J21" i="72"/>
  <c r="K21" i="72"/>
  <c r="I21" i="72" l="1"/>
  <c r="K24" i="72"/>
  <c r="F24" i="72"/>
  <c r="G24" i="72"/>
  <c r="L30" i="70"/>
  <c r="J24" i="72"/>
  <c r="H24" i="72"/>
  <c r="E3" i="76" l="1"/>
  <c r="E13" i="76" s="1"/>
  <c r="F3" i="76"/>
  <c r="F13" i="76" s="1"/>
  <c r="D3" i="76"/>
  <c r="D13" i="76" s="1"/>
  <c r="I24" i="72"/>
  <c r="G3" i="76" l="1"/>
  <c r="G13" i="76"/>
  <c r="L68" i="72" l="1"/>
  <c r="L70" i="72" s="1"/>
  <c r="N68" i="72"/>
  <c r="N70" i="72" s="1"/>
  <c r="L5" i="28"/>
  <c r="K5" i="28"/>
  <c r="D5" i="28"/>
  <c r="D6" i="28" s="1"/>
  <c r="D7" i="28" s="1"/>
  <c r="H5" i="28"/>
  <c r="H13" i="28" s="1"/>
  <c r="G5" i="28"/>
  <c r="G13" i="28" s="1"/>
  <c r="F5" i="28"/>
  <c r="I5" i="28"/>
  <c r="E5" i="28"/>
  <c r="I13" i="28" l="1"/>
  <c r="J5" i="28"/>
  <c r="J13" i="28"/>
  <c r="D24" i="76"/>
  <c r="E24" i="76"/>
  <c r="F24" i="76"/>
  <c r="B51" i="76"/>
  <c r="D51" i="76"/>
  <c r="C51" i="76"/>
  <c r="E51" i="76"/>
  <c r="K6" i="28"/>
  <c r="F51" i="76"/>
  <c r="E6" i="28"/>
  <c r="F6" i="28"/>
  <c r="I6" i="28"/>
  <c r="G6" i="28"/>
  <c r="G14" i="28" s="1"/>
  <c r="H6" i="28"/>
  <c r="H14" i="28" s="1"/>
  <c r="H15" i="28" s="1"/>
  <c r="E4" i="76" s="1"/>
  <c r="L6" i="28"/>
  <c r="P68" i="72"/>
  <c r="P70" i="72" s="1"/>
  <c r="O68" i="72"/>
  <c r="O70" i="72" s="1"/>
  <c r="M68" i="72"/>
  <c r="M70" i="72" s="1"/>
  <c r="I14" i="28" l="1"/>
  <c r="I15" i="28" s="1"/>
  <c r="F4" i="76" s="1"/>
  <c r="J6" i="28"/>
  <c r="G15" i="28"/>
  <c r="J14" i="28"/>
  <c r="B54" i="76"/>
  <c r="B55" i="76" s="1"/>
  <c r="C54" i="76"/>
  <c r="C55" i="76" s="1"/>
  <c r="E54" i="76"/>
  <c r="E27" i="76"/>
  <c r="D54" i="76"/>
  <c r="D27" i="76"/>
  <c r="L7" i="28"/>
  <c r="K68" i="72" s="1"/>
  <c r="K70" i="72" s="1"/>
  <c r="F54" i="76"/>
  <c r="F55" i="76" s="1"/>
  <c r="F27" i="76"/>
  <c r="K7" i="28"/>
  <c r="J68" i="72" s="1"/>
  <c r="J70" i="72" s="1"/>
  <c r="G7" i="28"/>
  <c r="F7" i="28"/>
  <c r="I7" i="28"/>
  <c r="H7" i="28"/>
  <c r="E7" i="28"/>
  <c r="J7" i="28" l="1"/>
  <c r="D4" i="76"/>
  <c r="J15" i="28"/>
  <c r="D55" i="76"/>
  <c r="K4" i="76"/>
  <c r="B41" i="76" s="1"/>
  <c r="D68" i="72"/>
  <c r="L4" i="76"/>
  <c r="C41" i="76" s="1"/>
  <c r="E68" i="72"/>
  <c r="E70" i="72" s="1"/>
  <c r="N4" i="76"/>
  <c r="E41" i="76" s="1"/>
  <c r="G68" i="72"/>
  <c r="G70" i="72" s="1"/>
  <c r="O4" i="76"/>
  <c r="F41" i="76" s="1"/>
  <c r="H68" i="72"/>
  <c r="H70" i="72" s="1"/>
  <c r="M4" i="76"/>
  <c r="D41" i="76" s="1"/>
  <c r="F68" i="72"/>
  <c r="E55" i="76"/>
  <c r="E40" i="70"/>
  <c r="E41" i="70" s="1"/>
  <c r="H40" i="70"/>
  <c r="H41" i="70" s="1"/>
  <c r="K40" i="70"/>
  <c r="K41" i="70" s="1"/>
  <c r="I40" i="70"/>
  <c r="I41" i="70" s="1"/>
  <c r="J40" i="70"/>
  <c r="J41" i="70" s="1"/>
  <c r="G40" i="70"/>
  <c r="G41" i="70" s="1"/>
  <c r="F40" i="70"/>
  <c r="F41" i="70" s="1"/>
  <c r="F70" i="72" l="1"/>
  <c r="I68" i="72"/>
  <c r="P4" i="76"/>
  <c r="D70" i="72"/>
  <c r="I70" i="72" s="1"/>
  <c r="G41" i="76"/>
  <c r="F28" i="76"/>
  <c r="E28" i="76"/>
  <c r="D28" i="76"/>
  <c r="G4" i="76"/>
  <c r="D14" i="76"/>
  <c r="D5" i="76"/>
  <c r="E14" i="76"/>
  <c r="E5" i="76"/>
  <c r="F14" i="76"/>
  <c r="F5" i="76"/>
  <c r="P37" i="72"/>
  <c r="M37" i="72"/>
  <c r="O37" i="72"/>
  <c r="L37" i="72"/>
  <c r="N37" i="72"/>
  <c r="H36" i="72"/>
  <c r="H37" i="72" s="1"/>
  <c r="E36" i="72"/>
  <c r="E37" i="72" s="1"/>
  <c r="F36" i="72"/>
  <c r="F37" i="72" s="1"/>
  <c r="D36" i="72"/>
  <c r="K36" i="72"/>
  <c r="K37" i="72" s="1"/>
  <c r="G36" i="72"/>
  <c r="G37" i="72" s="1"/>
  <c r="J36" i="72"/>
  <c r="J37" i="72" s="1"/>
  <c r="H49" i="70"/>
  <c r="H50" i="70" s="1"/>
  <c r="G49" i="70"/>
  <c r="G50" i="70" s="1"/>
  <c r="K49" i="70"/>
  <c r="K50" i="70" s="1"/>
  <c r="J49" i="70"/>
  <c r="J50" i="70" s="1"/>
  <c r="I49" i="70"/>
  <c r="I50" i="70" s="1"/>
  <c r="F49" i="70"/>
  <c r="F50" i="70" s="1"/>
  <c r="E49" i="70"/>
  <c r="E50" i="70" s="1"/>
  <c r="L40" i="70"/>
  <c r="H58" i="70"/>
  <c r="H59" i="70" s="1"/>
  <c r="G58" i="70"/>
  <c r="G59" i="70" s="1"/>
  <c r="K58" i="70"/>
  <c r="K59" i="70" s="1"/>
  <c r="J58" i="70"/>
  <c r="J59" i="70" s="1"/>
  <c r="I58" i="70"/>
  <c r="I59" i="70" s="1"/>
  <c r="F58" i="70"/>
  <c r="F59" i="70" s="1"/>
  <c r="E58" i="70"/>
  <c r="E59" i="70" s="1"/>
  <c r="D37" i="72" l="1"/>
  <c r="I37" i="72" s="1"/>
  <c r="I36" i="72"/>
  <c r="G5" i="76"/>
  <c r="G14" i="76"/>
  <c r="F49" i="72"/>
  <c r="F50" i="72" s="1"/>
  <c r="D49" i="72"/>
  <c r="E49" i="72"/>
  <c r="E50" i="72" s="1"/>
  <c r="G49" i="72"/>
  <c r="G50" i="72" s="1"/>
  <c r="H49" i="72"/>
  <c r="H50" i="72" s="1"/>
  <c r="F15" i="76"/>
  <c r="F7" i="76"/>
  <c r="F17" i="76" s="1"/>
  <c r="E7" i="76"/>
  <c r="E17" i="76" s="1"/>
  <c r="E15" i="76"/>
  <c r="D15" i="76"/>
  <c r="D7" i="76"/>
  <c r="O50" i="72"/>
  <c r="L64" i="72"/>
  <c r="L73" i="72" s="1"/>
  <c r="N50" i="72"/>
  <c r="M50" i="72"/>
  <c r="M64" i="72"/>
  <c r="M73" i="72" s="1"/>
  <c r="O64" i="72"/>
  <c r="O73" i="72" s="1"/>
  <c r="L50" i="72"/>
  <c r="N64" i="72"/>
  <c r="N73" i="72" s="1"/>
  <c r="P50" i="72"/>
  <c r="P64" i="72"/>
  <c r="P73" i="72" s="1"/>
  <c r="H63" i="72"/>
  <c r="F63" i="72"/>
  <c r="J63" i="72"/>
  <c r="K63" i="72"/>
  <c r="J49" i="72"/>
  <c r="J50" i="72" s="1"/>
  <c r="D63" i="72"/>
  <c r="K49" i="72"/>
  <c r="K50" i="72" s="1"/>
  <c r="G63" i="72"/>
  <c r="E63" i="72"/>
  <c r="L58" i="70"/>
  <c r="L41" i="70"/>
  <c r="L49" i="70"/>
  <c r="K64" i="72" l="1"/>
  <c r="J64" i="72"/>
  <c r="D50" i="72"/>
  <c r="I50" i="72" s="1"/>
  <c r="I49" i="72"/>
  <c r="I63" i="72"/>
  <c r="D17" i="76"/>
  <c r="G7" i="76"/>
  <c r="G15" i="76"/>
  <c r="E64" i="72"/>
  <c r="G64" i="72"/>
  <c r="D64" i="72"/>
  <c r="F64" i="72"/>
  <c r="H64" i="72"/>
  <c r="L59" i="70"/>
  <c r="L50" i="70"/>
  <c r="K73" i="72" l="1"/>
  <c r="J73" i="72"/>
  <c r="J75" i="72" s="1"/>
  <c r="G73" i="72"/>
  <c r="G75" i="72" s="1"/>
  <c r="E73" i="72"/>
  <c r="E75" i="72" s="1"/>
  <c r="H73" i="72"/>
  <c r="H75" i="72" s="1"/>
  <c r="D73" i="72"/>
  <c r="F73" i="72"/>
  <c r="F75" i="72" s="1"/>
  <c r="L3" i="76"/>
  <c r="O3" i="76"/>
  <c r="K3" i="76"/>
  <c r="M3" i="76"/>
  <c r="N3" i="76"/>
  <c r="G17" i="76"/>
  <c r="I64" i="72"/>
  <c r="N75" i="72"/>
  <c r="M75" i="72"/>
  <c r="P75" i="72"/>
  <c r="O75" i="72"/>
  <c r="L75" i="72"/>
  <c r="K75" i="72"/>
  <c r="P3" i="76" l="1"/>
  <c r="B40" i="76"/>
  <c r="K5" i="76"/>
  <c r="N5" i="76"/>
  <c r="E40" i="76"/>
  <c r="D40" i="76"/>
  <c r="M5" i="76"/>
  <c r="F40" i="76"/>
  <c r="O5" i="76"/>
  <c r="L5" i="76"/>
  <c r="C40" i="76"/>
  <c r="D75" i="72"/>
  <c r="I73" i="72"/>
  <c r="M7" i="76" l="1"/>
  <c r="D44" i="76" s="1"/>
  <c r="D42" i="76"/>
  <c r="G40" i="76"/>
  <c r="N7" i="76"/>
  <c r="E44" i="76" s="1"/>
  <c r="E42" i="76"/>
  <c r="P5" i="76"/>
  <c r="B42" i="76"/>
  <c r="K7" i="76"/>
  <c r="L7" i="76"/>
  <c r="C44" i="76" s="1"/>
  <c r="C42" i="76"/>
  <c r="O7" i="76"/>
  <c r="F44" i="76" s="1"/>
  <c r="F42" i="76"/>
  <c r="I75" i="72"/>
  <c r="P7" i="76" l="1"/>
  <c r="B44" i="76"/>
  <c r="G42" i="76"/>
  <c r="G44" i="7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tc={6DA79DA2-C101-4532-B8EE-822CC6018551}</author>
    <author>tc={F50C48F7-04FE-4ABE-933D-00A6AFBB159A}</author>
    <author>tc={CE53836B-CF00-4C92-9359-978DE9341F79}</author>
  </authors>
  <commentList>
    <comment ref="D17" authorId="0" shapeId="0" xr:uid="{6DA79DA2-C101-4532-B8EE-822CC6018551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Estimates of non-NZ ETS emissions for 2020 and 2022 added (demonstration and CPR same)</t>
      </text>
    </comment>
    <comment ref="C19" authorId="1" shapeId="0" xr:uid="{F50C48F7-04FE-4ABE-933D-00A6AFBB159A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same calculation as 2022</t>
      </text>
    </comment>
    <comment ref="B22" authorId="2" shapeId="0" xr:uid="{CE53836B-CF00-4C92-9359-978DE9341F79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Jan-23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tc={C57DE268-7A63-46F5-BF15-BAF744AF8561}</author>
  </authors>
  <commentList>
    <comment ref="B31" authorId="0" shapeId="0" xr:uid="{C57DE268-7A63-46F5-BF15-BAF744AF8561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Jan-23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tc={2E642E93-2D09-44F2-A0C3-CCCCE8339FC0}</author>
  </authors>
  <commentList>
    <comment ref="A5" authorId="0" shapeId="0" xr:uid="{2E642E93-2D09-44F2-A0C3-CCCCE8339F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based on emissions comparisons assessment from 2022 advice.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tc={87018334-D4EB-4546-8F8A-D8DCEE53BBB4}</author>
    <author>tc={478A5905-8DDC-4A93-B529-BEAD9CF62B04}</author>
    <author>tc={B0E44B16-6FA2-4347-BDBB-E17F1DF7C9E8}</author>
    <author>tc={1BC3AA81-D374-4B94-802B-2B7C5481FF6B}</author>
    <author>tc={3A005B47-7D9E-413F-BBBB-4967A6A0F5E9}</author>
    <author>tc={0FCECC1D-6472-47D6-9D73-168B35980DF4}</author>
    <author>tc={51E9D3AF-3852-4881-B3AE-E30E9EB889B9}</author>
    <author>tc={0075AFEF-2C1F-4778-974D-408D5BE4277E}</author>
    <author>tc={F7895B49-D35F-472E-9CC6-25558C04DA75}</author>
    <author>tc={6C6D1382-96EC-44F5-A10C-3CE5A476533C}</author>
    <author>tc={7E6F23A8-B3CD-48B0-90C8-25A6D7253980}</author>
    <author>tc={7445E3E8-54B5-42CC-96DD-F00AA2D6EB64}</author>
    <author>tc={859EB893-8FE2-4C26-B1BB-F287E33C08B8}</author>
    <author>tc={14277B76-9EEE-4631-8497-CE7994AA6106}</author>
    <author>tc={1DBDD91C-E3BC-4AA9-9410-7A7475C43C34}</author>
    <author>tc={1C7ACBA4-6C3E-4D19-9C95-AB8A93CC0AE0}</author>
    <author>tc={F70AB065-DAD5-43E3-9C89-C481346F5A30}</author>
    <author>tc={D279A2EE-204E-44EF-903C-EC452367E1E9}</author>
    <author>tc={903FF0D0-8AF9-4E64-B15A-41AE576715FA}</author>
    <author>tc={994F1B26-0401-4010-AED9-EB4BE12F4CA6}</author>
    <author>tc={3F99D14C-FEA8-4F92-AC16-3A39533A82F9}</author>
    <author>tc={4BEAB7F8-4BD2-4549-BB72-25E67F921CB5}</author>
    <author>tc={EDB4EACF-E398-482E-A953-1097F3AD79EC}</author>
    <author>tc={57C6F32C-3400-4B8A-AADF-FEAE190FC036}</author>
  </authors>
  <commentList>
    <comment ref="O1" authorId="0" shapeId="0" xr:uid="{87018334-D4EB-4546-8F8A-D8DCEE53BBB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2022 formula updated to be based off 2021 instead of 2019 with other minor updates to assumptions and output reductions below</t>
      </text>
    </comment>
    <comment ref="A2" authorId="1" shapeId="0" xr:uid="{478A5905-8DDC-4A93-B529-BEAD9CF62B04}">
      <text>
        <t>[Threaded comment]
Your version of Excel allows you to read this threaded comment; however, any edits to it will get removed if the file is opened in a newer version of Excel. Learn more: https://go.microsoft.com/fwlink/?linkid=870924
Comment:
    Historic data retrieved from EPA and aggregated into categories https://www.epa.govt.nz/industry-areas/emissions-trading-scheme/industrial-allocations/decisions/</t>
      </text>
    </comment>
    <comment ref="A3" authorId="2" shapeId="0" xr:uid="{B0E44B16-6FA2-4347-BDBB-E17F1DF7C9E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0% growth for all sectors in line with ENZ scenarios</t>
      </text>
    </comment>
    <comment ref="B3" authorId="3" shapeId="0" xr:uid="{1BC3AA81-D374-4B94-802B-2B7C5481FF6B}">
      <text>
        <t>[Threaded comment]
Your version of Excel allows you to read this threaded comment; however, any edits to it will get removed if the file is opened in a newer version of Excel. Learn more: https://go.microsoft.com/fwlink/?linkid=870924
Comment:
    NZS + Pacific Steel + Fletcher Steel in its different ownership structures over time. Activities: iron and steel from iron sand and carbon steel from cold ferrous feed.</t>
      </text>
    </comment>
    <comment ref="N4" authorId="4" shapeId="0" xr:uid="{3A005B47-7D9E-413F-BBBB-4967A6A0F5E9}">
      <text>
        <t>[Threaded comment]
Your version of Excel allows you to read this threaded comment; however, any edits to it will get removed if the file is opened in a newer version of Excel. Learn more: https://go.microsoft.com/fwlink/?linkid=870924
Comment:
    NZAS EAF 0.0 tCO2e/MWh for 2021 and 2022 in line w Cab docs. Est. annual reduction of 934,400 NZUs. Assumption this extends to 2050. 
Amended allocative baseline for aluminium smelting: 2.120 in 2021, 2.005 in 2022 and 2023.</t>
      </text>
    </comment>
    <comment ref="P6" authorId="5" shapeId="0" xr:uid="{0FCECC1D-6472-47D6-9D73-168B35980DF4}">
      <text>
        <t>[Threaded comment]
Your version of Excel allows you to read this threaded comment; however, any edits to it will get removed if the file is opened in a newer version of Excel. Learn more: https://go.microsoft.com/fwlink/?linkid=870924
Comment:
    Switches to import terminal</t>
      </text>
    </comment>
    <comment ref="B9" authorId="6" shapeId="0" xr:uid="{51E9D3AF-3852-4881-B3AE-E30E9EB889B9}">
      <text>
        <t>[Threaded comment]
Your version of Excel allows you to read this threaded comment; however, any edits to it will get removed if the file is opened in a newer version of Excel. Learn more: https://go.microsoft.com/fwlink/?linkid=870924
Comment:
    Whey powder and lactose</t>
      </text>
    </comment>
    <comment ref="B10" authorId="7" shapeId="0" xr:uid="{0075AFEF-2C1F-4778-974D-408D5BE4277E}">
      <text>
        <t>[Threaded comment]
Your version of Excel allows you to read this threaded comment; however, any edits to it will get removed if the file is opened in a newer version of Excel. Learn more: https://go.microsoft.com/fwlink/?linkid=870924
Comment:
    Protein meal and gelatine</t>
      </text>
    </comment>
    <comment ref="B12" authorId="8" shapeId="0" xr:uid="{F7895B49-D35F-472E-9CC6-25558C04DA75}">
      <text>
        <t>[Threaded comment]
Your version of Excel allows you to read this threaded comment; however, any edits to it will get removed if the file is opened in a newer version of Excel. Learn more: https://go.microsoft.com/fwlink/?linkid=870924
Comment:
    Cartonboard, market pulp, packaging and industrial paper, newsprint</t>
      </text>
    </comment>
    <comment ref="B13" authorId="9" shapeId="0" xr:uid="{6C6D1382-96EC-44F5-A10C-3CE5A476533C}">
      <text>
        <t>[Threaded comment]
Your version of Excel allows you to read this threaded comment; however, any edits to it will get removed if the file is opened in a newer version of Excel. Learn more: https://go.microsoft.com/fwlink/?linkid=870924
Comment:
    Caustic soda, hydrogen peroxide</t>
      </text>
    </comment>
    <comment ref="B14" authorId="10" shapeId="0" xr:uid="{7E6F23A8-B3CD-48B0-90C8-25A6D7253980}">
      <text>
        <t>[Threaded comment]
Your version of Excel allows you to read this threaded comment; however, any edits to it will get removed if the file is opened in a newer version of Excel. Learn more: https://go.microsoft.com/fwlink/?linkid=870924
Comment:
    Ethanol, clay, glass + tissue paper, reconstituted wood panels</t>
      </text>
    </comment>
    <comment ref="E36" authorId="11" shapeId="0" xr:uid="{7445E3E8-54B5-42CC-96DD-F00AA2D6EB64}">
      <text>
        <t>[Threaded comment]
Your version of Excel allows you to read this threaded comment; however, any edits to it will get removed if the file is opened in a newer version of Excel. Learn more: https://go.microsoft.com/fwlink/?linkid=870924
Comment:
    Potline 4 closed April 2012 until Dec 2018. Accounts for 9% of production capacity.</t>
      </text>
    </comment>
    <comment ref="K36" authorId="12" shapeId="0" xr:uid="{859EB893-8FE2-4C26-B1BB-F287E33C08B8}">
      <text>
        <t>[Threaded comment]
Your version of Excel allows you to read this threaded comment; however, any edits to it will get removed if the file is opened in a newer version of Excel. Learn more: https://go.microsoft.com/fwlink/?linkid=870924
Comment:
    Potline 4 restarted in Dec 2018</t>
      </text>
    </comment>
    <comment ref="M36" authorId="13" shapeId="0" xr:uid="{14277B76-9EEE-4631-8497-CE7994AA6106}">
      <text>
        <t>[Threaded comment]
Your version of Excel allows you to read this threaded comment; however, any edits to it will get removed if the file is opened in a newer version of Excel. Learn more: https://go.microsoft.com/fwlink/?linkid=870924
Comment:
    Potline 4 closed in April 2020. NZAS has not indicated that it will reopen the line despite high Al prices.</t>
      </text>
    </comment>
    <comment ref="R36" authorId="14" shapeId="0" xr:uid="{1DBDD91C-E3BC-4AA9-9410-7A7475C43C34}">
      <text>
        <t>[Threaded comment]
Your version of Excel allows you to read this threaded comment; however, any edits to it will get removed if the file is opened in a newer version of Excel. Learn more: https://go.microsoft.com/fwlink/?linkid=870924
Comment:
    NZAS remains open beyond 2024 and potline 4 remains idled</t>
      </text>
    </comment>
    <comment ref="C37" authorId="15" shapeId="0" xr:uid="{1C7ACBA4-6C3E-4D19-9C95-AB8A93CC0AE0}">
      <text>
        <t>[Threaded comment]
Your version of Excel allows you to read this threaded comment; however, any edits to it will get removed if the file is opened in a newer version of Excel. Learn more: https://go.microsoft.com/fwlink/?linkid=870924
Comment:
    Waitara idled since 2008 due to lack of gas. 1 Motunui train operating.</t>
      </text>
    </comment>
    <comment ref="E37" authorId="16" shapeId="0" xr:uid="{F70AB065-DAD5-43E3-9C89-C481346F5A30}">
      <text>
        <t>[Threaded comment]
Your version of Excel allows you to read this threaded comment; however, any edits to it will get removed if the file is opened in a newer version of Excel. Learn more: https://go.microsoft.com/fwlink/?linkid=870924
Comment:
    Second Motunui train restarts in July 2012, adding 650,000t production capacity</t>
      </text>
    </comment>
    <comment ref="F37" authorId="17" shapeId="0" xr:uid="{D279A2EE-204E-44EF-903C-EC452367E1E9}">
      <text>
        <t>[Threaded comment]
Your version of Excel allows you to read this threaded comment; however, any edits to it will get removed if the file is opened in a newer version of Excel. Learn more: https://go.microsoft.com/fwlink/?linkid=870924
Comment:
    Waitara recommissioned Oct 2013. Full production by end of year.</t>
      </text>
    </comment>
    <comment ref="N37" authorId="18" shapeId="0" xr:uid="{903FF0D0-8AF9-4E64-B15A-41AE576715FA}">
      <text>
        <t>[Threaded comment]
Your version of Excel allows you to read this threaded comment; however, any edits to it will get removed if the file is opened in a newer version of Excel. Learn more: https://go.microsoft.com/fwlink/?linkid=870924
Comment:
    Waitara facility accounting for 20% capacity shutting at the end of 2020</t>
      </text>
    </comment>
    <comment ref="X37" authorId="19" shapeId="0" xr:uid="{994F1B26-0401-4010-AED9-EB4BE12F4CA6}">
      <text>
        <t>[Threaded comment]
Your version of Excel allows you to read this threaded comment; however, any edits to it will get removed if the file is opened in a newer version of Excel. Learn more: https://go.microsoft.com/fwlink/?linkid=870924
Comment:
    Motunui facility shutting, accounting for 40% current production
Reply:
    Previously 40% of total; updated to 50% after Waitara shut</t>
      </text>
    </comment>
    <comment ref="F44" authorId="20" shapeId="0" xr:uid="{3F99D14C-FEA8-4F92-AC16-3A39533A82F9}">
      <text>
        <t>[Threaded comment]
Your version of Excel allows you to read this threaded comment; however, any edits to it will get removed if the file is opened in a newer version of Excel. Learn more: https://go.microsoft.com/fwlink/?linkid=870924
Comment:
    Tasman Mill permanently shuts one of its paper machines. Units allocated to this sector decrease by 11%</t>
      </text>
    </comment>
    <comment ref="N44" authorId="21" shapeId="0" xr:uid="{4BEAB7F8-4BD2-4549-BB72-25E67F921CB5}">
      <text>
        <t>[Threaded comment]
Your version of Excel allows you to read this threaded comment; however, any edits to it will get removed if the file is opened in a newer version of Excel. Learn more: https://go.microsoft.com/fwlink/?linkid=870924
Comment:
    NS closes end of June. Received a five year avg of 16% of this sector's allocation.</t>
      </text>
    </comment>
    <comment ref="O44" authorId="22" shapeId="0" xr:uid="{EDB4EACF-E398-482E-A953-1097F3AD79E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represent closure in June 2021</t>
      </text>
    </comment>
    <comment ref="A72" authorId="23" shapeId="0" xr:uid="{57C6F32C-3400-4B8A-AADF-FEAE190FC036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https://environment.govt.nz/assets/publications/cab-77-setting-an-electricity-allocation-factor-for-the-new-zealand-aluminium-smelters-limited.pdf pg. 4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tc={10FBB36D-40A3-42BE-AEFD-FF98D987C1CD}</author>
    <author>tc={2276801C-B876-408D-8B25-E37AEDD76F40}</author>
    <author>tc={FCF6D6BA-F074-40DD-898D-44A52B5E34F3}</author>
    <author>tc={65045689-8BA0-4585-910A-D2CEDA7C2F82}</author>
    <author>Author</author>
    <author>tc={170B5BF3-18D9-48DD-80DA-743145DE2FDA}</author>
    <author>tc={D72C66C8-51B7-4059-A67C-047B5A714D8C}</author>
    <author>tc={A35C66AC-968C-4CC2-8772-2DD10674E33C}</author>
  </authors>
  <commentList>
    <comment ref="A2" authorId="0" shapeId="0" xr:uid="{10FBB36D-40A3-42BE-AEFD-FF98D987C1C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inputs for 2022 surplus calculations available in 2022 workbook</t>
      </text>
    </comment>
    <comment ref="C5" authorId="1" shapeId="0" xr:uid="{2276801C-B876-408D-8B25-E37AEDD76F40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Hedging Profile estimates in 2022 advice. Assumptions used shown on following tab</t>
      </text>
    </comment>
    <comment ref="C7" authorId="2" shapeId="0" xr:uid="{FCF6D6BA-F074-40DD-898D-44A52B5E34F3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P90 trends in 2022 advice</t>
      </text>
    </comment>
    <comment ref="B11" authorId="3" shapeId="0" xr:uid="{65045689-8BA0-4585-910A-D2CEDA7C2F82}">
      <text>
        <t>[Threaded comment]
Your version of Excel allows you to read this threaded comment; however, any edits to it will get removed if the file is opened in a newer version of Excel. Learn more: https://go.microsoft.com/fwlink/?linkid=870924
Comment:
    Surplus volume estimated in 2022</t>
      </text>
    </comment>
    <comment ref="C13" authorId="4" shapeId="0" xr:uid="{E6678AF9-93F7-4A23-A117-F8B65D0671B9}">
      <text>
        <r>
          <rPr>
            <sz val="9"/>
            <color indexed="81"/>
            <rFont val="Tahoma"/>
            <family val="2"/>
          </rPr>
          <t>Note: This volume is currently set at example of 8m CCR release in 2023. 
This can be change to show associated impacts</t>
        </r>
      </text>
    </comment>
    <comment ref="B20" authorId="5" shapeId="0" xr:uid="{170B5BF3-18D9-48DD-80DA-743145DE2FD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Note, there are minor differences to original volumes due to small changes in the cap</t>
      </text>
    </comment>
    <comment ref="B22" authorId="6" shapeId="0" xr:uid="{D72C66C8-51B7-4059-A67C-047B5A714D8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there is a small discrepency adjustments here added to 2028 to make the previous base surplus reduction from 2022 and updated volume match over 2024-2027</t>
      </text>
    </comment>
    <comment ref="B27" authorId="7" shapeId="0" xr:uid="{A35C66AC-968C-4CC2-8772-2DD10674E33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minor differences and washup to surplus reduction volume based on changes to proportion of budget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tc={231771FB-2FB6-4DDE-A5A0-96EB6706497E}</author>
    <author>tc={CF3DF13C-6F2C-417D-9B03-181546AC7170}</author>
  </authors>
  <commentList>
    <comment ref="C11" authorId="0" shapeId="0" xr:uid="{231771FB-2FB6-4DDE-A5A0-96EB6706497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calculated as the total of ETS energy and IPPU emissions (converted to AR5) minus the liquid fossil fuel emissions above</t>
      </text>
    </comment>
    <comment ref="C23" authorId="1" shapeId="0" xr:uid="{CF3DF13C-6F2C-417D-9B03-181546AC717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calculation based on 2020 data that pulp and paper participants have direct emissions surrender obligations for only 14% of total volume received for industrial free allocation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tc={A01FFF72-451A-4BAD-A845-8D63D44531CD}</author>
  </authors>
  <commentList>
    <comment ref="A5" authorId="0" shapeId="0" xr:uid="{A01FFF72-451A-4BAD-A845-8D63D44531CD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calculations used in previous 2022 advice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tc={6376C241-F58D-47DD-9C8B-8313F24FAA88}</author>
    <author>tc={5AD6C521-69D7-4E97-8ABB-FD647B957F73}</author>
    <author>tc={D6994621-AE97-4D86-B586-0574E5F5541B}</author>
    <author>tc={11CD49D7-8B00-4156-878B-DDBEC4E28528}</author>
    <author>tc={4DEB89BC-EA70-472C-998F-6EF911C1EA07}</author>
  </authors>
  <commentList>
    <comment ref="A13" authorId="0" shapeId="0" xr:uid="{6376C241-F58D-47DD-9C8B-8313F24FAA88}">
      <text>
        <t>[Threaded comment]
Your version of Excel allows you to read this threaded comment; however, any edits to it will get removed if the file is opened in a newer version of Excel. Learn more: https://go.microsoft.com/fwlink/?linkid=870924
Comment:
    No changes allowed from current settings for 2024 &amp; 2025. Includes no use of technical adjustments</t>
      </text>
    </comment>
    <comment ref="B68" authorId="1" shapeId="0" xr:uid="{5AD6C521-69D7-4E97-8ABB-FD647B957F73}">
      <text>
        <t>[Threaded comment]
Your version of Excel allows you to read this threaded comment; however, any edits to it will get removed if the file is opened in a newer version of Excel. Learn more: https://go.microsoft.com/fwlink/?linkid=870924
Comment:
    Auction volume + total CCR volume</t>
      </text>
    </comment>
    <comment ref="B70" authorId="2" shapeId="0" xr:uid="{D6994621-AE97-4D86-B586-0574E5F5541B}">
      <text>
        <t>[Threaded comment]
Your version of Excel allows you to read this threaded comment; however, any edits to it will get removed if the file is opened in a newer version of Excel. Learn more: https://go.microsoft.com/fwlink/?linkid=870924
Comment:
    Auction volume +free allocation volume projection + overseas unit limit + total CCR volume</t>
      </text>
    </comment>
    <comment ref="B73" authorId="3" shapeId="0" xr:uid="{11CD49D7-8B00-4156-878B-DDBEC4E28528}">
      <text>
        <t>[Threaded comment]
Your version of Excel allows you to read this threaded comment; however, any edits to it will get removed if the file is opened in a newer version of Excel. Learn more: https://go.microsoft.com/fwlink/?linkid=870924
Comment:
    Auction volume + total CCR volume</t>
      </text>
    </comment>
    <comment ref="B75" authorId="4" shapeId="0" xr:uid="{4DEB89BC-EA70-472C-998F-6EF911C1EA07}">
      <text>
        <t>[Threaded comment]
Your version of Excel allows you to read this threaded comment; however, any edits to it will get removed if the file is opened in a newer version of Excel. Learn more: https://go.microsoft.com/fwlink/?linkid=870924
Comment:
    Auction volume +free allocation volume projection + overseas unit limit + total CCR volume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tc={8760672F-474F-462A-A9AA-8B7858E885F9}</author>
    <author>tc={96E6FBF5-9166-4975-B836-9A3CA974C5D9}</author>
  </authors>
  <commentList>
    <comment ref="A2" authorId="0" shapeId="0" xr:uid="{8760672F-474F-462A-A9AA-8B7858E885F9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2022 advice</t>
      </text>
    </comment>
    <comment ref="A10" authorId="1" shapeId="0" xr:uid="{96E6FBF5-9166-4975-B836-9A3CA974C5D9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inflation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tc={C4187598-6490-46A7-8327-8F6FACB1DA58}</author>
    <author>tc={4E7217F6-928E-40B8-B1AD-19C91ADC402B}</author>
  </authors>
  <commentList>
    <comment ref="AH16" authorId="0" shapeId="0" xr:uid="{C4187598-6490-46A7-8327-8F6FACB1DA58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Estimates of Non NZ ETS emissions for 2020 &amp; 2021 added in 2023</t>
      </text>
    </comment>
    <comment ref="B31" authorId="1" shapeId="0" xr:uid="{4E7217F6-928E-40B8-B1AD-19C91ADC402B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Jan-23 after update to forestry model with new Dec-22 data</t>
      </text>
    </comment>
  </commentList>
</comments>
</file>

<file path=xl/sharedStrings.xml><?xml version="1.0" encoding="utf-8"?>
<sst xmlns="http://schemas.openxmlformats.org/spreadsheetml/2006/main" count="658" uniqueCount="334">
  <si>
    <t>Advice on NZ ETS unit limit settings for 2024-2028</t>
  </si>
  <si>
    <t>Description</t>
  </si>
  <si>
    <t>Technical adjustments</t>
  </si>
  <si>
    <t>Unit supply and price control recommendations required under the Act</t>
  </si>
  <si>
    <t>Demonstration path data</t>
  </si>
  <si>
    <t>Emissions inputs from the demonstration path, which meets the emissions budgets (2022 update)</t>
  </si>
  <si>
    <t>Current policy reference data</t>
  </si>
  <si>
    <t>Emissions inputs from the current policy reference scenario (2022 update)</t>
  </si>
  <si>
    <t>Technical Annex 1 from our 2023-2027 advice provides additional information on the analysis that can be found here</t>
  </si>
  <si>
    <t>This workbook uses assumptions developed in our 2023-2027 advice which has a supporting spreadsheet available here</t>
  </si>
  <si>
    <r>
      <t>Total emissions forecasts and budget (kt CO</t>
    </r>
    <r>
      <rPr>
        <b/>
        <vertAlign val="subscript"/>
        <sz val="9.3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>e)</t>
    </r>
  </si>
  <si>
    <t>Demonstration path budget</t>
  </si>
  <si>
    <t>Gross emissions</t>
  </si>
  <si>
    <t>SUM</t>
  </si>
  <si>
    <t>Projected gross emissions under CPR</t>
  </si>
  <si>
    <t xml:space="preserve">Current policy reference forecast </t>
  </si>
  <si>
    <t>Non-ETS Sectors</t>
  </si>
  <si>
    <t>ETS budget</t>
  </si>
  <si>
    <t>Net emissions</t>
  </si>
  <si>
    <t>Emissions Budget</t>
  </si>
  <si>
    <t>Budget based on demonstration path</t>
  </si>
  <si>
    <t>Budget allocation to non-NZ ETS sectors/sources</t>
  </si>
  <si>
    <t>Agriculture</t>
  </si>
  <si>
    <t>Waste</t>
  </si>
  <si>
    <t>HFCs</t>
  </si>
  <si>
    <t>Industrial processes and product use (IPPU)</t>
  </si>
  <si>
    <t>Biomass combustion</t>
  </si>
  <si>
    <t>P89 forestry</t>
  </si>
  <si>
    <t>Sum of gross emissions outside NZ ETS</t>
  </si>
  <si>
    <t>Sum of net emissions outside NZ ETS</t>
  </si>
  <si>
    <t>Budget based on Current Policy Reference</t>
  </si>
  <si>
    <t>NZ ETS CPR budget allocation</t>
  </si>
  <si>
    <t>Difference</t>
  </si>
  <si>
    <t>Supplementary calculations</t>
  </si>
  <si>
    <t>Abatement requirements (demonstration path relative to CPR)</t>
  </si>
  <si>
    <t>Total Emissions budget abatement</t>
  </si>
  <si>
    <t>Non-NZ ETS abatement</t>
  </si>
  <si>
    <t>NZ ETS abatement</t>
  </si>
  <si>
    <t>Non-NZ ETS abatement %</t>
  </si>
  <si>
    <t>Transport energy</t>
  </si>
  <si>
    <t>Non-transport energy</t>
  </si>
  <si>
    <t>IPPU</t>
  </si>
  <si>
    <t>Forestry</t>
  </si>
  <si>
    <t>Breakdown of NZ ETS emissions by inventory sector (demonstration path)</t>
  </si>
  <si>
    <t>Check totals</t>
  </si>
  <si>
    <t>Gross</t>
  </si>
  <si>
    <t>Net</t>
  </si>
  <si>
    <t>Breakdown of NZ ETS emissions by ETS categories (demonstration path)</t>
  </si>
  <si>
    <t>Liquid fuels</t>
  </si>
  <si>
    <t>Stationary energy</t>
  </si>
  <si>
    <t>Industrial processes + SGGs</t>
  </si>
  <si>
    <t>ETS Waste</t>
  </si>
  <si>
    <t>SUM 2024-2028</t>
  </si>
  <si>
    <t>Technical adjustment (kt CO2-e)</t>
  </si>
  <si>
    <t>Liquid fossil fuels</t>
  </si>
  <si>
    <t>Total emissions</t>
  </si>
  <si>
    <t>Adjustment volume</t>
  </si>
  <si>
    <t>Coal and steel</t>
  </si>
  <si>
    <t>Total technical adjustment volume</t>
  </si>
  <si>
    <t>Current technical adjustment</t>
  </si>
  <si>
    <t>1. Base industrial allocation growth (tCO2-e)</t>
  </si>
  <si>
    <t>Iron and steel</t>
  </si>
  <si>
    <t>Aluminium</t>
  </si>
  <si>
    <t>Methanol</t>
  </si>
  <si>
    <t>Petroleum refining</t>
  </si>
  <si>
    <t xml:space="preserve">Cement and lime </t>
  </si>
  <si>
    <t>Urea</t>
  </si>
  <si>
    <t>Dairy products</t>
  </si>
  <si>
    <t>Meat products</t>
  </si>
  <si>
    <t>Horticulture</t>
  </si>
  <si>
    <t>Pulp and paper products</t>
  </si>
  <si>
    <t>"Other" - High 90%</t>
  </si>
  <si>
    <t>"Other" - Moderate 60%</t>
  </si>
  <si>
    <t>Total</t>
  </si>
  <si>
    <t>2. IA phase-down</t>
  </si>
  <si>
    <t>Allocation rate high</t>
  </si>
  <si>
    <t>Allocation rate low</t>
  </si>
  <si>
    <t>3. Assumptions on output reductions, including closures</t>
  </si>
  <si>
    <t>4. Totals</t>
  </si>
  <si>
    <t>5. Final volumes</t>
  </si>
  <si>
    <t>Previous totals</t>
  </si>
  <si>
    <t>Assumptions</t>
  </si>
  <si>
    <t>Assumed that no sectors grow with GDP. Production capacity is not expanded for sectors that are already operating at capacity.</t>
  </si>
  <si>
    <t>Staged closure of Methanex is assumed - in line with MBIE assumption</t>
  </si>
  <si>
    <t>NZAS assumed to remain open</t>
  </si>
  <si>
    <t>NZAS EAF set to 0 tCO2e/MWh from 2021 removing</t>
  </si>
  <si>
    <t>units</t>
  </si>
  <si>
    <t xml:space="preserve">Refinery assumed to move to import model and not receive industrial allocation </t>
  </si>
  <si>
    <t>Total unit surplus volume in 2022 (million NZUs)</t>
  </si>
  <si>
    <t>Controls/ inputs</t>
  </si>
  <si>
    <t>Total registry units (1 June 2022)</t>
  </si>
  <si>
    <t>Hedge profile</t>
  </si>
  <si>
    <t>Core scenario</t>
  </si>
  <si>
    <t>P89 units held for harvest</t>
  </si>
  <si>
    <t>Total P90 units not available for sale</t>
  </si>
  <si>
    <t>Example CCR release in 2023 (millions)</t>
  </si>
  <si>
    <t>Original annual surplus reduction volumes (millions)</t>
  </si>
  <si>
    <t>2022 recommendations</t>
  </si>
  <si>
    <t>Constant proportion of cap from 2024 to 2030</t>
  </si>
  <si>
    <t>Base surplus based on updated cap %</t>
  </si>
  <si>
    <t>Surplus volume differences applied to 2028</t>
  </si>
  <si>
    <t>No updates in 2024 &amp; 2025</t>
  </si>
  <si>
    <t>2026-2030 breakdown</t>
  </si>
  <si>
    <t>23-25 technical adjustments (TA) 2026-2030</t>
  </si>
  <si>
    <t>Budget differences</t>
  </si>
  <si>
    <t>Industrial allocation (IA) differences</t>
  </si>
  <si>
    <t>Sum surplus discrepency adjustment</t>
  </si>
  <si>
    <t>Base annual surplus volumes</t>
  </si>
  <si>
    <t>Sum surplus reduction volumes</t>
  </si>
  <si>
    <t>2024-2030 % budget</t>
  </si>
  <si>
    <t>2023 TA</t>
  </si>
  <si>
    <t>2023 budget differences</t>
  </si>
  <si>
    <t>2023 IA differences</t>
  </si>
  <si>
    <t>SUM surplus discrepency adjustment</t>
  </si>
  <si>
    <t>CCR adjustment over 2024-2030</t>
  </si>
  <si>
    <t>2024-2028 % budget</t>
  </si>
  <si>
    <t>CCR adjustment over 2024-2028</t>
  </si>
  <si>
    <t>2024-2025 % budget</t>
  </si>
  <si>
    <t>2023 TA over 2024-2025</t>
  </si>
  <si>
    <t>CCR adjustment over 2024-2025</t>
  </si>
  <si>
    <t>Tier 1</t>
  </si>
  <si>
    <t>Trigger price, including inflation</t>
  </si>
  <si>
    <t>Tier 2</t>
  </si>
  <si>
    <t>NA</t>
  </si>
  <si>
    <t>Total reserve volume</t>
  </si>
  <si>
    <t>Auction reserve price</t>
  </si>
  <si>
    <t>Cannot be changed</t>
  </si>
  <si>
    <t>Forecasts</t>
  </si>
  <si>
    <t>Price control settings</t>
  </si>
  <si>
    <t>Cost containment reserve</t>
  </si>
  <si>
    <t>Steps to final auction volume Government current settings (million units)</t>
  </si>
  <si>
    <t>1.</t>
  </si>
  <si>
    <t>Emissions budget</t>
  </si>
  <si>
    <t xml:space="preserve">2. </t>
  </si>
  <si>
    <t>Outside NZ ETS</t>
  </si>
  <si>
    <t>NZ ETS cap</t>
  </si>
  <si>
    <t>3.</t>
  </si>
  <si>
    <t>4.</t>
  </si>
  <si>
    <t>Industrial free allocation</t>
  </si>
  <si>
    <t>5.</t>
  </si>
  <si>
    <t>Surplus reduction volume</t>
  </si>
  <si>
    <t>6.</t>
  </si>
  <si>
    <t>Overseas unit limit</t>
  </si>
  <si>
    <t>7.</t>
  </si>
  <si>
    <t>NZU auction volumes</t>
  </si>
  <si>
    <t>Technical adjustment</t>
  </si>
  <si>
    <t>Free allocation</t>
  </si>
  <si>
    <t>Base surplus reduction</t>
  </si>
  <si>
    <t>5a</t>
  </si>
  <si>
    <t>Discrepancy adjustment</t>
  </si>
  <si>
    <t>7a.</t>
  </si>
  <si>
    <t>CCR adjustment</t>
  </si>
  <si>
    <t xml:space="preserve">5a. </t>
  </si>
  <si>
    <t>Base surplus</t>
  </si>
  <si>
    <t xml:space="preserve">5b. </t>
  </si>
  <si>
    <t>Surplus discrepency adjustment</t>
  </si>
  <si>
    <t>Final total unit limit recommendations 2024-2028 (million units)</t>
  </si>
  <si>
    <t>No changes in 2024 &amp; 2025</t>
  </si>
  <si>
    <t>Unit limit available by auction</t>
  </si>
  <si>
    <t>Limit on approved overseas units</t>
  </si>
  <si>
    <t>Overall unit limit</t>
  </si>
  <si>
    <t>Limit on approaved overseas units</t>
  </si>
  <si>
    <t>Current settings</t>
  </si>
  <si>
    <t>Control / Inputs</t>
  </si>
  <si>
    <t>Trigger price discounting</t>
  </si>
  <si>
    <t>Value</t>
  </si>
  <si>
    <t>Real prices (2022 dollars)</t>
  </si>
  <si>
    <t>in 2030</t>
  </si>
  <si>
    <t>CCR Discount rate</t>
  </si>
  <si>
    <t>Auction Reserve Price</t>
  </si>
  <si>
    <t>ARP discount rate</t>
  </si>
  <si>
    <t>Inflation forecast</t>
  </si>
  <si>
    <t>Tsy HEYFU Dec 2022</t>
  </si>
  <si>
    <t>*Inflation assumed to be held constant at year to June 2027 levels for 2028-2030</t>
  </si>
  <si>
    <t>CPI index relative to 2022</t>
  </si>
  <si>
    <t>CCR recommendations</t>
  </si>
  <si>
    <t>Nominal trigger prices (no rounding)</t>
  </si>
  <si>
    <t>CCR</t>
  </si>
  <si>
    <t>ARP Recommendations</t>
  </si>
  <si>
    <t>Limit on auction volume</t>
  </si>
  <si>
    <t>Limit on total CCR volume</t>
  </si>
  <si>
    <t>Limit on overall NZUs available by auction</t>
  </si>
  <si>
    <t>Overall limit</t>
  </si>
  <si>
    <t>Unit supply settings (million units)</t>
  </si>
  <si>
    <t>Reserve volume</t>
  </si>
  <si>
    <t>2022 Current policy reference update</t>
  </si>
  <si>
    <t>Key inputs converted to AR5 GWP values</t>
  </si>
  <si>
    <t>Total emissions by inventory category (kt CO2e)</t>
  </si>
  <si>
    <t>Transport Energy</t>
  </si>
  <si>
    <t>Non-Transport Energy</t>
  </si>
  <si>
    <t>Forests</t>
  </si>
  <si>
    <t>Total combustion emissions by fuel</t>
  </si>
  <si>
    <t>Gas</t>
  </si>
  <si>
    <t>Coal</t>
  </si>
  <si>
    <t>Biomass</t>
  </si>
  <si>
    <t>Municipal solid waste emissions (kt CO2e)</t>
  </si>
  <si>
    <t>F-gas emissions, total (kt CO2e)</t>
  </si>
  <si>
    <t>Iron and steel emissions (kt CO2e)</t>
  </si>
  <si>
    <t>Fugitive emissions, Coal mining and handling (kt CO2e)</t>
  </si>
  <si>
    <t>IPPU emissions not covered by NZ ETS (kt CO2e)</t>
  </si>
  <si>
    <t>Net forestry emissions inside and outside NZ ETS (kt CO2e)</t>
  </si>
  <si>
    <t>Inside NZ ETS</t>
  </si>
  <si>
    <t>Sum forestry</t>
  </si>
  <si>
    <t>% outside ETS</t>
  </si>
  <si>
    <t>Supplementary data</t>
  </si>
  <si>
    <t>Total emissions by inventory category using AR4 GWPs (kt CO2e)</t>
  </si>
  <si>
    <t>Gross emissions by gas and inventory category (kt of gas)</t>
  </si>
  <si>
    <t>Transport</t>
  </si>
  <si>
    <t>kt CO2</t>
  </si>
  <si>
    <t>kt CH4</t>
  </si>
  <si>
    <t>kt N2O</t>
  </si>
  <si>
    <t>IPPU, excluding F-gases</t>
  </si>
  <si>
    <t>F-gases, AR4</t>
  </si>
  <si>
    <t>kt CO2e</t>
  </si>
  <si>
    <t>Total by gas</t>
  </si>
  <si>
    <t>2022 Demonstration path update</t>
  </si>
  <si>
    <t>Total emissions by inventory category using AR4 GWP values (kt CO2e)</t>
  </si>
  <si>
    <t>Allocation of emissions budgets to NZ ETS and non-NZ ETS sectors (Step 2)</t>
  </si>
  <si>
    <t>Adjustments for discrepencies between NZ ETS and GHG inventory emissions (Step 3)</t>
  </si>
  <si>
    <t>Calculations of surplus discrepency adjustments and options for assessing a CCR release (Steps 5 and 7a)</t>
  </si>
  <si>
    <t>Calculations to reach recommended cost containment reserve volumes</t>
  </si>
  <si>
    <t>Surplus and CCR reduction volumes</t>
  </si>
  <si>
    <t>Auction volumes</t>
  </si>
  <si>
    <t>Calculations to reach final options and recommended auction volumes (Step 7b)</t>
  </si>
  <si>
    <t>Final recommendations</t>
  </si>
  <si>
    <t>Trigger prices</t>
  </si>
  <si>
    <t>Calculations to reach final CCR and ARP trigger prices</t>
  </si>
  <si>
    <t>Allocate emissions budget</t>
  </si>
  <si>
    <t>Calculations and assumptions used to reach industrial free allocation forecasts (Step 4)</t>
  </si>
  <si>
    <t>CCR volumes</t>
  </si>
  <si>
    <t>Tab Title</t>
  </si>
  <si>
    <t>NOTE:</t>
  </si>
  <si>
    <t>Net emissions (Mt CO2e)</t>
  </si>
  <si>
    <t>P89 forestry (Mt CO2e)</t>
  </si>
  <si>
    <t>Gross emissions (Mt CO2e)</t>
  </si>
  <si>
    <t>Total NZ ETS budget (Mt CO2e)</t>
  </si>
  <si>
    <t>NZ ETS gross emissions (Mt CO2e)</t>
  </si>
  <si>
    <t>NZ ETS Removals (Mt CO2e)</t>
  </si>
  <si>
    <t>Demonstation path net emissions (CO2e)</t>
  </si>
  <si>
    <t>CPR net emissions (Mt CO2e)</t>
  </si>
  <si>
    <t>CPR Gross emissions</t>
  </si>
  <si>
    <t>CPR Net emissions</t>
  </si>
  <si>
    <t>Demonstration path gross emissions</t>
  </si>
  <si>
    <t>Demonstration path net emissions</t>
  </si>
  <si>
    <t>NZ ETS demonstration path allocation</t>
  </si>
  <si>
    <t>Total NZ ETS CPR budget (Mt CO2e)</t>
  </si>
  <si>
    <t>Gross emissions inside ETS (Mt CO2e)</t>
  </si>
  <si>
    <t>2022 Advice comparisons (Mt CO2e)</t>
  </si>
  <si>
    <t>Total NZ ETS budget based on demonstration path</t>
  </si>
  <si>
    <t>Total NZ ETS budget based on CPR</t>
  </si>
  <si>
    <t>Difference in 2022 advice vs updated</t>
  </si>
  <si>
    <t>Breakdown of emissions outside NZ ETS by inventory sector (demonstration path)</t>
  </si>
  <si>
    <t>Abatement in Mt CO2e</t>
  </si>
  <si>
    <t>Net emissions in NZ ETS</t>
  </si>
  <si>
    <t>Remaining emissions outside NZ ETS</t>
  </si>
  <si>
    <t>Total in Mt CO2-e</t>
  </si>
  <si>
    <t>Example adjust by 2030</t>
  </si>
  <si>
    <t>Example adjust by 2028</t>
  </si>
  <si>
    <t>Example adjust by 2025 (preferred option)</t>
  </si>
  <si>
    <t>SUM 2023-2027</t>
  </si>
  <si>
    <t>CCR released in June 2022 auction</t>
  </si>
  <si>
    <t>Updates allowed from 2024 - example with CCR release in 2023</t>
  </si>
  <si>
    <t>CCR Volumes (Million NZUs)</t>
  </si>
  <si>
    <t>Recommended updates no changes in 2024 &amp; 2025 (million NZUs)</t>
  </si>
  <si>
    <t>Single Tier</t>
  </si>
  <si>
    <t>Example CCR adjustment 2024-2030</t>
  </si>
  <si>
    <t>Example CCR adjustment 2024-2028</t>
  </si>
  <si>
    <t>*Inflation figures are year to 31 May</t>
  </si>
  <si>
    <t>(No changes in 2024 &amp; 2025)</t>
  </si>
  <si>
    <t>(Changes from 2024)</t>
  </si>
  <si>
    <t>Example changes from 2024 with 8m CCR reserve</t>
  </si>
  <si>
    <t>Recommendations with no changes in 2024 &amp; 2025</t>
  </si>
  <si>
    <t>Total volume of tiers</t>
  </si>
  <si>
    <t>Previous NZ ETS budget based on demonstration path</t>
  </si>
  <si>
    <t>Final units in millions</t>
  </si>
  <si>
    <t>Sum surplus adjustment volumes and CCR removal by 2030</t>
  </si>
  <si>
    <t>Sum surplus adjustment volumes and CCR removal by 2028</t>
  </si>
  <si>
    <t>Sum surplus adjustment volumes and CCR removal by 2025</t>
  </si>
  <si>
    <t>Steps to proposed annual auction volumes</t>
  </si>
  <si>
    <t>Proposed annual unit limits</t>
  </si>
  <si>
    <t>Example unit limits with change from 2024 and CCR removal by 2025</t>
  </si>
  <si>
    <t>Total base surplus reduction volume</t>
  </si>
  <si>
    <t>Tier 1 (36% surplus)</t>
  </si>
  <si>
    <t>Example conditional advice</t>
  </si>
  <si>
    <t>Difference from proposed trigger prices</t>
  </si>
  <si>
    <t>Difference from example conditional advice</t>
  </si>
  <si>
    <t>Proposed trigger prices for ARP</t>
  </si>
  <si>
    <t>Current CCR prices</t>
  </si>
  <si>
    <t>Current ARP prices</t>
  </si>
  <si>
    <t>Difference from current ARP</t>
  </si>
  <si>
    <t>Example with conditional changes from 2024 with 8m CCR reserve</t>
  </si>
  <si>
    <t>Example with conditional changes from 2024 and 8m CCR reserve</t>
  </si>
  <si>
    <t>CCR Recommendations with no changes in 2024 &amp; 2025</t>
  </si>
  <si>
    <t>ARP Recommendations with no changes in 2024 &amp; 2025</t>
  </si>
  <si>
    <t>Example CCR with conditional changes from 2024 with 8m CCR reserve</t>
  </si>
  <si>
    <t>Example ARP with changes from 2024 with 8m CCR reserve</t>
  </si>
  <si>
    <t>Inside ETS</t>
  </si>
  <si>
    <t>Outside ETS</t>
  </si>
  <si>
    <t>Previous P89 forestry outside ETS</t>
  </si>
  <si>
    <t>Previous P89 Forestry inside NZ ETS</t>
  </si>
  <si>
    <t>Previous advice net forestry emissions inside and outside NZ ETS</t>
  </si>
  <si>
    <t>For graph (Mt CO2e)</t>
  </si>
  <si>
    <t>Fixed and cannot be changed</t>
  </si>
  <si>
    <t>Updated recommendations</t>
  </si>
  <si>
    <t>Proposed trigger prices for the CCR</t>
  </si>
  <si>
    <t>Example CCR adjustment 2024-2025 (preferred option)</t>
  </si>
  <si>
    <t>Recommendations with no update in and 2025</t>
  </si>
  <si>
    <t>Hedging assumptions</t>
  </si>
  <si>
    <t>Stationary energy &amp; IPPU</t>
  </si>
  <si>
    <t>Emissions under demonstration path (kt CO2e)</t>
  </si>
  <si>
    <t>Before technical adjustments</t>
  </si>
  <si>
    <t>Liquid fossil fuels emissions</t>
  </si>
  <si>
    <t>Stationary energy &amp; IPPU emissions</t>
  </si>
  <si>
    <t>Waste emissions</t>
  </si>
  <si>
    <t>After technical adjustments</t>
  </si>
  <si>
    <t>Forecast industrial allocation (thousand NZUs)</t>
  </si>
  <si>
    <t>IA: Liquid fossil fuels</t>
  </si>
  <si>
    <t>IA: Stationary energy &amp; IPPU</t>
  </si>
  <si>
    <t xml:space="preserve">IA: Waste </t>
  </si>
  <si>
    <t>Total hedging volumes (thousand NZUs)</t>
  </si>
  <si>
    <t>SUM moderate hedging volumes</t>
  </si>
  <si>
    <t>Y1</t>
  </si>
  <si>
    <t>Y2</t>
  </si>
  <si>
    <t>Y3</t>
  </si>
  <si>
    <t>Y4</t>
  </si>
  <si>
    <t>Y5</t>
  </si>
  <si>
    <t>Total surplus volume estimate</t>
  </si>
  <si>
    <t>NZU millions</t>
  </si>
  <si>
    <t>(2022 dollars)</t>
  </si>
  <si>
    <t>Nominal trigger prices adjusted for expected inflation (no rounding)</t>
  </si>
  <si>
    <t>Example conditional advice (with changes for 2024 &amp; 2025)</t>
  </si>
  <si>
    <t>Price and trajectory</t>
  </si>
  <si>
    <t>Hedging profile</t>
  </si>
  <si>
    <t>Calculations used to reach estimated unit hedging volume within surplus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</si>
</sst>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_-* #,##0.0_-;\-* #,##0.0_-;_-* &quot;-&quot;??_-;_-@_-"/>
    <numFmt numFmtId="168" formatCode="#,##0_ ;\-#,##0\ "/>
    <numFmt numFmtId="169" formatCode="#,##0.0_ ;\-#,##0.0\ "/>
    <numFmt numFmtId="170" formatCode="#,##0.00_ ;\-#,##0.00\ "/>
    <numFmt numFmtId="171" formatCode="_-* #,##0.0_-;\-* #,##0.0_-;_-* &quot;-&quot;?_-;_-@_-"/>
    <numFmt numFmtId="172" formatCode="0.000%"/>
    <numFmt numFmtId="173" formatCode="_-&quot;$&quot;* #,##0.0_-;\-&quot;$&quot;* #,##0.0_-;_-&quot;$&quot;* &quot;-&quot;??_-;_-@_-"/>
    <numFmt numFmtId="174" formatCode="&quot;$&quot;#,##0.00"/>
    <numFmt numFmtId="175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3" tint="0.249977111117893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b/>
      <vertAlign val="subscript"/>
      <sz val="9.35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9"/>
      <name val="Times New Roman"/>
      <family val="1"/>
    </font>
    <font>
      <b/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43" fontId="1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3" borderId="5" applyNumberFormat="0" applyAlignment="0" applyProtection="0"/>
    <xf numFmtId="0" fontId="19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5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7" fillId="0" borderId="0"/>
    <xf numFmtId="0" fontId="1" fillId="0" borderId="0"/>
    <xf numFmtId="0" fontId="24" fillId="0" borderId="0"/>
    <xf numFmtId="43" fontId="1" fillId="0" borderId="0" applyFont="0" applyFill="0" applyBorder="0" applyAlignment="0" applyProtection="0"/>
    <xf numFmtId="0" fontId="26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</cellStyleXfs>
  <cellXfs count="294">
    <xf numFmtId="0" fontId="0" fillId="0" borderId="0" xfId="0"/>
    <xf numFmtId="0" fontId="4" fillId="0" borderId="0" xfId="0" applyFont="1"/>
    <xf numFmtId="1" fontId="0" fillId="0" borderId="0" xfId="0" applyNumberFormat="1"/>
    <xf numFmtId="9" fontId="0" fillId="0" borderId="0" xfId="3" applyFont="1"/>
    <xf numFmtId="164" fontId="0" fillId="0" borderId="0" xfId="0" applyNumberFormat="1"/>
    <xf numFmtId="166" fontId="0" fillId="0" borderId="0" xfId="1" applyNumberFormat="1" applyFont="1"/>
    <xf numFmtId="166" fontId="4" fillId="0" borderId="0" xfId="1" applyNumberFormat="1" applyFont="1"/>
    <xf numFmtId="2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43" fontId="0" fillId="0" borderId="0" xfId="0" applyNumberFormat="1"/>
    <xf numFmtId="49" fontId="0" fillId="0" borderId="0" xfId="0" applyNumberFormat="1"/>
    <xf numFmtId="9" fontId="3" fillId="3" borderId="1" xfId="5" applyNumberFormat="1"/>
    <xf numFmtId="165" fontId="3" fillId="3" borderId="1" xfId="5" applyNumberFormat="1"/>
    <xf numFmtId="0" fontId="2" fillId="2" borderId="1" xfId="4"/>
    <xf numFmtId="166" fontId="2" fillId="2" borderId="1" xfId="4" applyNumberFormat="1"/>
    <xf numFmtId="0" fontId="7" fillId="0" borderId="0" xfId="6"/>
    <xf numFmtId="0" fontId="8" fillId="0" borderId="0" xfId="0" applyFont="1"/>
    <xf numFmtId="9" fontId="2" fillId="2" borderId="1" xfId="4" applyNumberFormat="1"/>
    <xf numFmtId="9" fontId="0" fillId="0" borderId="0" xfId="3" applyFont="1" applyFill="1"/>
    <xf numFmtId="166" fontId="4" fillId="0" borderId="0" xfId="1" applyNumberFormat="1" applyFont="1" applyBorder="1"/>
    <xf numFmtId="166" fontId="0" fillId="0" borderId="0" xfId="1" applyNumberFormat="1" applyFont="1" applyBorder="1"/>
    <xf numFmtId="0" fontId="4" fillId="0" borderId="0" xfId="1" applyNumberFormat="1" applyFont="1" applyBorder="1"/>
    <xf numFmtId="9" fontId="0" fillId="0" borderId="0" xfId="3" applyFont="1" applyBorder="1"/>
    <xf numFmtId="9" fontId="6" fillId="0" borderId="0" xfId="3" applyFont="1" applyFill="1" applyBorder="1"/>
    <xf numFmtId="49" fontId="0" fillId="0" borderId="0" xfId="0" applyNumberFormat="1" applyAlignment="1">
      <alignment horizontal="left"/>
    </xf>
    <xf numFmtId="167" fontId="0" fillId="0" borderId="0" xfId="1" applyNumberFormat="1" applyFont="1" applyBorder="1"/>
    <xf numFmtId="43" fontId="0" fillId="0" borderId="0" xfId="1" applyFont="1" applyBorder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0" borderId="0" xfId="1" applyNumberFormat="1" applyFont="1"/>
    <xf numFmtId="0" fontId="11" fillId="0" borderId="0" xfId="0" applyFont="1" applyAlignment="1">
      <alignment horizontal="left" vertical="center"/>
    </xf>
    <xf numFmtId="5" fontId="0" fillId="0" borderId="0" xfId="2" applyNumberFormat="1" applyFont="1"/>
    <xf numFmtId="0" fontId="4" fillId="4" borderId="0" xfId="0" applyFont="1" applyFill="1"/>
    <xf numFmtId="0" fontId="0" fillId="4" borderId="0" xfId="0" applyFill="1"/>
    <xf numFmtId="166" fontId="0" fillId="0" borderId="0" xfId="1" applyNumberFormat="1" applyFont="1" applyFill="1"/>
    <xf numFmtId="166" fontId="4" fillId="0" borderId="0" xfId="1" applyNumberFormat="1" applyFont="1" applyFill="1"/>
    <xf numFmtId="165" fontId="0" fillId="0" borderId="0" xfId="3" applyNumberFormat="1" applyFont="1" applyFill="1" applyBorder="1"/>
    <xf numFmtId="166" fontId="1" fillId="0" borderId="0" xfId="1" applyNumberFormat="1" applyFont="1" applyFill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7" fontId="5" fillId="0" borderId="0" xfId="0" applyNumberFormat="1" applyFont="1" applyAlignment="1">
      <alignment vertical="center" wrapText="1"/>
    </xf>
    <xf numFmtId="166" fontId="0" fillId="0" borderId="0" xfId="0" applyNumberFormat="1" applyAlignment="1">
      <alignment wrapText="1"/>
    </xf>
    <xf numFmtId="0" fontId="12" fillId="0" borderId="0" xfId="6" applyFont="1"/>
    <xf numFmtId="0" fontId="13" fillId="0" borderId="0" xfId="0" applyFont="1"/>
    <xf numFmtId="0" fontId="0" fillId="0" borderId="0" xfId="1" applyNumberFormat="1" applyFont="1"/>
    <xf numFmtId="0" fontId="4" fillId="0" borderId="0" xfId="1" applyNumberFormat="1" applyFont="1"/>
    <xf numFmtId="167" fontId="0" fillId="0" borderId="0" xfId="1" applyNumberFormat="1" applyFont="1" applyFill="1" applyBorder="1"/>
    <xf numFmtId="166" fontId="0" fillId="4" borderId="0" xfId="0" applyNumberFormat="1" applyFill="1"/>
    <xf numFmtId="166" fontId="0" fillId="4" borderId="0" xfId="1" applyNumberFormat="1" applyFont="1" applyFill="1"/>
    <xf numFmtId="0" fontId="15" fillId="0" borderId="0" xfId="0" applyFont="1"/>
    <xf numFmtId="49" fontId="4" fillId="0" borderId="0" xfId="0" applyNumberFormat="1" applyFont="1"/>
    <xf numFmtId="9" fontId="2" fillId="2" borderId="1" xfId="3" applyFont="1" applyFill="1" applyBorder="1"/>
    <xf numFmtId="166" fontId="2" fillId="2" borderId="1" xfId="1" applyNumberFormat="1" applyFont="1" applyFill="1" applyBorder="1"/>
    <xf numFmtId="166" fontId="2" fillId="2" borderId="3" xfId="1" applyNumberFormat="1" applyFont="1" applyFill="1" applyBorder="1"/>
    <xf numFmtId="9" fontId="2" fillId="2" borderId="3" xfId="4" applyNumberFormat="1" applyBorder="1"/>
    <xf numFmtId="0" fontId="4" fillId="4" borderId="4" xfId="0" applyFont="1" applyFill="1" applyBorder="1"/>
    <xf numFmtId="0" fontId="0" fillId="4" borderId="4" xfId="0" applyFill="1" applyBorder="1"/>
    <xf numFmtId="166" fontId="0" fillId="4" borderId="4" xfId="1" applyNumberFormat="1" applyFont="1" applyFill="1" applyBorder="1"/>
    <xf numFmtId="166" fontId="4" fillId="4" borderId="4" xfId="1" applyNumberFormat="1" applyFont="1" applyFill="1" applyBorder="1"/>
    <xf numFmtId="169" fontId="0" fillId="0" borderId="0" xfId="1" applyNumberFormat="1" applyFont="1"/>
    <xf numFmtId="167" fontId="1" fillId="0" borderId="0" xfId="1" applyNumberFormat="1" applyFont="1" applyFill="1"/>
    <xf numFmtId="165" fontId="0" fillId="0" borderId="0" xfId="3" applyNumberFormat="1" applyFont="1"/>
    <xf numFmtId="164" fontId="2" fillId="2" borderId="1" xfId="4" applyNumberFormat="1"/>
    <xf numFmtId="167" fontId="4" fillId="0" borderId="0" xfId="0" applyNumberFormat="1" applyFont="1" applyAlignment="1">
      <alignment wrapText="1"/>
    </xf>
    <xf numFmtId="167" fontId="4" fillId="0" borderId="0" xfId="1" applyNumberFormat="1" applyFont="1" applyBorder="1"/>
    <xf numFmtId="167" fontId="4" fillId="0" borderId="0" xfId="1" applyNumberFormat="1" applyFont="1"/>
    <xf numFmtId="167" fontId="0" fillId="0" borderId="0" xfId="0" applyNumberFormat="1" applyAlignment="1">
      <alignment wrapText="1"/>
    </xf>
    <xf numFmtId="0" fontId="17" fillId="3" borderId="5" xfId="10"/>
    <xf numFmtId="166" fontId="17" fillId="3" borderId="5" xfId="10" applyNumberFormat="1"/>
    <xf numFmtId="165" fontId="0" fillId="0" borderId="0" xfId="0" applyNumberFormat="1"/>
    <xf numFmtId="164" fontId="0" fillId="6" borderId="0" xfId="0" applyNumberFormat="1" applyFill="1"/>
    <xf numFmtId="165" fontId="0" fillId="4" borderId="0" xfId="0" applyNumberFormat="1" applyFill="1"/>
    <xf numFmtId="164" fontId="0" fillId="0" borderId="0" xfId="1" applyNumberFormat="1" applyFont="1"/>
    <xf numFmtId="9" fontId="0" fillId="4" borderId="0" xfId="3" applyFont="1" applyFill="1"/>
    <xf numFmtId="43" fontId="1" fillId="0" borderId="0" xfId="1" applyFont="1" applyFill="1"/>
    <xf numFmtId="164" fontId="16" fillId="5" borderId="0" xfId="9" applyNumberFormat="1"/>
    <xf numFmtId="167" fontId="2" fillId="2" borderId="1" xfId="4" applyNumberFormat="1"/>
    <xf numFmtId="171" fontId="0" fillId="0" borderId="0" xfId="0" applyNumberFormat="1"/>
    <xf numFmtId="167" fontId="4" fillId="4" borderId="0" xfId="0" applyNumberFormat="1" applyFont="1" applyFill="1" applyAlignment="1">
      <alignment wrapText="1"/>
    </xf>
    <xf numFmtId="167" fontId="0" fillId="4" borderId="0" xfId="0" applyNumberFormat="1" applyFill="1" applyAlignment="1">
      <alignment wrapText="1"/>
    </xf>
    <xf numFmtId="167" fontId="2" fillId="2" borderId="1" xfId="4" applyNumberFormat="1" applyAlignment="1">
      <alignment wrapText="1"/>
    </xf>
    <xf numFmtId="0" fontId="16" fillId="5" borderId="0" xfId="9"/>
    <xf numFmtId="9" fontId="4" fillId="0" borderId="0" xfId="3" applyFont="1" applyFill="1"/>
    <xf numFmtId="167" fontId="4" fillId="0" borderId="0" xfId="0" applyNumberFormat="1" applyFont="1"/>
    <xf numFmtId="0" fontId="4" fillId="8" borderId="0" xfId="0" applyFont="1" applyFill="1"/>
    <xf numFmtId="0" fontId="0" fillId="8" borderId="0" xfId="0" applyFill="1"/>
    <xf numFmtId="167" fontId="4" fillId="8" borderId="0" xfId="1" applyNumberFormat="1" applyFont="1" applyFill="1" applyBorder="1"/>
    <xf numFmtId="166" fontId="0" fillId="8" borderId="0" xfId="1" applyNumberFormat="1" applyFont="1" applyFill="1" applyBorder="1"/>
    <xf numFmtId="167" fontId="0" fillId="0" borderId="0" xfId="1" applyNumberFormat="1" applyFont="1" applyFill="1"/>
    <xf numFmtId="0" fontId="0" fillId="0" borderId="7" xfId="0" applyBorder="1"/>
    <xf numFmtId="2" fontId="10" fillId="0" borderId="0" xfId="7" applyNumberFormat="1" applyBorder="1"/>
    <xf numFmtId="9" fontId="5" fillId="0" borderId="0" xfId="3" applyFont="1" applyFill="1" applyBorder="1"/>
    <xf numFmtId="9" fontId="6" fillId="0" borderId="0" xfId="5" applyNumberFormat="1" applyFont="1" applyFill="1" applyBorder="1"/>
    <xf numFmtId="165" fontId="5" fillId="0" borderId="0" xfId="3" applyNumberFormat="1" applyFont="1" applyFill="1" applyBorder="1"/>
    <xf numFmtId="164" fontId="5" fillId="0" borderId="0" xfId="0" applyNumberFormat="1" applyFont="1"/>
    <xf numFmtId="165" fontId="5" fillId="0" borderId="0" xfId="3" applyNumberFormat="1" applyFont="1" applyFill="1"/>
    <xf numFmtId="2" fontId="3" fillId="0" borderId="0" xfId="7" applyNumberFormat="1" applyFont="1" applyBorder="1"/>
    <xf numFmtId="164" fontId="6" fillId="0" borderId="0" xfId="0" applyNumberFormat="1" applyFont="1"/>
    <xf numFmtId="165" fontId="6" fillId="0" borderId="0" xfId="3" applyNumberFormat="1" applyFont="1" applyFill="1"/>
    <xf numFmtId="49" fontId="17" fillId="3" borderId="5" xfId="10" applyNumberFormat="1"/>
    <xf numFmtId="171" fontId="17" fillId="3" borderId="5" xfId="10" applyNumberFormat="1"/>
    <xf numFmtId="167" fontId="4" fillId="6" borderId="0" xfId="1" applyNumberFormat="1" applyFont="1" applyFill="1"/>
    <xf numFmtId="0" fontId="0" fillId="6" borderId="0" xfId="0" applyFill="1"/>
    <xf numFmtId="167" fontId="17" fillId="3" borderId="5" xfId="1" applyNumberFormat="1" applyFont="1" applyFill="1" applyBorder="1"/>
    <xf numFmtId="164" fontId="0" fillId="0" borderId="0" xfId="1" applyNumberFormat="1" applyFont="1" applyBorder="1" applyAlignment="1">
      <alignment horizontal="left"/>
    </xf>
    <xf numFmtId="167" fontId="5" fillId="0" borderId="0" xfId="1" applyNumberFormat="1" applyFont="1" applyFill="1" applyBorder="1"/>
    <xf numFmtId="167" fontId="6" fillId="0" borderId="0" xfId="1" applyNumberFormat="1" applyFont="1" applyFill="1" applyBorder="1"/>
    <xf numFmtId="9" fontId="4" fillId="0" borderId="0" xfId="3" applyFont="1" applyFill="1" applyBorder="1" applyAlignment="1">
      <alignment wrapText="1"/>
    </xf>
    <xf numFmtId="10" fontId="0" fillId="0" borderId="0" xfId="3" applyNumberFormat="1" applyFont="1"/>
    <xf numFmtId="172" fontId="0" fillId="0" borderId="0" xfId="3" applyNumberFormat="1" applyFont="1"/>
    <xf numFmtId="167" fontId="5" fillId="0" borderId="0" xfId="12" applyNumberFormat="1" applyFont="1"/>
    <xf numFmtId="167" fontId="17" fillId="3" borderId="5" xfId="10" applyNumberFormat="1"/>
    <xf numFmtId="0" fontId="22" fillId="0" borderId="0" xfId="0" applyFont="1"/>
    <xf numFmtId="44" fontId="0" fillId="0" borderId="0" xfId="0" applyNumberFormat="1"/>
    <xf numFmtId="44" fontId="0" fillId="0" borderId="0" xfId="2" applyFont="1"/>
    <xf numFmtId="173" fontId="0" fillId="0" borderId="0" xfId="2" applyNumberFormat="1" applyFont="1"/>
    <xf numFmtId="7" fontId="0" fillId="0" borderId="0" xfId="0" applyNumberFormat="1"/>
    <xf numFmtId="164" fontId="4" fillId="0" borderId="0" xfId="0" applyNumberFormat="1" applyFont="1"/>
    <xf numFmtId="44" fontId="17" fillId="3" borderId="5" xfId="10" applyNumberFormat="1"/>
    <xf numFmtId="164" fontId="17" fillId="3" borderId="5" xfId="10" applyNumberFormat="1"/>
    <xf numFmtId="7" fontId="2" fillId="2" borderId="1" xfId="4" applyNumberFormat="1"/>
    <xf numFmtId="0" fontId="4" fillId="9" borderId="0" xfId="0" applyFont="1" applyFill="1"/>
    <xf numFmtId="174" fontId="0" fillId="0" borderId="0" xfId="0" applyNumberFormat="1"/>
    <xf numFmtId="174" fontId="17" fillId="3" borderId="5" xfId="10" applyNumberFormat="1"/>
    <xf numFmtId="0" fontId="19" fillId="7" borderId="0" xfId="11"/>
    <xf numFmtId="0" fontId="0" fillId="9" borderId="0" xfId="0" applyFill="1"/>
    <xf numFmtId="0" fontId="4" fillId="10" borderId="0" xfId="0" applyFont="1" applyFill="1"/>
    <xf numFmtId="0" fontId="0" fillId="10" borderId="0" xfId="0" applyFill="1"/>
    <xf numFmtId="44" fontId="0" fillId="10" borderId="0" xfId="0" applyNumberFormat="1" applyFill="1"/>
    <xf numFmtId="174" fontId="22" fillId="0" borderId="0" xfId="0" applyNumberFormat="1" applyFont="1"/>
    <xf numFmtId="44" fontId="0" fillId="0" borderId="0" xfId="2" applyFont="1" applyFill="1"/>
    <xf numFmtId="167" fontId="16" fillId="5" borderId="5" xfId="9" applyNumberFormat="1" applyBorder="1"/>
    <xf numFmtId="7" fontId="16" fillId="5" borderId="5" xfId="9" applyNumberFormat="1" applyBorder="1"/>
    <xf numFmtId="44" fontId="16" fillId="5" borderId="5" xfId="9" applyNumberFormat="1" applyBorder="1"/>
    <xf numFmtId="174" fontId="16" fillId="5" borderId="5" xfId="9" applyNumberFormat="1" applyBorder="1"/>
    <xf numFmtId="2" fontId="17" fillId="3" borderId="5" xfId="10" applyNumberFormat="1"/>
    <xf numFmtId="164" fontId="8" fillId="6" borderId="0" xfId="0" applyNumberFormat="1" applyFont="1" applyFill="1"/>
    <xf numFmtId="164" fontId="8" fillId="6" borderId="0" xfId="1" applyNumberFormat="1" applyFont="1" applyFill="1"/>
    <xf numFmtId="166" fontId="8" fillId="0" borderId="0" xfId="1" applyNumberFormat="1" applyFont="1" applyFill="1"/>
    <xf numFmtId="167" fontId="8" fillId="0" borderId="0" xfId="1" applyNumberFormat="1" applyFont="1" applyFill="1"/>
    <xf numFmtId="0" fontId="6" fillId="4" borderId="0" xfId="10" applyFont="1" applyFill="1" applyBorder="1"/>
    <xf numFmtId="0" fontId="5" fillId="0" borderId="0" xfId="0" applyFont="1" applyAlignment="1">
      <alignment horizontal="left"/>
    </xf>
    <xf numFmtId="167" fontId="19" fillId="7" borderId="0" xfId="11" applyNumberFormat="1" applyBorder="1"/>
    <xf numFmtId="166" fontId="19" fillId="7" borderId="0" xfId="11" applyNumberFormat="1" applyBorder="1"/>
    <xf numFmtId="0" fontId="5" fillId="0" borderId="0" xfId="0" applyFont="1"/>
    <xf numFmtId="0" fontId="0" fillId="0" borderId="10" xfId="0" applyBorder="1"/>
    <xf numFmtId="0" fontId="0" fillId="0" borderId="11" xfId="0" applyBorder="1"/>
    <xf numFmtId="167" fontId="0" fillId="0" borderId="12" xfId="0" applyNumberFormat="1" applyBorder="1"/>
    <xf numFmtId="0" fontId="0" fillId="0" borderId="12" xfId="0" applyBorder="1"/>
    <xf numFmtId="166" fontId="0" fillId="0" borderId="12" xfId="1" applyNumberFormat="1" applyFont="1" applyBorder="1"/>
    <xf numFmtId="0" fontId="4" fillId="0" borderId="12" xfId="0" applyFont="1" applyBorder="1"/>
    <xf numFmtId="0" fontId="0" fillId="0" borderId="13" xfId="0" applyBorder="1"/>
    <xf numFmtId="0" fontId="4" fillId="0" borderId="14" xfId="0" applyFont="1" applyBorder="1"/>
    <xf numFmtId="0" fontId="0" fillId="0" borderId="14" xfId="0" applyBorder="1"/>
    <xf numFmtId="0" fontId="4" fillId="0" borderId="9" xfId="0" applyFont="1" applyBorder="1"/>
    <xf numFmtId="0" fontId="0" fillId="0" borderId="0" xfId="0" applyBorder="1"/>
    <xf numFmtId="0" fontId="4" fillId="0" borderId="0" xfId="0" applyFont="1" applyBorder="1"/>
    <xf numFmtId="166" fontId="4" fillId="0" borderId="0" xfId="0" applyNumberFormat="1" applyFont="1" applyBorder="1" applyAlignment="1">
      <alignment wrapText="1"/>
    </xf>
    <xf numFmtId="166" fontId="4" fillId="0" borderId="0" xfId="1" applyNumberFormat="1" applyFont="1" applyFill="1" applyBorder="1"/>
    <xf numFmtId="167" fontId="4" fillId="0" borderId="0" xfId="0" applyNumberFormat="1" applyFont="1" applyBorder="1" applyAlignment="1">
      <alignment wrapText="1"/>
    </xf>
    <xf numFmtId="164" fontId="6" fillId="0" borderId="0" xfId="0" applyNumberFormat="1" applyFont="1" applyBorder="1"/>
    <xf numFmtId="164" fontId="4" fillId="0" borderId="0" xfId="0" applyNumberFormat="1" applyFont="1" applyBorder="1"/>
    <xf numFmtId="166" fontId="0" fillId="0" borderId="0" xfId="1" applyNumberFormat="1" applyFont="1" applyFill="1" applyBorder="1"/>
    <xf numFmtId="0" fontId="1" fillId="0" borderId="0" xfId="1" applyNumberFormat="1" applyFont="1" applyBorder="1"/>
    <xf numFmtId="166" fontId="1" fillId="0" borderId="0" xfId="1" applyNumberFormat="1" applyFont="1" applyBorder="1"/>
    <xf numFmtId="166" fontId="1" fillId="0" borderId="0" xfId="1" applyNumberFormat="1" applyFont="1"/>
    <xf numFmtId="0" fontId="0" fillId="0" borderId="0" xfId="0" applyFill="1"/>
    <xf numFmtId="0" fontId="0" fillId="0" borderId="0" xfId="0" applyFont="1"/>
    <xf numFmtId="166" fontId="0" fillId="9" borderId="0" xfId="0" applyNumberFormat="1" applyFill="1"/>
    <xf numFmtId="165" fontId="0" fillId="9" borderId="0" xfId="3" applyNumberFormat="1" applyFont="1" applyFill="1" applyBorder="1"/>
    <xf numFmtId="0" fontId="4" fillId="11" borderId="0" xfId="0" applyFont="1" applyFill="1"/>
    <xf numFmtId="0" fontId="0" fillId="11" borderId="0" xfId="0" applyFill="1"/>
    <xf numFmtId="167" fontId="6" fillId="5" borderId="0" xfId="9" applyNumberFormat="1" applyFont="1" applyBorder="1" applyAlignment="1">
      <alignment wrapText="1"/>
    </xf>
    <xf numFmtId="0" fontId="6" fillId="0" borderId="0" xfId="9" applyFont="1" applyFill="1" applyBorder="1"/>
    <xf numFmtId="0" fontId="4" fillId="12" borderId="0" xfId="0" applyFont="1" applyFill="1"/>
    <xf numFmtId="0" fontId="0" fillId="12" borderId="0" xfId="0" applyFill="1"/>
    <xf numFmtId="166" fontId="0" fillId="12" borderId="0" xfId="0" applyNumberFormat="1" applyFill="1" applyAlignment="1">
      <alignment wrapText="1"/>
    </xf>
    <xf numFmtId="166" fontId="0" fillId="0" borderId="0" xfId="0" applyNumberFormat="1" applyBorder="1"/>
    <xf numFmtId="167" fontId="0" fillId="0" borderId="0" xfId="0" applyNumberFormat="1" applyBorder="1"/>
    <xf numFmtId="0" fontId="0" fillId="0" borderId="0" xfId="0" applyFont="1" applyBorder="1"/>
    <xf numFmtId="166" fontId="2" fillId="2" borderId="3" xfId="4" applyNumberFormat="1" applyBorder="1"/>
    <xf numFmtId="0" fontId="4" fillId="0" borderId="0" xfId="0" applyFont="1" applyFill="1" applyBorder="1"/>
    <xf numFmtId="164" fontId="6" fillId="0" borderId="0" xfId="9" applyNumberFormat="1" applyFont="1" applyFill="1"/>
    <xf numFmtId="167" fontId="6" fillId="0" borderId="0" xfId="9" applyNumberFormat="1" applyFont="1" applyFill="1"/>
    <xf numFmtId="9" fontId="0" fillId="12" borderId="0" xfId="3" applyFont="1" applyFill="1" applyBorder="1"/>
    <xf numFmtId="9" fontId="3" fillId="12" borderId="0" xfId="5" applyNumberFormat="1" applyFill="1" applyBorder="1"/>
    <xf numFmtId="165" fontId="0" fillId="12" borderId="0" xfId="0" applyNumberFormat="1" applyFill="1"/>
    <xf numFmtId="9" fontId="5" fillId="12" borderId="0" xfId="3" applyFont="1" applyFill="1" applyBorder="1"/>
    <xf numFmtId="9" fontId="6" fillId="12" borderId="0" xfId="5" applyNumberFormat="1" applyFont="1" applyFill="1" applyBorder="1"/>
    <xf numFmtId="2" fontId="3" fillId="12" borderId="0" xfId="7" applyNumberFormat="1" applyFont="1" applyFill="1" applyBorder="1"/>
    <xf numFmtId="164" fontId="6" fillId="12" borderId="0" xfId="0" applyNumberFormat="1" applyFont="1" applyFill="1"/>
    <xf numFmtId="167" fontId="4" fillId="12" borderId="0" xfId="1" applyNumberFormat="1" applyFont="1" applyFill="1" applyBorder="1"/>
    <xf numFmtId="43" fontId="17" fillId="3" borderId="5" xfId="10" applyNumberFormat="1"/>
    <xf numFmtId="167" fontId="30" fillId="3" borderId="5" xfId="12" applyNumberFormat="1" applyFont="1" applyFill="1" applyBorder="1"/>
    <xf numFmtId="167" fontId="31" fillId="5" borderId="5" xfId="9" applyNumberFormat="1" applyFont="1" applyBorder="1"/>
    <xf numFmtId="171" fontId="31" fillId="5" borderId="5" xfId="9" applyNumberFormat="1" applyFont="1" applyBorder="1"/>
    <xf numFmtId="43" fontId="16" fillId="5" borderId="0" xfId="9" applyNumberFormat="1"/>
    <xf numFmtId="0" fontId="31" fillId="5" borderId="0" xfId="9" applyFont="1"/>
    <xf numFmtId="0" fontId="30" fillId="5" borderId="0" xfId="9" applyFont="1"/>
    <xf numFmtId="43" fontId="31" fillId="5" borderId="0" xfId="9" applyNumberFormat="1" applyFont="1"/>
    <xf numFmtId="167" fontId="31" fillId="0" borderId="0" xfId="0" applyNumberFormat="1" applyFont="1"/>
    <xf numFmtId="0" fontId="32" fillId="0" borderId="0" xfId="0" applyFont="1"/>
    <xf numFmtId="167" fontId="32" fillId="0" borderId="0" xfId="1" applyNumberFormat="1" applyFont="1"/>
    <xf numFmtId="167" fontId="33" fillId="0" borderId="0" xfId="1" applyNumberFormat="1" applyFont="1"/>
    <xf numFmtId="167" fontId="32" fillId="0" borderId="0" xfId="0" applyNumberFormat="1" applyFont="1"/>
    <xf numFmtId="171" fontId="33" fillId="3" borderId="5" xfId="10" applyNumberFormat="1" applyFont="1"/>
    <xf numFmtId="43" fontId="32" fillId="0" borderId="0" xfId="0" applyNumberFormat="1" applyFont="1"/>
    <xf numFmtId="0" fontId="8" fillId="0" borderId="7" xfId="0" applyFont="1" applyBorder="1"/>
    <xf numFmtId="0" fontId="8" fillId="0" borderId="0" xfId="0" applyFont="1" applyBorder="1"/>
    <xf numFmtId="44" fontId="2" fillId="2" borderId="1" xfId="4" applyNumberFormat="1" applyBorder="1"/>
    <xf numFmtId="9" fontId="2" fillId="2" borderId="1" xfId="4" applyNumberFormat="1" applyBorder="1"/>
    <xf numFmtId="0" fontId="0" fillId="0" borderId="15" xfId="0" applyBorder="1"/>
    <xf numFmtId="0" fontId="21" fillId="4" borderId="0" xfId="0" applyFont="1" applyFill="1"/>
    <xf numFmtId="0" fontId="22" fillId="4" borderId="0" xfId="0" applyFont="1" applyFill="1"/>
    <xf numFmtId="9" fontId="0" fillId="0" borderId="0" xfId="3" applyFont="1" applyFill="1" applyBorder="1"/>
    <xf numFmtId="0" fontId="22" fillId="0" borderId="0" xfId="0" applyFont="1" applyFill="1"/>
    <xf numFmtId="167" fontId="2" fillId="12" borderId="1" xfId="4" applyNumberFormat="1" applyFill="1"/>
    <xf numFmtId="167" fontId="2" fillId="12" borderId="1" xfId="4" applyNumberFormat="1" applyFill="1" applyAlignment="1">
      <alignment wrapText="1"/>
    </xf>
    <xf numFmtId="164" fontId="2" fillId="12" borderId="1" xfId="4" applyNumberFormat="1" applyFill="1"/>
    <xf numFmtId="9" fontId="3" fillId="0" borderId="0" xfId="5" applyNumberFormat="1" applyFill="1" applyBorder="1"/>
    <xf numFmtId="0" fontId="4" fillId="0" borderId="0" xfId="0" applyFont="1" applyAlignment="1"/>
    <xf numFmtId="167" fontId="4" fillId="0" borderId="0" xfId="1" applyNumberFormat="1" applyFont="1" applyFill="1"/>
    <xf numFmtId="167" fontId="4" fillId="0" borderId="0" xfId="1" applyNumberFormat="1" applyFont="1" applyFill="1" applyBorder="1"/>
    <xf numFmtId="0" fontId="32" fillId="0" borderId="0" xfId="12" applyFont="1" applyFill="1" applyBorder="1"/>
    <xf numFmtId="167" fontId="0" fillId="0" borderId="0" xfId="0" applyNumberFormat="1" applyFill="1" applyBorder="1"/>
    <xf numFmtId="0" fontId="0" fillId="0" borderId="0" xfId="0" applyFill="1" applyBorder="1"/>
    <xf numFmtId="167" fontId="4" fillId="0" borderId="0" xfId="0" applyNumberFormat="1" applyFont="1" applyFill="1" applyBorder="1"/>
    <xf numFmtId="43" fontId="0" fillId="0" borderId="0" xfId="0" applyNumberFormat="1" applyFill="1" applyBorder="1"/>
    <xf numFmtId="0" fontId="22" fillId="0" borderId="0" xfId="0" applyFont="1" applyFill="1" applyBorder="1"/>
    <xf numFmtId="0" fontId="2" fillId="2" borderId="1" xfId="4" applyBorder="1"/>
    <xf numFmtId="164" fontId="2" fillId="2" borderId="1" xfId="4" applyNumberFormat="1" applyBorder="1"/>
    <xf numFmtId="7" fontId="0" fillId="6" borderId="0" xfId="0" applyNumberFormat="1" applyFill="1"/>
    <xf numFmtId="44" fontId="0" fillId="6" borderId="0" xfId="0" applyNumberFormat="1" applyFill="1"/>
    <xf numFmtId="7" fontId="16" fillId="5" borderId="8" xfId="9" applyNumberFormat="1" applyBorder="1"/>
    <xf numFmtId="0" fontId="16" fillId="5" borderId="8" xfId="9" applyBorder="1"/>
    <xf numFmtId="44" fontId="0" fillId="6" borderId="0" xfId="2" applyFont="1" applyFill="1"/>
    <xf numFmtId="7" fontId="17" fillId="6" borderId="0" xfId="10" applyNumberFormat="1" applyFill="1" applyBorder="1"/>
    <xf numFmtId="0" fontId="17" fillId="6" borderId="0" xfId="10" applyFill="1" applyBorder="1"/>
    <xf numFmtId="44" fontId="17" fillId="6" borderId="0" xfId="10" applyNumberFormat="1" applyFill="1" applyBorder="1"/>
    <xf numFmtId="0" fontId="4" fillId="6" borderId="0" xfId="0" applyFont="1" applyFill="1"/>
    <xf numFmtId="0" fontId="0" fillId="6" borderId="0" xfId="0" applyFont="1" applyFill="1"/>
    <xf numFmtId="43" fontId="31" fillId="0" borderId="0" xfId="9" applyNumberFormat="1" applyFont="1" applyFill="1"/>
    <xf numFmtId="0" fontId="0" fillId="0" borderId="6" xfId="0" applyBorder="1"/>
    <xf numFmtId="0" fontId="4" fillId="0" borderId="6" xfId="0" applyFont="1" applyBorder="1"/>
    <xf numFmtId="44" fontId="0" fillId="0" borderId="6" xfId="2" applyFont="1" applyBorder="1"/>
    <xf numFmtId="0" fontId="0" fillId="0" borderId="0" xfId="0" applyAlignment="1">
      <alignment horizontal="left" vertical="top" wrapText="1"/>
    </xf>
    <xf numFmtId="9" fontId="10" fillId="3" borderId="2" xfId="7" applyNumberFormat="1" applyFill="1"/>
    <xf numFmtId="166" fontId="35" fillId="0" borderId="0" xfId="0" applyNumberFormat="1" applyFont="1" applyBorder="1" applyAlignment="1">
      <alignment wrapText="1"/>
    </xf>
    <xf numFmtId="167" fontId="35" fillId="0" borderId="0" xfId="0" applyNumberFormat="1" applyFont="1" applyBorder="1" applyAlignment="1">
      <alignment wrapText="1"/>
    </xf>
    <xf numFmtId="167" fontId="28" fillId="5" borderId="5" xfId="9" applyNumberFormat="1" applyFont="1" applyBorder="1"/>
    <xf numFmtId="164" fontId="36" fillId="12" borderId="1" xfId="4" applyNumberFormat="1" applyFont="1" applyFill="1"/>
    <xf numFmtId="171" fontId="17" fillId="3" borderId="5" xfId="10" applyNumberFormat="1" applyFont="1"/>
    <xf numFmtId="169" fontId="0" fillId="0" borderId="0" xfId="1" applyNumberFormat="1" applyFont="1" applyFill="1" applyBorder="1"/>
    <xf numFmtId="0" fontId="2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5" fillId="0" borderId="0" xfId="12" applyFont="1" applyFill="1" applyBorder="1"/>
    <xf numFmtId="164" fontId="0" fillId="0" borderId="0" xfId="0" applyNumberFormat="1" applyFill="1" applyBorder="1"/>
    <xf numFmtId="164" fontId="4" fillId="0" borderId="0" xfId="0" applyNumberFormat="1" applyFont="1" applyFill="1" applyBorder="1"/>
    <xf numFmtId="0" fontId="4" fillId="0" borderId="6" xfId="0" applyFont="1" applyBorder="1" applyAlignment="1">
      <alignment wrapText="1"/>
    </xf>
    <xf numFmtId="0" fontId="21" fillId="0" borderId="0" xfId="0" applyFont="1"/>
    <xf numFmtId="0" fontId="21" fillId="0" borderId="0" xfId="0" applyFont="1" applyFill="1"/>
    <xf numFmtId="0" fontId="0" fillId="0" borderId="0" xfId="1" applyNumberFormat="1" applyFont="1" applyFill="1" applyBorder="1"/>
    <xf numFmtId="166" fontId="1" fillId="0" borderId="0" xfId="1" applyNumberFormat="1" applyFont="1" applyFill="1" applyBorder="1"/>
    <xf numFmtId="166" fontId="4" fillId="4" borderId="0" xfId="1" applyNumberFormat="1" applyFont="1" applyFill="1" applyBorder="1"/>
    <xf numFmtId="166" fontId="0" fillId="4" borderId="0" xfId="1" applyNumberFormat="1" applyFont="1" applyFill="1" applyBorder="1"/>
    <xf numFmtId="0" fontId="0" fillId="4" borderId="0" xfId="1" applyNumberFormat="1" applyFont="1" applyFill="1" applyBorder="1"/>
    <xf numFmtId="9" fontId="5" fillId="0" borderId="0" xfId="4" applyNumberFormat="1" applyFont="1" applyFill="1" applyBorder="1"/>
    <xf numFmtId="0" fontId="4" fillId="4" borderId="0" xfId="1" applyNumberFormat="1" applyFont="1" applyFill="1" applyBorder="1"/>
    <xf numFmtId="166" fontId="8" fillId="0" borderId="0" xfId="1" applyNumberFormat="1" applyFont="1" applyBorder="1"/>
    <xf numFmtId="175" fontId="0" fillId="4" borderId="0" xfId="3" applyNumberFormat="1" applyFont="1" applyFill="1" applyBorder="1"/>
    <xf numFmtId="166" fontId="1" fillId="4" borderId="0" xfId="1" applyNumberFormat="1" applyFont="1" applyFill="1" applyBorder="1"/>
    <xf numFmtId="43" fontId="0" fillId="4" borderId="0" xfId="1" applyFont="1" applyFill="1" applyBorder="1"/>
    <xf numFmtId="164" fontId="0" fillId="0" borderId="0" xfId="1" applyNumberFormat="1" applyFont="1" applyBorder="1"/>
    <xf numFmtId="43" fontId="16" fillId="5" borderId="0" xfId="9" applyNumberFormat="1" applyBorder="1"/>
    <xf numFmtId="167" fontId="6" fillId="5" borderId="12" xfId="9" applyNumberFormat="1" applyFont="1" applyBorder="1"/>
    <xf numFmtId="164" fontId="0" fillId="0" borderId="0" xfId="0" applyNumberFormat="1" applyFill="1"/>
    <xf numFmtId="171" fontId="16" fillId="5" borderId="5" xfId="9" applyNumberFormat="1" applyBorder="1"/>
    <xf numFmtId="167" fontId="0" fillId="0" borderId="0" xfId="0" applyNumberFormat="1" applyFill="1"/>
    <xf numFmtId="164" fontId="3" fillId="3" borderId="1" xfId="5" applyNumberFormat="1"/>
    <xf numFmtId="44" fontId="0" fillId="0" borderId="0" xfId="2" applyFont="1" applyFill="1" applyAlignment="1">
      <alignment horizontal="center"/>
    </xf>
    <xf numFmtId="0" fontId="0" fillId="0" borderId="6" xfId="0" applyBorder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2">
    <cellStyle name="Calculation" xfId="5" builtinId="22"/>
    <cellStyle name="Comma" xfId="1" builtinId="3"/>
    <cellStyle name="Comma 10" xfId="17" xr:uid="{BDBE2232-EF61-43E6-854C-6A150F352997}"/>
    <cellStyle name="Comma 2" xfId="8" xr:uid="{735D7005-D04A-460C-B05A-006A20426706}"/>
    <cellStyle name="Comma 2 2 13 2" xfId="29" xr:uid="{1CA58B91-7BC7-40DA-89B0-7C617B946D48}"/>
    <cellStyle name="Comma 4" xfId="26" xr:uid="{4B12A011-2158-441A-A30B-E9A959F0D8E1}"/>
    <cellStyle name="Currency" xfId="2" builtinId="4"/>
    <cellStyle name="Currency 2" xfId="28" xr:uid="{350FDDDD-A0C5-467A-99EC-EA1151B08861}"/>
    <cellStyle name="Good" xfId="9" builtinId="26"/>
    <cellStyle name="Hyperlink" xfId="6" builtinId="8"/>
    <cellStyle name="Input" xfId="4" builtinId="20"/>
    <cellStyle name="Linked Cell" xfId="7" builtinId="24"/>
    <cellStyle name="Neutral" xfId="11" builtinId="28"/>
    <cellStyle name="Normal" xfId="0" builtinId="0"/>
    <cellStyle name="Normal 18 2" xfId="18" xr:uid="{2CA8E2ED-E1E8-4B90-91CD-8346A53D64D2}"/>
    <cellStyle name="Normal 2 2" xfId="20" xr:uid="{02962EAD-761C-441C-8943-E0C152183B9B}"/>
    <cellStyle name="Normal 2 2 2 2" xfId="22" xr:uid="{1998206D-2D22-49D5-8EA7-265782DD51A9}"/>
    <cellStyle name="Normal 2 3" xfId="25" xr:uid="{85646E62-FACB-4263-81A7-A80D10157359}"/>
    <cellStyle name="Normal 3" xfId="16" xr:uid="{C2D81B08-E6DF-4F10-AAFF-C2B5787E962E}"/>
    <cellStyle name="Normal 3 2" xfId="23" xr:uid="{4406130F-68BA-4214-B995-31FB2B2B7026}"/>
    <cellStyle name="Normal 3 3" xfId="21" xr:uid="{1CDE5411-00F0-41B2-939E-646CC29C98FF}"/>
    <cellStyle name="Normal 32 2" xfId="14" xr:uid="{A0CA9EC6-097E-4018-8699-DED9ADC9A8CC}"/>
    <cellStyle name="Normal 32 2 3" xfId="13" xr:uid="{C14B7C3C-41A4-459D-9C10-FA0DBAC65330}"/>
    <cellStyle name="Normal 4" xfId="15" xr:uid="{126D9F73-FF9D-4511-B2F6-CF5B85871F18}"/>
    <cellStyle name="Normal 5" xfId="27" xr:uid="{A25CF4DB-1513-4A67-B06D-723B0F501BA9}"/>
    <cellStyle name="Normal 5 2" xfId="19" xr:uid="{04A94636-641C-43CE-B447-DD09F82D848D}"/>
    <cellStyle name="Normal 6" xfId="24" xr:uid="{DE11F840-A878-455C-8A34-FF3F3837A66F}"/>
    <cellStyle name="Normal 6 2" xfId="31" xr:uid="{967F780F-5A23-4991-8414-CA74C6C1C3EF}"/>
    <cellStyle name="Output" xfId="10" builtinId="21"/>
    <cellStyle name="Percent" xfId="3" builtinId="5"/>
    <cellStyle name="Percent 2 2" xfId="30" xr:uid="{10785F2F-A977-4F41-8FF1-B20BBF809B58}"/>
    <cellStyle name="Warning Text" xfId="12" builtinId="11"/>
  </cellStyles>
  <dxfs count="0"/>
  <tableStyles count="0" defaultTableStyle="TableStyleMedium2" defaultPivotStyle="PivotStyleLight16"/>
  <colors>
    <mruColors>
      <color rgb="FFFFFF66"/>
      <color rgb="FFFFCCCC"/>
      <color rgb="FFFF9933"/>
      <color rgb="FF003A5D"/>
      <color rgb="FF15E137"/>
      <color rgb="FFFFFFFF"/>
      <color rgb="FFF98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541209165463"/>
          <c:y val="3.9687291099336441E-2"/>
          <c:w val="0.70379169731811209"/>
          <c:h val="0.8707625621864291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'Allocate emissions budget'!$X$9</c:f>
              <c:strCache>
                <c:ptCount val="1"/>
                <c:pt idx="0">
                  <c:v>Non-ETS Sectors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'Allocate emissions budget'!$Y$7:$AC$7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'Allocate emissions budget'!$Y$9:$AC$9</c:f>
              <c:numCache>
                <c:formatCode>_-* #,##0.0_-;\-* #,##0.0_-;_-* "-"??_-;_-@_-</c:formatCode>
                <c:ptCount val="5"/>
                <c:pt idx="0">
                  <c:v>42.73023216286235</c:v>
                </c:pt>
                <c:pt idx="1">
                  <c:v>42.616976478328411</c:v>
                </c:pt>
                <c:pt idx="2">
                  <c:v>42.00394473287102</c:v>
                </c:pt>
                <c:pt idx="3">
                  <c:v>41.649491823647743</c:v>
                </c:pt>
                <c:pt idx="4">
                  <c:v>41.292532856573374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D-4401-9C9A-466EC5215C1B}"/>
            </c:ext>
          </c:extLst>
        </c:ser>
        <c:ser>
          <c:idx val="2"/>
          <c:order val="2"/>
          <c:tx>
            <c:strRef>
              <c:f>'Allocate emissions budget'!$X$10</c:f>
              <c:strCache>
                <c:ptCount val="1"/>
                <c:pt idx="0">
                  <c:v> ETS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'Allocate emissions budget'!$Y$7:$AC$7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'Allocate emissions budget'!$Y$10:$AC$10</c:f>
              <c:numCache>
                <c:formatCode>_-* #,##0.0_-;\-* #,##0.0_-;_-* "-"??_-;_-@_-</c:formatCode>
                <c:ptCount val="5"/>
                <c:pt idx="0">
                  <c:v>29.391821721837712</c:v>
                </c:pt>
                <c:pt idx="1">
                  <c:v>27.083332091163516</c:v>
                </c:pt>
                <c:pt idx="2">
                  <c:v>24.5226687645232</c:v>
                </c:pt>
                <c:pt idx="3">
                  <c:v>22.208229504204958</c:v>
                </c:pt>
                <c:pt idx="4">
                  <c:v>19.410856788890918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D-4401-9C9A-466EC5215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37879648"/>
        <c:axId val="37880064"/>
      </c:barChart>
      <c:lineChart>
        <c:grouping val="standard"/>
        <c:varyColors val="0"/>
        <c:ser>
          <c:idx val="0"/>
          <c:order val="0"/>
          <c:tx>
            <c:strRef>
              <c:f>'Allocate emissions budget'!$X$8</c:f>
              <c:strCache>
                <c:ptCount val="1"/>
                <c:pt idx="0">
                  <c:v>Projected gross emissions under CPR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'Allocate emissions budget'!$Y$7:$AC$7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'Allocate emissions budget'!$Y$8:$AC$8</c:f>
              <c:numCache>
                <c:formatCode>_-* #,##0.0_-;\-* #,##0.0_-;_-* "-"??_-;_-@_-</c:formatCode>
                <c:ptCount val="5"/>
                <c:pt idx="0">
                  <c:v>80.533989646387226</c:v>
                </c:pt>
                <c:pt idx="1">
                  <c:v>79.8679598428849</c:v>
                </c:pt>
                <c:pt idx="2">
                  <c:v>79.553396146937089</c:v>
                </c:pt>
                <c:pt idx="3">
                  <c:v>79.248095563331958</c:v>
                </c:pt>
                <c:pt idx="4">
                  <c:v>78.927453454264779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D-4401-9C9A-466EC5215C1B}"/>
            </c:ext>
          </c:extLst>
        </c:ser>
        <c:ser>
          <c:idx val="3"/>
          <c:order val="3"/>
          <c:tx>
            <c:strRef>
              <c:f>'Allocate emissions budget'!$X$11</c:f>
              <c:strCache>
                <c:ptCount val="1"/>
                <c:pt idx="0">
                  <c:v> Emissions Budget 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'Allocate emissions budget'!$Y$7:$AC$7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'Allocate emissions budget'!$Y$11:$AC$11</c:f>
              <c:numCache>
                <c:formatCode>_-* #,##0.0_-;\-* #,##0.0_-;_-* "-"??_-;_-@_-</c:formatCode>
                <c:ptCount val="5"/>
                <c:pt idx="0">
                  <c:v>72.122053884700051</c:v>
                </c:pt>
                <c:pt idx="1">
                  <c:v>69.700308569491924</c:v>
                </c:pt>
                <c:pt idx="2">
                  <c:v>66.526613497394223</c:v>
                </c:pt>
                <c:pt idx="3">
                  <c:v>63.857721327852708</c:v>
                </c:pt>
                <c:pt idx="4">
                  <c:v>60.703389645464291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D-4401-9C9A-466EC5215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79648"/>
        <c:axId val="37880064"/>
      </c:lineChart>
      <c:catAx>
        <c:axId val="378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0064"/>
        <c:crosses val="autoZero"/>
        <c:auto val="1"/>
        <c:lblAlgn val="ctr"/>
        <c:lblOffset val="100"/>
        <c:noMultiLvlLbl val="0"/>
      </c:catAx>
      <c:valAx>
        <c:axId val="378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Mt CO2-e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7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0907627895993972"/>
          <c:y val="0.30428855910437463"/>
          <c:w val="0.17708289059023333"/>
          <c:h val="0.4843627254368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Annual auction volumes (2024-2030)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8"/>
          <c:order val="1"/>
          <c:tx>
            <c:strRef>
              <c:f>'Auction volumes'!$B$24</c:f>
              <c:strCache>
                <c:ptCount val="1"/>
                <c:pt idx="0">
                  <c:v> NZU auction volumes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volumes'!$D$14:$K$14</c15:sqref>
                  </c15:fullRef>
                </c:ext>
              </c:extLst>
              <c:f>('Auction volumes'!$D$14:$H$14,'Auction volumes'!$J$14:$K$14)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volumes'!$D$24:$K$24</c15:sqref>
                  </c15:fullRef>
                </c:ext>
              </c:extLst>
              <c:f>('Auction volumes'!$D$24:$H$24,'Auction volumes'!$J$24:$K$24)</c:f>
              <c:numCache>
                <c:formatCode>_-* #,##0.0_-;\-* #,##0.0_-;_-* "-"??_-;_-@_-</c:formatCode>
                <c:ptCount val="7"/>
                <c:pt idx="0">
                  <c:v>17.099999999999994</c:v>
                </c:pt>
                <c:pt idx="1">
                  <c:v>15.300000000000002</c:v>
                </c:pt>
                <c:pt idx="2">
                  <c:v>8.5110168673366857</c:v>
                </c:pt>
                <c:pt idx="3">
                  <c:v>7.1019626842855983</c:v>
                </c:pt>
                <c:pt idx="4">
                  <c:v>5.1770349528769906</c:v>
                </c:pt>
                <c:pt idx="5">
                  <c:v>4.1817031414771</c:v>
                </c:pt>
                <c:pt idx="6">
                  <c:v>3.0730480168606213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0-4677-9BB9-304AF97F4CD4}"/>
            </c:ext>
          </c:extLst>
        </c:ser>
        <c:ser>
          <c:idx val="2"/>
          <c:order val="2"/>
          <c:tx>
            <c:strRef>
              <c:f>'Auction volumes'!$B$19</c:f>
              <c:strCache>
                <c:ptCount val="1"/>
                <c:pt idx="0">
                  <c:v>Free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volumes'!$D$14:$K$14</c15:sqref>
                  </c15:fullRef>
                </c:ext>
              </c:extLst>
              <c:f>('Auction volumes'!$D$14:$H$14,'Auction volumes'!$J$14:$K$14)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volumes'!$D$19:$K$19</c15:sqref>
                  </c15:fullRef>
                </c:ext>
              </c:extLst>
              <c:f>('Auction volumes'!$D$19:$H$19,'Auction volumes'!$J$19:$K$19)</c:f>
              <c:numCache>
                <c:formatCode>General</c:formatCode>
                <c:ptCount val="7"/>
                <c:pt idx="0">
                  <c:v>6.3</c:v>
                </c:pt>
                <c:pt idx="1">
                  <c:v>6.3</c:v>
                </c:pt>
                <c:pt idx="2" formatCode="_-* #,##0.0_-;\-* #,##0.0_-;_-* &quot;-&quot;??_-;_-@_-">
                  <c:v>5.991958736</c:v>
                </c:pt>
                <c:pt idx="3" formatCode="_-* #,##0.0_-;\-* #,##0.0_-;_-* &quot;-&quot;??_-;_-@_-">
                  <c:v>5.9179877153333331</c:v>
                </c:pt>
                <c:pt idx="4" formatCode="_-* #,##0.0_-;\-* #,##0.0_-;_-* &quot;-&quot;??_-;_-@_-">
                  <c:v>5.8440166946666663</c:v>
                </c:pt>
                <c:pt idx="5" formatCode="_-* #,##0.0_-;\-* #,##0.0_-;_-* &quot;-&quot;??_-;_-@_-">
                  <c:v>5.7700456739999995</c:v>
                </c:pt>
                <c:pt idx="6" formatCode="_-* #,##0.0_-;\-* #,##0.0_-;_-* &quot;-&quot;??_-;_-@_-">
                  <c:v>5.2766826533333333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0-4677-9BB9-304AF97F4CD4}"/>
            </c:ext>
          </c:extLst>
        </c:ser>
        <c:ser>
          <c:idx val="3"/>
          <c:order val="3"/>
          <c:tx>
            <c:strRef>
              <c:f>'Auction volumes'!$B$20</c:f>
              <c:strCache>
                <c:ptCount val="1"/>
                <c:pt idx="0">
                  <c:v>Base surplus reduction</c:v>
                </c:pt>
              </c:strCache>
            </c:strRef>
          </c:tx>
          <c:spPr>
            <a:pattFill prst="lgCheck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1.3407577491721273E-5"/>
                  <c:y val="7.4296334733653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0-4677-9BB9-304AF97F4CD4}"/>
                </c:ext>
              </c:extLst>
            </c:dLbl>
            <c:dLbl>
              <c:idx val="3"/>
              <c:layout>
                <c:manualLayout>
                  <c:x val="1.3951127930490468E-5"/>
                  <c:y val="3.714816736682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0-4677-9BB9-304AF97F4CD4}"/>
                </c:ext>
              </c:extLst>
            </c:dLbl>
            <c:dLbl>
              <c:idx val="4"/>
              <c:layout>
                <c:manualLayout>
                  <c:x val="1.3951127930574839E-5"/>
                  <c:y val="3.8025683131397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10-4677-9BB9-304AF97F4CD4}"/>
                </c:ext>
              </c:extLst>
            </c:dLbl>
            <c:dLbl>
              <c:idx val="5"/>
              <c:layout>
                <c:manualLayout>
                  <c:x val="1.3951127930574839E-5"/>
                  <c:y val="1.140799744467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10-4677-9BB9-304AF97F4CD4}"/>
                </c:ext>
              </c:extLst>
            </c:dLbl>
            <c:dLbl>
              <c:idx val="6"/>
              <c:layout>
                <c:manualLayout>
                  <c:x val="1.3407577491721273E-5"/>
                  <c:y val="1.149574902113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61-45FC-8D9F-54A65B18F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volumes'!$D$14:$K$14</c15:sqref>
                  </c15:fullRef>
                </c:ext>
              </c:extLst>
              <c:f>('Auction volumes'!$D$14:$H$14,'Auction volumes'!$J$14:$K$14)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volumes'!$D$20:$K$20</c15:sqref>
                  </c15:fullRef>
                </c:ext>
              </c:extLst>
              <c:f>('Auction volumes'!$D$20:$H$20,'Auction volumes'!$J$20:$K$20)</c:f>
              <c:numCache>
                <c:formatCode>General</c:formatCode>
                <c:ptCount val="7"/>
                <c:pt idx="0">
                  <c:v>7.7</c:v>
                </c:pt>
                <c:pt idx="1">
                  <c:v>7.1</c:v>
                </c:pt>
                <c:pt idx="2" formatCode="_-* #,##0.0_-;\-* #,##0.0_-;_-* &quot;-&quot;??_-;_-@_-">
                  <c:v>6.5</c:v>
                </c:pt>
                <c:pt idx="3" formatCode="_-* #,##0.0_-;\-* #,##0.0_-;_-* &quot;-&quot;??_-;_-@_-">
                  <c:v>5.9</c:v>
                </c:pt>
                <c:pt idx="4" formatCode="_-* #,##0.0_-;\-* #,##0.0_-;_-* &quot;-&quot;??_-;_-@_-">
                  <c:v>5.3689842110371888</c:v>
                </c:pt>
                <c:pt idx="5" formatCode="_-* #,##0.0_-;\-* #,##0.0_-;_-* &quot;-&quot;??_-;_-@_-">
                  <c:v>4.6194592307393423</c:v>
                </c:pt>
                <c:pt idx="6" formatCode="_-* #,##0.0_-;\-* #,##0.0_-;_-* &quot;-&quot;??_-;_-@_-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10-4677-9BB9-304AF97F4CD4}"/>
            </c:ext>
          </c:extLst>
        </c:ser>
        <c:ser>
          <c:idx val="6"/>
          <c:order val="4"/>
          <c:tx>
            <c:strRef>
              <c:f>'Auction volumes'!$B$21</c:f>
              <c:strCache>
                <c:ptCount val="1"/>
                <c:pt idx="0">
                  <c:v>Discrepancy adjustment</c:v>
                </c:pt>
              </c:strCache>
            </c:strRef>
          </c:tx>
          <c:spPr>
            <a:pattFill prst="wdUp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4.140459231271109E-2"/>
                  <c:y val="1.03108102337058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10-4677-9BB9-304AF97F4CD4}"/>
                </c:ext>
              </c:extLst>
            </c:dLbl>
            <c:dLbl>
              <c:idx val="3"/>
              <c:layout>
                <c:manualLayout>
                  <c:x val="4.3734249493637467E-2"/>
                  <c:y val="3.36773000126947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10-4677-9BB9-304AF97F4CD4}"/>
                </c:ext>
              </c:extLst>
            </c:dLbl>
            <c:dLbl>
              <c:idx val="4"/>
              <c:layout>
                <c:manualLayout>
                  <c:x val="4.6034554950865759E-2"/>
                  <c:y val="2.3436398534899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10-4677-9BB9-304AF97F4CD4}"/>
                </c:ext>
              </c:extLst>
            </c:dLbl>
            <c:dLbl>
              <c:idx val="5"/>
              <c:layout>
                <c:manualLayout>
                  <c:x val="4.6034554950865759E-2"/>
                  <c:y val="3.1661938806730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10-4677-9BB9-304AF97F4CD4}"/>
                </c:ext>
              </c:extLst>
            </c:dLbl>
            <c:dLbl>
              <c:idx val="6"/>
              <c:layout>
                <c:manualLayout>
                  <c:x val="4.6034554950865586E-2"/>
                  <c:y val="2.49419230816480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61-45FC-8D9F-54A65B18F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volumes'!$D$14:$K$14</c15:sqref>
                  </c15:fullRef>
                </c:ext>
              </c:extLst>
              <c:f>('Auction volumes'!$D$14:$H$14,'Auction volumes'!$J$14:$K$14)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volumes'!$D$21:$K$21</c15:sqref>
                  </c15:fullRef>
                </c:ext>
              </c:extLst>
              <c:f>('Auction volumes'!$D$21:$H$21,'Auction volumes'!$J$21:$K$21)</c:f>
              <c:numCache>
                <c:formatCode>General</c:formatCode>
                <c:ptCount val="7"/>
                <c:pt idx="2" formatCode="_-* #,##0.0_-;\-* #,##0.0_-;_-* &quot;-&quot;??_-;_-@_-">
                  <c:v>2.1971520599352496</c:v>
                </c:pt>
                <c:pt idx="3" formatCode="_-* #,##0.0_-;\-* #,##0.0_-;_-* &quot;-&quot;??_-;_-@_-">
                  <c:v>1.9897857639895191</c:v>
                </c:pt>
                <c:pt idx="4" formatCode="_-* #,##0.0_-;\-* #,##0.0_-;_-* &quot;-&quot;??_-;_-@_-">
                  <c:v>1.7391501874591762</c:v>
                </c:pt>
                <c:pt idx="5" formatCode="_-* #,##0.0_-;\-* #,##0.0_-;_-* &quot;-&quot;??_-;_-@_-">
                  <c:v>1.558223217129086</c:v>
                </c:pt>
                <c:pt idx="6" formatCode="_-* #,##0.0_-;\-* #,##0.0_-;_-* &quot;-&quot;??_-;_-@_-">
                  <c:v>1.3329281340658117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10-4677-9BB9-304AF97F4CD4}"/>
            </c:ext>
          </c:extLst>
        </c:ser>
        <c:ser>
          <c:idx val="1"/>
          <c:order val="5"/>
          <c:tx>
            <c:strRef>
              <c:f>'Auction volumes'!$B$18</c:f>
              <c:strCache>
                <c:ptCount val="1"/>
                <c:pt idx="0">
                  <c:v>Technical adjustment</c:v>
                </c:pt>
              </c:strCache>
            </c:strRef>
          </c:tx>
          <c:spPr>
            <a:pattFill prst="dkVert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volumes'!$D$14:$K$14</c15:sqref>
                  </c15:fullRef>
                </c:ext>
              </c:extLst>
              <c:f>('Auction volumes'!$D$14:$H$14,'Auction volumes'!$J$14:$K$14)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volumes'!$D$18:$K$18</c15:sqref>
                  </c15:fullRef>
                </c:ext>
              </c:extLst>
              <c:f>('Auction volumes'!$D$18:$H$18,'Auction volumes'!$J$18:$K$18)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_-* #,##0.0_-;\-* #,##0.0_-;_-* &quot;-&quot;??_-;_-@_-">
                  <c:v>1.3225411012512682</c:v>
                </c:pt>
                <c:pt idx="3" formatCode="_-* #,##0.0_-;\-* #,##0.0_-;_-* &quot;-&quot;??_-;_-@_-">
                  <c:v>1.2984933405965164</c:v>
                </c:pt>
                <c:pt idx="4" formatCode="_-* #,##0.0_-;\-* #,##0.0_-;_-* &quot;-&quot;??_-;_-@_-">
                  <c:v>1.2816707428508949</c:v>
                </c:pt>
                <c:pt idx="5" formatCode="_-* #,##0.0_-;\-* #,##0.0_-;_-* &quot;-&quot;??_-;_-@_-">
                  <c:v>1.2620786424242185</c:v>
                </c:pt>
                <c:pt idx="6" formatCode="_-* #,##0.0_-;\-* #,##0.0_-;_-* &quot;-&quot;??_-;_-@_-">
                  <c:v>1.2427500122178776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10-4677-9BB9-304AF97F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1414379279"/>
        <c:axId val="1414383023"/>
      </c:barChart>
      <c:lineChart>
        <c:grouping val="standard"/>
        <c:varyColors val="0"/>
        <c:ser>
          <c:idx val="0"/>
          <c:order val="0"/>
          <c:tx>
            <c:strRef>
              <c:f>'Auction volumes'!$B$17</c:f>
              <c:strCache>
                <c:ptCount val="1"/>
                <c:pt idx="0">
                  <c:v>NZ ETS cap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volumes'!$D$14:$K$14</c15:sqref>
                  </c15:fullRef>
                </c:ext>
              </c:extLst>
              <c:f>('Auction volumes'!$D$14:$H$14,'Auction volumes'!$J$14:$K$14)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volumes'!$D$17:$K$17</c15:sqref>
                  </c15:fullRef>
                </c:ext>
              </c:extLst>
              <c:f>('Auction volumes'!$D$17:$H$17,'Auction volumes'!$J$17:$K$17)</c:f>
              <c:numCache>
                <c:formatCode>General</c:formatCode>
                <c:ptCount val="7"/>
                <c:pt idx="0">
                  <c:v>31.099999999999994</c:v>
                </c:pt>
                <c:pt idx="1">
                  <c:v>28.700000000000003</c:v>
                </c:pt>
                <c:pt idx="2" formatCode="_-* #,##0.0_-;\-* #,##0.0_-;_-* &quot;-&quot;??_-;_-@_-">
                  <c:v>24.522668764523203</c:v>
                </c:pt>
                <c:pt idx="3" formatCode="_-* #,##0.0_-;\-* #,##0.0_-;_-* &quot;-&quot;??_-;_-@_-">
                  <c:v>22.208229504204965</c:v>
                </c:pt>
                <c:pt idx="4" formatCode="_-* #,##0.0_-;\-* #,##0.0_-;_-* &quot;-&quot;??_-;_-@_-">
                  <c:v>19.410856788890918</c:v>
                </c:pt>
                <c:pt idx="5" formatCode="_-* #,##0.0_-;\-* #,##0.0_-;_-* &quot;-&quot;??_-;_-@_-">
                  <c:v>17.391509905769745</c:v>
                </c:pt>
                <c:pt idx="6" formatCode="_-* #,##0.0_-;\-* #,##0.0_-;_-* &quot;-&quot;??_-;_-@_-">
                  <c:v>14.876965374701093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10-4677-9BB9-304AF97F4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379279"/>
        <c:axId val="1414383023"/>
      </c:lineChart>
      <c:catAx>
        <c:axId val="141437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83023"/>
        <c:crosses val="autoZero"/>
        <c:auto val="1"/>
        <c:lblAlgn val="ctr"/>
        <c:lblOffset val="100"/>
        <c:noMultiLvlLbl val="0"/>
      </c:catAx>
      <c:valAx>
        <c:axId val="14143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NZUs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7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200" b="0" i="0" baseline="0">
                <a:effectLst/>
              </a:rPr>
              <a:t>Example calculations with change from 2024 with CCR removal by 2025</a:t>
            </a:r>
            <a:endParaRPr lang="en-N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64938515978898"/>
          <c:y val="7.5663247239938794E-2"/>
          <c:w val="0.81365352269301783"/>
          <c:h val="0.715750682737971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'Auction volumes'!$B$64</c:f>
              <c:strCache>
                <c:ptCount val="1"/>
                <c:pt idx="0">
                  <c:v> NZU auction volumes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volumes'!$D$54:$K$54</c15:sqref>
                  </c15:fullRef>
                </c:ext>
              </c:extLst>
              <c:f>('Auction volumes'!$D$54:$H$54,'Auction volumes'!$J$54:$K$54)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volumes'!$D$64:$K$64</c15:sqref>
                  </c15:fullRef>
                </c:ext>
              </c:extLst>
              <c:f>('Auction volumes'!$D$64:$H$64,'Auction volumes'!$J$64:$K$64)</c:f>
              <c:numCache>
                <c:formatCode>_-* #,##0.0_-;\-* #,##0.0_-;_-* "-"?_-;_-@_-</c:formatCode>
                <c:ptCount val="7"/>
                <c:pt idx="0">
                  <c:v>9.3900693487211377</c:v>
                </c:pt>
                <c:pt idx="1">
                  <c:v>8.2339609635704889</c:v>
                </c:pt>
                <c:pt idx="2">
                  <c:v>10.248601513334144</c:v>
                </c:pt>
                <c:pt idx="3">
                  <c:v>8.6755548153802486</c:v>
                </c:pt>
                <c:pt idx="4">
                  <c:v>6.552415709592446</c:v>
                </c:pt>
                <c:pt idx="5">
                  <c:v>5.41400052611968</c:v>
                </c:pt>
                <c:pt idx="6">
                  <c:v>4.1271741750833941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C7B-8612-80DF63BF0C60}"/>
            </c:ext>
          </c:extLst>
        </c:ser>
        <c:ser>
          <c:idx val="3"/>
          <c:order val="1"/>
          <c:tx>
            <c:strRef>
              <c:f>'Auction volumes'!$B$32</c:f>
              <c:strCache>
                <c:ptCount val="1"/>
                <c:pt idx="0">
                  <c:v>Free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volumes'!$D$54:$K$54</c15:sqref>
                  </c15:fullRef>
                </c:ext>
              </c:extLst>
              <c:f>('Auction volumes'!$D$54:$H$54,'Auction volumes'!$J$54:$K$54)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volumes'!$D$59:$K$59</c15:sqref>
                  </c15:fullRef>
                </c:ext>
              </c:extLst>
              <c:f>('Auction volumes'!$D$59:$H$59,'Auction volumes'!$J$59:$K$59)</c:f>
              <c:numCache>
                <c:formatCode>_-* #,##0.0_-;\-* #,##0.0_-;_-* "-"??_-;_-@_-</c:formatCode>
                <c:ptCount val="7"/>
                <c:pt idx="0">
                  <c:v>6.1399007773333327</c:v>
                </c:pt>
                <c:pt idx="1">
                  <c:v>6.0659297566666677</c:v>
                </c:pt>
                <c:pt idx="2">
                  <c:v>5.991958736</c:v>
                </c:pt>
                <c:pt idx="3">
                  <c:v>5.9179877153333331</c:v>
                </c:pt>
                <c:pt idx="4">
                  <c:v>5.8440166946666663</c:v>
                </c:pt>
                <c:pt idx="5">
                  <c:v>5.7700456739999995</c:v>
                </c:pt>
                <c:pt idx="6">
                  <c:v>5.2766826533333333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E-4C7B-8612-80DF63BF0C60}"/>
            </c:ext>
          </c:extLst>
        </c:ser>
        <c:ser>
          <c:idx val="4"/>
          <c:order val="2"/>
          <c:tx>
            <c:strRef>
              <c:f>'Auction volumes'!$B$60</c:f>
              <c:strCache>
                <c:ptCount val="1"/>
                <c:pt idx="0">
                  <c:v>Base surplus</c:v>
                </c:pt>
              </c:strCache>
            </c:strRef>
          </c:tx>
          <c:spPr>
            <a:pattFill prst="lgCheck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volumes'!$D$54:$K$54</c15:sqref>
                  </c15:fullRef>
                </c:ext>
              </c:extLst>
              <c:f>('Auction volumes'!$D$54:$H$54,'Auction volumes'!$J$54:$K$54)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volumes'!$D$60:$K$60</c15:sqref>
                  </c15:fullRef>
                </c:ext>
              </c:extLst>
              <c:f>('Auction volumes'!$D$60:$H$60,'Auction volumes'!$J$60:$K$60)</c:f>
              <c:numCache>
                <c:formatCode>_-* #,##0.0_-;\-* #,##0.0_-;_-* "-"??_-;_-@_-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>
                  <c:v>5.3689842110371888</c:v>
                </c:pt>
                <c:pt idx="5">
                  <c:v>4.6194592307393423</c:v>
                </c:pt>
                <c:pt idx="6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E-4C7B-8612-80DF63BF0C60}"/>
            </c:ext>
          </c:extLst>
        </c:ser>
        <c:ser>
          <c:idx val="6"/>
          <c:order val="3"/>
          <c:tx>
            <c:strRef>
              <c:f>'Auction volumes'!$B$61</c:f>
              <c:strCache>
                <c:ptCount val="1"/>
                <c:pt idx="0">
                  <c:v>Surplus discrepency adjustment</c:v>
                </c:pt>
              </c:strCache>
            </c:strRef>
          </c:tx>
          <c:spPr>
            <a:pattFill prst="pct90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553280369477873E-2"/>
                  <c:y val="1.0874175232339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AC-4B14-A74A-9CC60F12A020}"/>
                </c:ext>
              </c:extLst>
            </c:dLbl>
            <c:dLbl>
              <c:idx val="1"/>
              <c:layout>
                <c:manualLayout>
                  <c:x val="-2.751891732097617E-2"/>
                  <c:y val="1.0874317938050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447858771306652E-2"/>
                      <c:h val="5.0691922913799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6AC-4B14-A74A-9CC60F12A020}"/>
                </c:ext>
              </c:extLst>
            </c:dLbl>
            <c:dLbl>
              <c:idx val="2"/>
              <c:layout>
                <c:manualLayout>
                  <c:x val="-2.5553280369477838E-2"/>
                  <c:y val="3.62472507744638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AC-4B14-A74A-9CC60F12A020}"/>
                </c:ext>
              </c:extLst>
            </c:dLbl>
            <c:dLbl>
              <c:idx val="3"/>
              <c:layout>
                <c:manualLayout>
                  <c:x val="-2.5553280369477908E-2"/>
                  <c:y val="1.0874175232339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AC-4B14-A74A-9CC60F12A020}"/>
                </c:ext>
              </c:extLst>
            </c:dLbl>
            <c:dLbl>
              <c:idx val="4"/>
              <c:layout>
                <c:manualLayout>
                  <c:x val="-3.1450191223972725E-2"/>
                  <c:y val="1.81236253872319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C-4B14-A74A-9CC60F12A020}"/>
                </c:ext>
              </c:extLst>
            </c:dLbl>
            <c:dLbl>
              <c:idx val="5"/>
              <c:layout>
                <c:manualLayout>
                  <c:x val="-2.5553280369477838E-2"/>
                  <c:y val="1.44989003097855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AC-4B14-A74A-9CC60F12A020}"/>
                </c:ext>
              </c:extLst>
            </c:dLbl>
            <c:dLbl>
              <c:idx val="6"/>
              <c:layout>
                <c:manualLayout>
                  <c:x val="-2.9484554272474428E-2"/>
                  <c:y val="1.8123625387231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3C-45A7-9375-A0A7FBD7A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volumes'!$D$61:$K$61</c15:sqref>
                  </c15:fullRef>
                </c:ext>
              </c:extLst>
              <c:f>('Auction volumes'!$D$61:$H$61,'Auction volumes'!$J$61:$K$61)</c:f>
              <c:numCache>
                <c:formatCode>_-* #,##0.0_-;\-* #,##0.0_-;_-* "-"??_-;_-@_-</c:formatCode>
                <c:ptCount val="7"/>
                <c:pt idx="0">
                  <c:v>0.55081784243511023</c:v>
                </c:pt>
                <c:pt idx="1">
                  <c:v>0.50755556050901129</c:v>
                </c:pt>
                <c:pt idx="2">
                  <c:v>0.45956741393779071</c:v>
                </c:pt>
                <c:pt idx="3">
                  <c:v>0.41619363289486805</c:v>
                </c:pt>
                <c:pt idx="4">
                  <c:v>0.36376943074371998</c:v>
                </c:pt>
                <c:pt idx="5">
                  <c:v>0.32592583248650642</c:v>
                </c:pt>
                <c:pt idx="6">
                  <c:v>0.27880197584303862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C-4B14-A74A-9CC60F12A020}"/>
            </c:ext>
          </c:extLst>
        </c:ser>
        <c:ser>
          <c:idx val="5"/>
          <c:order val="4"/>
          <c:tx>
            <c:strRef>
              <c:f>'Auction volumes'!$B$63</c:f>
              <c:strCache>
                <c:ptCount val="1"/>
                <c:pt idx="0">
                  <c:v>CCR adjustment</c:v>
                </c:pt>
              </c:strCache>
            </c:strRef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5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volumes'!$D$54:$K$54</c15:sqref>
                  </c15:fullRef>
                </c:ext>
              </c:extLst>
              <c:f>('Auction volumes'!$D$54:$H$54,'Auction volumes'!$J$54:$K$54)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volumes'!$D$63:$K$63</c15:sqref>
                  </c15:fullRef>
                </c:ext>
              </c:extLst>
              <c:f>('Auction volumes'!$D$63:$H$63,'Auction volumes'!$J$63:$K$63)</c:f>
              <c:numCache>
                <c:formatCode>_-* #,##0.0_-;\-* #,##0.0_-;_-* "-"??_-;_-@_-</c:formatCode>
                <c:ptCount val="7"/>
                <c:pt idx="0">
                  <c:v>4.163504796344105</c:v>
                </c:pt>
                <c:pt idx="1">
                  <c:v>3.836495203655895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E-4C7B-8612-80DF63BF0C60}"/>
            </c:ext>
          </c:extLst>
        </c:ser>
        <c:ser>
          <c:idx val="2"/>
          <c:order val="5"/>
          <c:tx>
            <c:strRef>
              <c:f>'Auction volumes'!$B$58</c:f>
              <c:strCache>
                <c:ptCount val="1"/>
                <c:pt idx="0">
                  <c:v>Technical adjustments</c:v>
                </c:pt>
              </c:strCache>
            </c:strRef>
          </c:tx>
          <c:spPr>
            <a:pattFill prst="wd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volumes'!$D$54:$K$54</c15:sqref>
                  </c15:fullRef>
                </c:ext>
              </c:extLst>
              <c:f>('Auction volumes'!$D$54:$H$54,'Auction volumes'!$J$54:$K$54)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volumes'!$D$58:$K$58</c15:sqref>
                  </c15:fullRef>
                </c:ext>
              </c:extLst>
              <c:f>('Auction volumes'!$D$58:$H$58,'Auction volumes'!$J$58:$K$58)</c:f>
              <c:numCache>
                <c:formatCode>_-* #,##0.0_-;\-* #,##0.0_-;_-* "-"??_-;_-@_-</c:formatCode>
                <c:ptCount val="7"/>
                <c:pt idx="0">
                  <c:v>1.447528957004016</c:v>
                </c:pt>
                <c:pt idx="1">
                  <c:v>1.3393906067614523</c:v>
                </c:pt>
                <c:pt idx="2">
                  <c:v>1.3225411012512682</c:v>
                </c:pt>
                <c:pt idx="3">
                  <c:v>1.2984933405965164</c:v>
                </c:pt>
                <c:pt idx="4">
                  <c:v>1.2816707428508949</c:v>
                </c:pt>
                <c:pt idx="5">
                  <c:v>1.2620786424242185</c:v>
                </c:pt>
                <c:pt idx="6">
                  <c:v>1.2427500122178776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E-4C7B-8612-80DF63BF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3934367"/>
        <c:axId val="523955583"/>
      </c:barChart>
      <c:lineChart>
        <c:grouping val="standard"/>
        <c:varyColors val="0"/>
        <c:ser>
          <c:idx val="0"/>
          <c:order val="6"/>
          <c:tx>
            <c:strRef>
              <c:f>'Auction volumes'!$B$57</c:f>
              <c:strCache>
                <c:ptCount val="1"/>
                <c:pt idx="0">
                  <c:v>NZ ETS cap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Lit>
              <c:ptCount val="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volumes'!$D$57:$K$57</c15:sqref>
                  </c15:fullRef>
                </c:ext>
              </c:extLst>
              <c:f>('Auction volumes'!$D$57:$H$57,'Auction volumes'!$J$57:$K$57)</c:f>
              <c:numCache>
                <c:formatCode>_-* #,##0.0_-;\-* #,##0.0_-;_-* "-"??_-;_-@_-</c:formatCode>
                <c:ptCount val="7"/>
                <c:pt idx="0">
                  <c:v>29.391821721837701</c:v>
                </c:pt>
                <c:pt idx="1">
                  <c:v>27.083332091163513</c:v>
                </c:pt>
                <c:pt idx="2">
                  <c:v>24.522668764523203</c:v>
                </c:pt>
                <c:pt idx="3">
                  <c:v>22.208229504204965</c:v>
                </c:pt>
                <c:pt idx="4">
                  <c:v>19.410856788890918</c:v>
                </c:pt>
                <c:pt idx="5">
                  <c:v>17.391509905769745</c:v>
                </c:pt>
                <c:pt idx="6">
                  <c:v>14.876965374701093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EE-4C7B-8612-80DF63BF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34367"/>
        <c:axId val="523955583"/>
      </c:lineChart>
      <c:catAx>
        <c:axId val="52393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55583"/>
        <c:crosses val="autoZero"/>
        <c:auto val="1"/>
        <c:lblAlgn val="ctr"/>
        <c:lblOffset val="100"/>
        <c:noMultiLvlLbl val="0"/>
      </c:catAx>
      <c:valAx>
        <c:axId val="52395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NZUs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3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899437458719969E-2"/>
          <c:y val="0.88484377388546709"/>
          <c:w val="0.96685215349635778"/>
          <c:h val="0.11515629230132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200"/>
              <a:t>Surplus reduction volumes including</a:t>
            </a:r>
            <a:r>
              <a:rPr lang="en-NZ" sz="1200" baseline="0"/>
              <a:t> discrepency adjustment</a:t>
            </a:r>
            <a:endParaRPr lang="en-NZ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38866748240137"/>
          <c:y val="0.12151667266158368"/>
          <c:w val="0.8493862603502027"/>
          <c:h val="0.671124640526465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'Surplus &amp; CCR reduction volumes'!$B$30</c:f>
              <c:strCache>
                <c:ptCount val="1"/>
                <c:pt idx="0">
                  <c:v>Base annual surplus volumes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'Surplus &amp; CCR reduction volumes'!$E$16:$K$16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'Surplus &amp; CCR reduction volumes'!$E$30:$K$30</c:f>
              <c:numCache>
                <c:formatCode>0.0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>
                  <c:v>5.3689842110371888</c:v>
                </c:pt>
                <c:pt idx="5">
                  <c:v>4.6194592307393423</c:v>
                </c:pt>
                <c:pt idx="6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4-403C-96FA-A006BCE1A3E9}"/>
            </c:ext>
          </c:extLst>
        </c:ser>
        <c:ser>
          <c:idx val="0"/>
          <c:order val="1"/>
          <c:tx>
            <c:strRef>
              <c:f>'Surplus &amp; CCR reduction volumes'!$B$29</c:f>
              <c:strCache>
                <c:ptCount val="1"/>
                <c:pt idx="0">
                  <c:v>Sum surplus discrepency adjustment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'Surplus &amp; CCR reduction volumes'!$E$16:$K$16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'Surplus &amp; CCR reduction volumes'!$E$29:$K$29</c:f>
              <c:numCache>
                <c:formatCode>General</c:formatCode>
                <c:ptCount val="7"/>
                <c:pt idx="2" formatCode="0.0">
                  <c:v>2.1971520599352496</c:v>
                </c:pt>
                <c:pt idx="3" formatCode="0.0">
                  <c:v>1.9897857639895191</c:v>
                </c:pt>
                <c:pt idx="4" formatCode="0.0">
                  <c:v>1.7391501874591762</c:v>
                </c:pt>
                <c:pt idx="5" formatCode="0.0">
                  <c:v>1.558223217129086</c:v>
                </c:pt>
                <c:pt idx="6" formatCode="0.0">
                  <c:v>1.3329281340658117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4-403C-96FA-A006BCE1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792464"/>
        <c:axId val="997792880"/>
      </c:barChart>
      <c:catAx>
        <c:axId val="9977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880"/>
        <c:crosses val="autoZero"/>
        <c:auto val="1"/>
        <c:lblAlgn val="ctr"/>
        <c:lblOffset val="100"/>
        <c:noMultiLvlLbl val="0"/>
      </c:catAx>
      <c:valAx>
        <c:axId val="9977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Million NZUs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200"/>
              <a:t>Example surplus reduction volumes with update in 2024 and CCR removal</a:t>
            </a:r>
            <a:r>
              <a:rPr lang="en-NZ" sz="1200" baseline="0"/>
              <a:t> </a:t>
            </a:r>
            <a:r>
              <a:rPr lang="en-NZ" sz="1200"/>
              <a:t>by 2030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364861738434873E-2"/>
          <c:y val="0.13307457921442278"/>
          <c:w val="0.87949602018304107"/>
          <c:h val="0.584951841310641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'Surplus &amp; CCR reduction volumes'!$B$30</c:f>
              <c:strCache>
                <c:ptCount val="1"/>
                <c:pt idx="0">
                  <c:v>Base annual surplus volumes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'Surplus &amp; CCR reduction volumes'!$E$16:$K$16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'Surplus &amp; CCR reduction volumes'!$E$22:$K$22</c:f>
              <c:numCache>
                <c:formatCode>General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 formatCode="0.0">
                  <c:v>5.3689842110371888</c:v>
                </c:pt>
                <c:pt idx="5" formatCode="0.0">
                  <c:v>4.6194592307393423</c:v>
                </c:pt>
                <c:pt idx="6" formatCode="0.0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2-4D12-AB64-B43D10CE0078}"/>
            </c:ext>
          </c:extLst>
        </c:ser>
        <c:ser>
          <c:idx val="1"/>
          <c:order val="1"/>
          <c:tx>
            <c:strRef>
              <c:f>'Surplus &amp; CCR reduction volumes'!$B$39</c:f>
              <c:strCache>
                <c:ptCount val="1"/>
                <c:pt idx="0">
                  <c:v>SUM surplus discrepency adjustment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'Surplus &amp; CCR reduction volumes'!$E$39:$K$39</c:f>
              <c:numCache>
                <c:formatCode>_-* #,##0.0_-;\-* #,##0.0_-;_-* "-"??_-;_-@_-</c:formatCode>
                <c:ptCount val="7"/>
                <c:pt idx="0">
                  <c:v>0.55081784243511023</c:v>
                </c:pt>
                <c:pt idx="1">
                  <c:v>0.50755556050901129</c:v>
                </c:pt>
                <c:pt idx="2">
                  <c:v>0.45956741393779077</c:v>
                </c:pt>
                <c:pt idx="3">
                  <c:v>0.41619363289486816</c:v>
                </c:pt>
                <c:pt idx="4">
                  <c:v>0.36376943074371998</c:v>
                </c:pt>
                <c:pt idx="5">
                  <c:v>0.32592583248650647</c:v>
                </c:pt>
                <c:pt idx="6">
                  <c:v>0.27880197584303867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42-4D12-AB64-B43D10CE0078}"/>
            </c:ext>
          </c:extLst>
        </c:ser>
        <c:ser>
          <c:idx val="2"/>
          <c:order val="2"/>
          <c:tx>
            <c:strRef>
              <c:f>'Surplus &amp; CCR reduction volumes'!$B$40</c:f>
              <c:strCache>
                <c:ptCount val="1"/>
                <c:pt idx="0">
                  <c:v>CCR adjustment over 2024-2030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'Surplus &amp; CCR reduction volumes'!$E$40:$K$40</c:f>
              <c:numCache>
                <c:formatCode>_-* #,##0.0_-;\-* #,##0.0_-;_-* "-"??_-;_-@_-</c:formatCode>
                <c:ptCount val="7"/>
                <c:pt idx="0">
                  <c:v>1.5181198346341527</c:v>
                </c:pt>
                <c:pt idx="1">
                  <c:v>1.3988838128066958</c:v>
                </c:pt>
                <c:pt idx="2">
                  <c:v>1.2666227429491355</c:v>
                </c:pt>
                <c:pt idx="3">
                  <c:v>1.1470794162238456</c:v>
                </c:pt>
                <c:pt idx="4">
                  <c:v>1.0025920467721123</c:v>
                </c:pt>
                <c:pt idx="5">
                  <c:v>0.89829056504411176</c:v>
                </c:pt>
                <c:pt idx="6">
                  <c:v>0.76841158156994682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42-4D12-AB64-B43D10CE0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792464"/>
        <c:axId val="997792880"/>
      </c:barChart>
      <c:catAx>
        <c:axId val="9977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880"/>
        <c:crosses val="autoZero"/>
        <c:auto val="1"/>
        <c:lblAlgn val="ctr"/>
        <c:lblOffset val="100"/>
        <c:noMultiLvlLbl val="0"/>
      </c:catAx>
      <c:valAx>
        <c:axId val="9977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Million NZUs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200" b="0" i="0" baseline="0">
                <a:effectLst/>
              </a:rPr>
              <a:t>Example surplus reduction volumes with update in 2024 and CCR removal by 2028</a:t>
            </a:r>
            <a:endParaRPr lang="en-N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43064891012095E-2"/>
          <c:y val="9.944391135611029E-2"/>
          <c:w val="0.87669425312965377"/>
          <c:h val="0.622797925985825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'Surplus &amp; CCR reduction volumes'!$B$30</c:f>
              <c:strCache>
                <c:ptCount val="1"/>
                <c:pt idx="0">
                  <c:v>Base annual surplus volumes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'Surplus &amp; CCR reduction volumes'!$E$16:$K$16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'Surplus &amp; CCR reduction volumes'!$E$22:$K$22</c:f>
              <c:numCache>
                <c:formatCode>General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 formatCode="0.0">
                  <c:v>5.3689842110371888</c:v>
                </c:pt>
                <c:pt idx="5" formatCode="0.0">
                  <c:v>4.6194592307393423</c:v>
                </c:pt>
                <c:pt idx="6" formatCode="0.0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6-4A8B-92EF-4A64A5E55CBE}"/>
            </c:ext>
          </c:extLst>
        </c:ser>
        <c:ser>
          <c:idx val="1"/>
          <c:order val="1"/>
          <c:tx>
            <c:strRef>
              <c:f>'Surplus &amp; CCR reduction volumes'!$B$48</c:f>
              <c:strCache>
                <c:ptCount val="1"/>
                <c:pt idx="0">
                  <c:v>SUM surplus discrepency adjustment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'Surplus &amp; CCR reduction volumes'!$E$48:$K$48</c:f>
              <c:numCache>
                <c:formatCode>_-* #,##0.0_-;\-* #,##0.0_-;_-* "-"??_-;_-@_-</c:formatCode>
                <c:ptCount val="7"/>
                <c:pt idx="0">
                  <c:v>0.55081784243511023</c:v>
                </c:pt>
                <c:pt idx="1">
                  <c:v>0.50755556050901129</c:v>
                </c:pt>
                <c:pt idx="2">
                  <c:v>0.45956741393779071</c:v>
                </c:pt>
                <c:pt idx="3">
                  <c:v>0.41619363289486805</c:v>
                </c:pt>
                <c:pt idx="4">
                  <c:v>0.36376943074371998</c:v>
                </c:pt>
                <c:pt idx="5">
                  <c:v>0.32592583248650642</c:v>
                </c:pt>
                <c:pt idx="6">
                  <c:v>0.27880197584303862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6-4A8B-92EF-4A64A5E55CBE}"/>
            </c:ext>
          </c:extLst>
        </c:ser>
        <c:ser>
          <c:idx val="2"/>
          <c:order val="2"/>
          <c:tx>
            <c:strRef>
              <c:f>'Surplus &amp; CCR reduction volumes'!$B$49</c:f>
              <c:strCache>
                <c:ptCount val="1"/>
                <c:pt idx="0">
                  <c:v>CCR adjustment over 2024-2028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6-4A8B-92EF-4A64A5E55C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76-4A8B-92EF-4A64A5E55C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'Surplus &amp; CCR reduction volumes'!$E$49:$K$49</c:f>
              <c:numCache>
                <c:formatCode>0.0</c:formatCode>
                <c:ptCount val="7"/>
                <c:pt idx="0">
                  <c:v>1.9176357970563818</c:v>
                </c:pt>
                <c:pt idx="1">
                  <c:v>1.7670210309894925</c:v>
                </c:pt>
                <c:pt idx="2">
                  <c:v>1.5999534805039579</c:v>
                </c:pt>
                <c:pt idx="3">
                  <c:v>1.4489505376546756</c:v>
                </c:pt>
                <c:pt idx="4">
                  <c:v>1.266439153795492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6-4A8B-92EF-4A64A5E55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792464"/>
        <c:axId val="997792880"/>
      </c:barChart>
      <c:catAx>
        <c:axId val="9977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880"/>
        <c:crosses val="autoZero"/>
        <c:auto val="1"/>
        <c:lblAlgn val="ctr"/>
        <c:lblOffset val="100"/>
        <c:noMultiLvlLbl val="0"/>
      </c:catAx>
      <c:valAx>
        <c:axId val="9977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Million NZUs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105103014720354E-2"/>
          <c:y val="0.83102450133657946"/>
          <c:w val="0.82826661164919779"/>
          <c:h val="0.14175814127594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200" b="0" i="0" baseline="0">
                <a:effectLst/>
              </a:rPr>
              <a:t>Example surplus reduction volumes with update in 2024 and CCR removal by 2025</a:t>
            </a:r>
            <a:endParaRPr lang="en-NZ" sz="1200">
              <a:effectLst/>
            </a:endParaRPr>
          </a:p>
        </c:rich>
      </c:tx>
      <c:layout>
        <c:manualLayout>
          <c:xMode val="edge"/>
          <c:yMode val="edge"/>
          <c:x val="0.119580815603772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857094588652425E-2"/>
          <c:y val="9.1950646602325353E-2"/>
          <c:w val="0.87096241134736374"/>
          <c:h val="0.63899079769513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'Surplus &amp; CCR reduction volumes'!$B$30</c:f>
              <c:strCache>
                <c:ptCount val="1"/>
                <c:pt idx="0">
                  <c:v>Base annual surplus volumes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'Surplus &amp; CCR reduction volumes'!$E$16:$K$16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'Surplus &amp; CCR reduction volumes'!$E$22:$K$22</c:f>
              <c:numCache>
                <c:formatCode>General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 formatCode="0.0">
                  <c:v>5.3689842110371888</c:v>
                </c:pt>
                <c:pt idx="5" formatCode="0.0">
                  <c:v>4.6194592307393423</c:v>
                </c:pt>
                <c:pt idx="6" formatCode="0.0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3-4285-A5C2-02FEA3D994B3}"/>
            </c:ext>
          </c:extLst>
        </c:ser>
        <c:ser>
          <c:idx val="1"/>
          <c:order val="1"/>
          <c:tx>
            <c:strRef>
              <c:f>'Surplus &amp; CCR reduction volumes'!$B$57</c:f>
              <c:strCache>
                <c:ptCount val="1"/>
                <c:pt idx="0">
                  <c:v>SUM surplus discrepency adjustment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'Surplus &amp; CCR reduction volumes'!$E$57:$K$57</c:f>
              <c:numCache>
                <c:formatCode>0.0</c:formatCode>
                <c:ptCount val="7"/>
                <c:pt idx="0">
                  <c:v>0.55081784243511023</c:v>
                </c:pt>
                <c:pt idx="1">
                  <c:v>0.50755556050901129</c:v>
                </c:pt>
                <c:pt idx="2">
                  <c:v>0.45956741393779071</c:v>
                </c:pt>
                <c:pt idx="3">
                  <c:v>0.41619363289486805</c:v>
                </c:pt>
                <c:pt idx="4">
                  <c:v>0.36376943074371998</c:v>
                </c:pt>
                <c:pt idx="5" formatCode="_-* #,##0.0_-;\-* #,##0.0_-;_-* &quot;-&quot;??_-;_-@_-">
                  <c:v>0.32592583248650642</c:v>
                </c:pt>
                <c:pt idx="6" formatCode="_-* #,##0.0_-;\-* #,##0.0_-;_-* &quot;-&quot;??_-;_-@_-">
                  <c:v>0.27880197584303862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3-4285-A5C2-02FEA3D994B3}"/>
            </c:ext>
          </c:extLst>
        </c:ser>
        <c:ser>
          <c:idx val="2"/>
          <c:order val="2"/>
          <c:tx>
            <c:strRef>
              <c:f>'Surplus &amp; CCR reduction volumes'!$B$58</c:f>
              <c:strCache>
                <c:ptCount val="1"/>
                <c:pt idx="0">
                  <c:v>CCR adjustment over 2024-2025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3-4285-A5C2-02FEA3D994B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3-4285-A5C2-02FEA3D994B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93-4285-A5C2-02FEA3D994B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93-4285-A5C2-02FEA3D994B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93-4285-A5C2-02FEA3D99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'Surplus &amp; CCR reduction volumes'!$E$58:$K$58</c:f>
              <c:numCache>
                <c:formatCode>0.0</c:formatCode>
                <c:ptCount val="7"/>
                <c:pt idx="0">
                  <c:v>4.163504796344105</c:v>
                </c:pt>
                <c:pt idx="1">
                  <c:v>3.836495203655895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3-4285-A5C2-02FEA3D9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792464"/>
        <c:axId val="997792880"/>
      </c:barChart>
      <c:catAx>
        <c:axId val="9977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880"/>
        <c:crosses val="autoZero"/>
        <c:auto val="1"/>
        <c:lblAlgn val="ctr"/>
        <c:lblOffset val="100"/>
        <c:noMultiLvlLbl val="0"/>
      </c:catAx>
      <c:valAx>
        <c:axId val="9977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Million NZUs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9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744041563513184E-2"/>
          <c:y val="0.83577044980368609"/>
          <c:w val="0.83541862414886858"/>
          <c:h val="0.137776636036367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Status</a:t>
            </a:r>
            <a:r>
              <a:rPr lang="en-NZ" baseline="0"/>
              <a:t> quo</a:t>
            </a:r>
            <a:endParaRPr lang="en-NZ"/>
          </a:p>
        </c:rich>
      </c:tx>
      <c:layout>
        <c:manualLayout>
          <c:xMode val="edge"/>
          <c:yMode val="edge"/>
          <c:x val="0.41519486874667888"/>
          <c:y val="4.3577544868572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64938515978898"/>
          <c:y val="4.8747244664060996E-2"/>
          <c:w val="0.638725350830746"/>
          <c:h val="0.8484480615031807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'Auction volumes'!$B$11</c:f>
              <c:strCache>
                <c:ptCount val="1"/>
                <c:pt idx="0">
                  <c:v> NZU auction volumes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'Auction volumes'!$C$3:$G$3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'Auction volumes'!$C$11:$G$11</c:f>
              <c:numCache>
                <c:formatCode>General</c:formatCode>
                <c:ptCount val="5"/>
                <c:pt idx="0">
                  <c:v>17.899999999999999</c:v>
                </c:pt>
                <c:pt idx="1">
                  <c:v>17.099999999999994</c:v>
                </c:pt>
                <c:pt idx="2">
                  <c:v>15.300000000000002</c:v>
                </c:pt>
                <c:pt idx="3">
                  <c:v>13.500000000000004</c:v>
                </c:pt>
                <c:pt idx="4">
                  <c:v>11.699999999999994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2-431B-B290-355DD090B8A2}"/>
            </c:ext>
          </c:extLst>
        </c:ser>
        <c:ser>
          <c:idx val="2"/>
          <c:order val="2"/>
          <c:tx>
            <c:strRef>
              <c:f>'Auction volumes'!$B$7</c:f>
              <c:strCache>
                <c:ptCount val="1"/>
                <c:pt idx="0">
                  <c:v>Technical adjustments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'Auction volumes'!$C$3:$G$3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'Auction volumes'!$D$7:$H$7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2-431B-B290-355DD090B8A2}"/>
            </c:ext>
          </c:extLst>
        </c:ser>
        <c:ser>
          <c:idx val="3"/>
          <c:order val="3"/>
          <c:tx>
            <c:strRef>
              <c:f>'Auction volumes'!$B$8</c:f>
              <c:strCache>
                <c:ptCount val="1"/>
                <c:pt idx="0">
                  <c:v>Industrial free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'Auction volumes'!$C$3:$G$3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'Auction volumes'!$C$8:$G$8</c:f>
              <c:numCache>
                <c:formatCode>_-* #,##0.0_-;\-* #,##0.0_-;_-* "-"??_-;_-@_-</c:formatCode>
                <c:ptCount val="5"/>
                <c:pt idx="0">
                  <c:v>6.4</c:v>
                </c:pt>
                <c:pt idx="1">
                  <c:v>6.3</c:v>
                </c:pt>
                <c:pt idx="2">
                  <c:v>6.3</c:v>
                </c:pt>
                <c:pt idx="3">
                  <c:v>6.2</c:v>
                </c:pt>
                <c:pt idx="4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2-431B-B290-355DD090B8A2}"/>
            </c:ext>
          </c:extLst>
        </c:ser>
        <c:ser>
          <c:idx val="4"/>
          <c:order val="4"/>
          <c:tx>
            <c:strRef>
              <c:f>'Auction volumes'!$B$9</c:f>
              <c:strCache>
                <c:ptCount val="1"/>
                <c:pt idx="0">
                  <c:v>Surplus reduction volume</c:v>
                </c:pt>
              </c:strCache>
            </c:strRef>
          </c:tx>
          <c:spPr>
            <a:pattFill prst="wdUp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'Auction volumes'!$C$3:$G$3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'Auction volumes'!$C$9:$G$9</c:f>
              <c:numCache>
                <c:formatCode>_-* #,##0.0_-;\-* #,##0.0_-;_-* "-"??_-;_-@_-</c:formatCode>
                <c:ptCount val="5"/>
                <c:pt idx="0">
                  <c:v>8</c:v>
                </c:pt>
                <c:pt idx="1">
                  <c:v>7.7</c:v>
                </c:pt>
                <c:pt idx="2">
                  <c:v>7.1</c:v>
                </c:pt>
                <c:pt idx="3">
                  <c:v>6.5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72-431B-B290-355DD090B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23934367"/>
        <c:axId val="523955583"/>
      </c:barChart>
      <c:lineChart>
        <c:grouping val="standard"/>
        <c:varyColors val="0"/>
        <c:ser>
          <c:idx val="0"/>
          <c:order val="0"/>
          <c:tx>
            <c:strRef>
              <c:f>'Auction volumes'!$B$6</c:f>
              <c:strCache>
                <c:ptCount val="1"/>
                <c:pt idx="0">
                  <c:v>NZ ETS cap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'Auction volumes'!$C$3:$G$3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'Auction volumes'!$C$6:$G$6</c:f>
              <c:numCache>
                <c:formatCode>_-* #,##0.0_-;\-* #,##0.0_-;_-* "-"??_-;_-@_-</c:formatCode>
                <c:ptCount val="5"/>
                <c:pt idx="0">
                  <c:v>32.299999999999997</c:v>
                </c:pt>
                <c:pt idx="1">
                  <c:v>31.099999999999994</c:v>
                </c:pt>
                <c:pt idx="2">
                  <c:v>28.700000000000003</c:v>
                </c:pt>
                <c:pt idx="3">
                  <c:v>26.200000000000003</c:v>
                </c:pt>
                <c:pt idx="4">
                  <c:v>23.699999999999996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72-431B-B290-355DD090B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34367"/>
        <c:axId val="523955583"/>
      </c:lineChart>
      <c:catAx>
        <c:axId val="52393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55583"/>
        <c:crosses val="autoZero"/>
        <c:auto val="1"/>
        <c:lblAlgn val="ctr"/>
        <c:lblOffset val="100"/>
        <c:noMultiLvlLbl val="0"/>
      </c:catAx>
      <c:valAx>
        <c:axId val="52395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NZUs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3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5860334463737322"/>
          <c:y val="0.19255719950045413"/>
          <c:w val="0.24139665536262686"/>
          <c:h val="0.60878922940620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Example</a:t>
            </a:r>
            <a:r>
              <a:rPr lang="en-NZ" baseline="0"/>
              <a:t> calculations with change from 2024 with CCR removal by 2030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64938515978898"/>
          <c:y val="0.10851379317570291"/>
          <c:w val="0.83201022074080522"/>
          <c:h val="0.68660630316267457"/>
        </c:manualLayout>
      </c:layout>
      <c:barChart>
        <c:barDir val="col"/>
        <c:grouping val="stacked"/>
        <c:varyColors val="0"/>
        <c:ser>
          <c:idx val="1"/>
          <c:order val="1"/>
          <c:tx>
            <c:v>Auction volume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volumes'!$D$27:$K$27</c15:sqref>
                  </c15:fullRef>
                </c:ext>
              </c:extLst>
              <c:f>('Auction volumes'!$D$27:$H$27,'Auction volumes'!$J$27:$K$27)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volumes'!$D$37:$K$37</c15:sqref>
                  </c15:fullRef>
                </c:ext>
              </c:extLst>
              <c:f>('Auction volumes'!$D$37:$H$37,'Auction volumes'!$J$37:$K$37)</c:f>
              <c:numCache>
                <c:formatCode>_-* #,##0.0_-;\-* #,##0.0_-;_-* "-"?_-;_-@_-</c:formatCode>
                <c:ptCount val="7"/>
                <c:pt idx="0">
                  <c:v>12.03545431043109</c:v>
                </c:pt>
                <c:pt idx="1">
                  <c:v>10.671572354419688</c:v>
                </c:pt>
                <c:pt idx="2">
                  <c:v>8.9819787703850089</c:v>
                </c:pt>
                <c:pt idx="3">
                  <c:v>7.5284753991564033</c:v>
                </c:pt>
                <c:pt idx="4">
                  <c:v>5.5498236628203337</c:v>
                </c:pt>
                <c:pt idx="5">
                  <c:v>4.5157099610755687</c:v>
                </c:pt>
                <c:pt idx="6">
                  <c:v>3.3587625935134473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E-4180-8337-A6789E214FE7}"/>
            </c:ext>
          </c:extLst>
        </c:ser>
        <c:ser>
          <c:idx val="3"/>
          <c:order val="2"/>
          <c:tx>
            <c:v>Free allocation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volumes'!$D$27:$K$27</c15:sqref>
                  </c15:fullRef>
                </c:ext>
              </c:extLst>
              <c:f>('Auction volumes'!$D$27:$H$27,'Auction volumes'!$J$27:$K$27)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volumes'!$D$32:$K$32</c15:sqref>
                  </c15:fullRef>
                </c:ext>
              </c:extLst>
              <c:f>('Auction volumes'!$D$32:$H$32,'Auction volumes'!$J$32:$K$32)</c:f>
              <c:numCache>
                <c:formatCode>_-* #,##0.0_-;\-* #,##0.0_-;_-* "-"??_-;_-@_-</c:formatCode>
                <c:ptCount val="7"/>
                <c:pt idx="0">
                  <c:v>6.1399007773333327</c:v>
                </c:pt>
                <c:pt idx="1">
                  <c:v>6.0659297566666677</c:v>
                </c:pt>
                <c:pt idx="2">
                  <c:v>5.991958736</c:v>
                </c:pt>
                <c:pt idx="3">
                  <c:v>5.9179877153333331</c:v>
                </c:pt>
                <c:pt idx="4">
                  <c:v>5.8440166946666663</c:v>
                </c:pt>
                <c:pt idx="5">
                  <c:v>5.7700456739999995</c:v>
                </c:pt>
                <c:pt idx="6">
                  <c:v>5.2766826533333333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E-4180-8337-A6789E214FE7}"/>
            </c:ext>
          </c:extLst>
        </c:ser>
        <c:ser>
          <c:idx val="4"/>
          <c:order val="3"/>
          <c:tx>
            <c:strRef>
              <c:f>'Auction volumes'!$B$46</c:f>
              <c:strCache>
                <c:ptCount val="1"/>
                <c:pt idx="0">
                  <c:v>Base surplus</c:v>
                </c:pt>
              </c:strCache>
            </c:strRef>
          </c:tx>
          <c:spPr>
            <a:pattFill prst="lgCheck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volumes'!$D$27:$K$27</c15:sqref>
                  </c15:fullRef>
                </c:ext>
              </c:extLst>
              <c:f>('Auction volumes'!$D$27:$H$27,'Auction volumes'!$J$27:$K$27)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volumes'!$D$33:$K$33</c15:sqref>
                  </c15:fullRef>
                </c:ext>
              </c:extLst>
              <c:f>('Auction volumes'!$D$33:$H$33,'Auction volumes'!$J$33:$K$33)</c:f>
              <c:numCache>
                <c:formatCode>_-* #,##0.0_-;\-* #,##0.0_-;_-* "-"??_-;_-@_-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>
                  <c:v>5.3689842110371888</c:v>
                </c:pt>
                <c:pt idx="5">
                  <c:v>4.6194592307393423</c:v>
                </c:pt>
                <c:pt idx="6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E-4180-8337-A6789E214FE7}"/>
            </c:ext>
          </c:extLst>
        </c:ser>
        <c:ser>
          <c:idx val="5"/>
          <c:order val="4"/>
          <c:tx>
            <c:strRef>
              <c:f>'Auction volumes'!$B$36</c:f>
              <c:strCache>
                <c:ptCount val="1"/>
                <c:pt idx="0">
                  <c:v>CCR adjustment</c:v>
                </c:pt>
              </c:strCache>
            </c:strRef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5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volumes'!$D$36:$K$36</c15:sqref>
                  </c15:fullRef>
                </c:ext>
              </c:extLst>
              <c:f>('Auction volumes'!$D$36:$H$36,'Auction volumes'!$J$36:$K$36)</c:f>
              <c:numCache>
                <c:formatCode>_-* #,##0.0_-;\-* #,##0.0_-;_-* "-"??_-;_-@_-</c:formatCode>
                <c:ptCount val="7"/>
                <c:pt idx="0">
                  <c:v>1.5181198346341527</c:v>
                </c:pt>
                <c:pt idx="1">
                  <c:v>1.3988838128066958</c:v>
                </c:pt>
                <c:pt idx="2">
                  <c:v>1.2666227429491355</c:v>
                </c:pt>
                <c:pt idx="3">
                  <c:v>1.1470794162238456</c:v>
                </c:pt>
                <c:pt idx="4">
                  <c:v>1.0025920467721123</c:v>
                </c:pt>
                <c:pt idx="5">
                  <c:v>0.89829056504411176</c:v>
                </c:pt>
                <c:pt idx="6">
                  <c:v>0.76841158156994682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E-4180-8337-A6789E214FE7}"/>
            </c:ext>
          </c:extLst>
        </c:ser>
        <c:ser>
          <c:idx val="2"/>
          <c:order val="5"/>
          <c:tx>
            <c:v>Technical adjustment</c:v>
          </c:tx>
          <c:spPr>
            <a:pattFill prst="dkVert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volumes'!$D$27:$K$27</c15:sqref>
                  </c15:fullRef>
                </c:ext>
              </c:extLst>
              <c:f>('Auction volumes'!$D$27:$H$27,'Auction volumes'!$J$27:$K$27)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volumes'!$D$31:$K$31</c15:sqref>
                  </c15:fullRef>
                </c:ext>
              </c:extLst>
              <c:f>('Auction volumes'!$D$31:$H$31,'Auction volumes'!$J$31:$K$31)</c:f>
              <c:numCache>
                <c:formatCode>_-* #,##0.0_-;\-* #,##0.0_-;_-* "-"??_-;_-@_-</c:formatCode>
                <c:ptCount val="7"/>
                <c:pt idx="0">
                  <c:v>1.447528957004016</c:v>
                </c:pt>
                <c:pt idx="1">
                  <c:v>1.3393906067614523</c:v>
                </c:pt>
                <c:pt idx="2">
                  <c:v>1.3225411012512682</c:v>
                </c:pt>
                <c:pt idx="3">
                  <c:v>1.2984933405965164</c:v>
                </c:pt>
                <c:pt idx="4">
                  <c:v>1.2816707428508949</c:v>
                </c:pt>
                <c:pt idx="5">
                  <c:v>1.2620786424242185</c:v>
                </c:pt>
                <c:pt idx="6">
                  <c:v>1.2427500122178776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EE-4180-8337-A6789E214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523934367"/>
        <c:axId val="523955583"/>
      </c:barChart>
      <c:lineChart>
        <c:grouping val="standard"/>
        <c:varyColors val="0"/>
        <c:ser>
          <c:idx val="0"/>
          <c:order val="0"/>
          <c:tx>
            <c:v>NZ ETS Cap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volumes'!$D$27:$K$27</c15:sqref>
                  </c15:fullRef>
                </c:ext>
              </c:extLst>
              <c:f>('Auction volumes'!$D$27:$H$27,'Auction volumes'!$J$27:$K$27)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volumes'!$D$30:$K$30</c15:sqref>
                  </c15:fullRef>
                </c:ext>
              </c:extLst>
              <c:f>('Auction volumes'!$D$30:$H$30,'Auction volumes'!$J$30:$K$30)</c:f>
              <c:numCache>
                <c:formatCode>_-* #,##0.0_-;\-* #,##0.0_-;_-* "-"??_-;_-@_-</c:formatCode>
                <c:ptCount val="7"/>
                <c:pt idx="0">
                  <c:v>29.391821721837701</c:v>
                </c:pt>
                <c:pt idx="1">
                  <c:v>27.083332091163513</c:v>
                </c:pt>
                <c:pt idx="2">
                  <c:v>24.522668764523203</c:v>
                </c:pt>
                <c:pt idx="3">
                  <c:v>22.208229504204965</c:v>
                </c:pt>
                <c:pt idx="4">
                  <c:v>19.410856788890918</c:v>
                </c:pt>
                <c:pt idx="5">
                  <c:v>17.391509905769745</c:v>
                </c:pt>
                <c:pt idx="6">
                  <c:v>14.876965374701093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EE-4180-8337-A6789E214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34367"/>
        <c:axId val="523955583"/>
      </c:lineChart>
      <c:catAx>
        <c:axId val="52393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55583"/>
        <c:crosses val="autoZero"/>
        <c:auto val="1"/>
        <c:lblAlgn val="ctr"/>
        <c:lblOffset val="100"/>
        <c:noMultiLvlLbl val="0"/>
      </c:catAx>
      <c:valAx>
        <c:axId val="52395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NZUs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3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691296959857521E-2"/>
          <c:y val="0.86971300629724635"/>
          <c:w val="0.96830866790477155"/>
          <c:h val="0.12696889093770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200" b="0" i="0" baseline="0">
                <a:effectLst/>
              </a:rPr>
              <a:t>Example calculations with change from 2024 with CCR removal by 2028</a:t>
            </a:r>
            <a:endParaRPr lang="en-N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68731934753752"/>
          <c:y val="8.9989151451476193E-2"/>
          <c:w val="0.81365352269301783"/>
          <c:h val="0.708616773440507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'Auction volumes'!$B$37</c:f>
              <c:strCache>
                <c:ptCount val="1"/>
                <c:pt idx="0">
                  <c:v> NZU auction volumes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volumes'!$D$40:$K$40</c15:sqref>
                  </c15:fullRef>
                </c:ext>
              </c:extLst>
              <c:f>('Auction volumes'!$D$40:$H$40,'Auction volumes'!$J$40:$K$40)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volumes'!$D$50:$K$50</c15:sqref>
                  </c15:fullRef>
                </c:ext>
              </c:extLst>
              <c:f>('Auction volumes'!$D$50:$H$50,'Auction volumes'!$J$50:$K$50)</c:f>
              <c:numCache>
                <c:formatCode>_-* #,##0.0_-;\-* #,##0.0_-;_-* "-"?_-;_-@_-</c:formatCode>
                <c:ptCount val="7"/>
                <c:pt idx="0">
                  <c:v>11.63593834800886</c:v>
                </c:pt>
                <c:pt idx="1">
                  <c:v>10.303435136236892</c:v>
                </c:pt>
                <c:pt idx="2">
                  <c:v>8.6486480328301862</c:v>
                </c:pt>
                <c:pt idx="3">
                  <c:v>7.2266042777255732</c:v>
                </c:pt>
                <c:pt idx="4">
                  <c:v>5.285976555796954</c:v>
                </c:pt>
                <c:pt idx="5">
                  <c:v>5.41400052611968</c:v>
                </c:pt>
                <c:pt idx="6">
                  <c:v>4.1271741750833941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8-47CC-84F7-B63F880BF963}"/>
            </c:ext>
          </c:extLst>
        </c:ser>
        <c:ser>
          <c:idx val="3"/>
          <c:order val="1"/>
          <c:tx>
            <c:strRef>
              <c:f>'Auction volumes'!$B$32</c:f>
              <c:strCache>
                <c:ptCount val="1"/>
                <c:pt idx="0">
                  <c:v>Free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volumes'!$D$40:$K$40</c15:sqref>
                  </c15:fullRef>
                </c:ext>
              </c:extLst>
              <c:f>('Auction volumes'!$D$40:$H$40,'Auction volumes'!$J$40:$K$40)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volumes'!$D$45:$K$45</c15:sqref>
                  </c15:fullRef>
                </c:ext>
              </c:extLst>
              <c:f>('Auction volumes'!$D$45:$H$45,'Auction volumes'!$J$45:$K$45)</c:f>
              <c:numCache>
                <c:formatCode>_-* #,##0.0_-;\-* #,##0.0_-;_-* "-"??_-;_-@_-</c:formatCode>
                <c:ptCount val="7"/>
                <c:pt idx="0">
                  <c:v>6.1399007773333327</c:v>
                </c:pt>
                <c:pt idx="1">
                  <c:v>6.0659297566666677</c:v>
                </c:pt>
                <c:pt idx="2">
                  <c:v>5.991958736</c:v>
                </c:pt>
                <c:pt idx="3">
                  <c:v>5.9179877153333331</c:v>
                </c:pt>
                <c:pt idx="4">
                  <c:v>5.8440166946666663</c:v>
                </c:pt>
                <c:pt idx="5">
                  <c:v>5.7700456739999995</c:v>
                </c:pt>
                <c:pt idx="6">
                  <c:v>5.2766826533333333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B8-47CC-84F7-B63F880BF963}"/>
            </c:ext>
          </c:extLst>
        </c:ser>
        <c:ser>
          <c:idx val="4"/>
          <c:order val="2"/>
          <c:tx>
            <c:strRef>
              <c:f>'Auction volumes'!$B$46</c:f>
              <c:strCache>
                <c:ptCount val="1"/>
                <c:pt idx="0">
                  <c:v>Base surplus</c:v>
                </c:pt>
              </c:strCache>
            </c:strRef>
          </c:tx>
          <c:spPr>
            <a:pattFill prst="lgCheck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volumes'!$D$40:$K$40</c15:sqref>
                  </c15:fullRef>
                </c:ext>
              </c:extLst>
              <c:f>('Auction volumes'!$D$40:$H$40,'Auction volumes'!$J$40:$K$40)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volumes'!$D$46:$K$46</c15:sqref>
                  </c15:fullRef>
                </c:ext>
              </c:extLst>
              <c:f>('Auction volumes'!$D$46:$H$46,'Auction volumes'!$J$46:$K$46)</c:f>
              <c:numCache>
                <c:formatCode>_-* #,##0.0_-;\-* #,##0.0_-;_-* "-"??_-;_-@_-</c:formatCode>
                <c:ptCount val="7"/>
                <c:pt idx="0">
                  <c:v>7.7</c:v>
                </c:pt>
                <c:pt idx="1">
                  <c:v>7.1</c:v>
                </c:pt>
                <c:pt idx="2">
                  <c:v>6.5</c:v>
                </c:pt>
                <c:pt idx="3">
                  <c:v>5.9</c:v>
                </c:pt>
                <c:pt idx="4">
                  <c:v>5.3689842110371888</c:v>
                </c:pt>
                <c:pt idx="5">
                  <c:v>4.6194592307393423</c:v>
                </c:pt>
                <c:pt idx="6">
                  <c:v>3.9515565582234498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B8-47CC-84F7-B63F880BF963}"/>
            </c:ext>
          </c:extLst>
        </c:ser>
        <c:ser>
          <c:idx val="5"/>
          <c:order val="3"/>
          <c:tx>
            <c:strRef>
              <c:f>'Auction volumes'!$B$49</c:f>
              <c:strCache>
                <c:ptCount val="1"/>
                <c:pt idx="0">
                  <c:v>CCR adjustment</c:v>
                </c:pt>
              </c:strCache>
            </c:strRef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1.0011253537330509E-3"/>
                  <c:y val="-1.30361856846833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178165312422983E-2"/>
                      <c:h val="5.3245623310682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B8-47CC-84F7-B63F880BF96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8-47CC-84F7-B63F880BF96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4-45FB-8B6A-8E70391758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volumes'!$D$40:$K$40</c15:sqref>
                  </c15:fullRef>
                </c:ext>
              </c:extLst>
              <c:f>('Auction volumes'!$D$40:$H$40,'Auction volumes'!$J$40:$K$40)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volumes'!$D$49:$K$49</c15:sqref>
                  </c15:fullRef>
                </c:ext>
              </c:extLst>
              <c:f>('Auction volumes'!$D$49:$H$49,'Auction volumes'!$J$49:$K$49)</c:f>
              <c:numCache>
                <c:formatCode>_-* #,##0.0_-;\-* #,##0.0_-;_-* "-"??_-;_-@_-</c:formatCode>
                <c:ptCount val="7"/>
                <c:pt idx="0">
                  <c:v>1.9176357970563818</c:v>
                </c:pt>
                <c:pt idx="1">
                  <c:v>1.7670210309894925</c:v>
                </c:pt>
                <c:pt idx="2">
                  <c:v>1.5999534805039579</c:v>
                </c:pt>
                <c:pt idx="3">
                  <c:v>1.4489505376546756</c:v>
                </c:pt>
                <c:pt idx="4">
                  <c:v>1.266439153795492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B8-47CC-84F7-B63F880BF963}"/>
            </c:ext>
          </c:extLst>
        </c:ser>
        <c:ser>
          <c:idx val="2"/>
          <c:order val="4"/>
          <c:tx>
            <c:strRef>
              <c:f>'Auction volumes'!$B$44</c:f>
              <c:strCache>
                <c:ptCount val="1"/>
                <c:pt idx="0">
                  <c:v>Technical adjustments</c:v>
                </c:pt>
              </c:strCache>
            </c:strRef>
          </c:tx>
          <c:spPr>
            <a:pattFill prst="dkVert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'Auction volumes'!$D$40:$K$40</c15:sqref>
                  </c15:fullRef>
                </c:ext>
              </c:extLst>
              <c:f>('Auction volumes'!$D$40:$H$40,'Auction volumes'!$J$40:$K$40)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volumes'!$D$44:$K$44</c15:sqref>
                  </c15:fullRef>
                </c:ext>
              </c:extLst>
              <c:f>('Auction volumes'!$D$44:$H$44,'Auction volumes'!$J$44:$K$44)</c:f>
              <c:numCache>
                <c:formatCode>_-* #,##0.0_-;\-* #,##0.0_-;_-* "-"??_-;_-@_-</c:formatCode>
                <c:ptCount val="7"/>
                <c:pt idx="0">
                  <c:v>1.447528957004016</c:v>
                </c:pt>
                <c:pt idx="1">
                  <c:v>1.3393906067614523</c:v>
                </c:pt>
                <c:pt idx="2">
                  <c:v>1.3225411012512682</c:v>
                </c:pt>
                <c:pt idx="3">
                  <c:v>1.2984933405965164</c:v>
                </c:pt>
                <c:pt idx="4">
                  <c:v>1.2816707428508949</c:v>
                </c:pt>
                <c:pt idx="5">
                  <c:v>1.2620786424242185</c:v>
                </c:pt>
                <c:pt idx="6">
                  <c:v>1.2427500122178776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B8-47CC-84F7-B63F880B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523934367"/>
        <c:axId val="523955583"/>
      </c:barChart>
      <c:lineChart>
        <c:grouping val="standard"/>
        <c:varyColors val="0"/>
        <c:ser>
          <c:idx val="0"/>
          <c:order val="5"/>
          <c:tx>
            <c:strRef>
              <c:f>'Auction volumes'!$B$43</c:f>
              <c:strCache>
                <c:ptCount val="1"/>
                <c:pt idx="0">
                  <c:v>NZ ETS cap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Lit>
              <c:ptCount val="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'Auction volumes'!$D$43:$K$43</c15:sqref>
                  </c15:fullRef>
                </c:ext>
              </c:extLst>
              <c:f>('Auction volumes'!$D$43:$H$43,'Auction volumes'!$J$43:$K$43)</c:f>
              <c:numCache>
                <c:formatCode>_-* #,##0.0_-;\-* #,##0.0_-;_-* "-"??_-;_-@_-</c:formatCode>
                <c:ptCount val="7"/>
                <c:pt idx="0">
                  <c:v>29.391821721837701</c:v>
                </c:pt>
                <c:pt idx="1">
                  <c:v>27.083332091163513</c:v>
                </c:pt>
                <c:pt idx="2">
                  <c:v>24.522668764523203</c:v>
                </c:pt>
                <c:pt idx="3">
                  <c:v>22.208229504204965</c:v>
                </c:pt>
                <c:pt idx="4">
                  <c:v>19.410856788890918</c:v>
                </c:pt>
                <c:pt idx="5">
                  <c:v>17.391509905769745</c:v>
                </c:pt>
                <c:pt idx="6">
                  <c:v>14.876965374701093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B8-47CC-84F7-B63F880B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34367"/>
        <c:axId val="523955583"/>
      </c:lineChart>
      <c:catAx>
        <c:axId val="52393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55583"/>
        <c:crosses val="autoZero"/>
        <c:auto val="1"/>
        <c:lblAlgn val="ctr"/>
        <c:lblOffset val="100"/>
        <c:noMultiLvlLbl val="0"/>
      </c:catAx>
      <c:valAx>
        <c:axId val="52395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NZUs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3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833247500382726E-2"/>
          <c:y val="0.87414221420751514"/>
          <c:w val="0.94567901273218336"/>
          <c:h val="0.1085158346871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400">
                <a:solidFill>
                  <a:sysClr val="windowText" lastClr="000000"/>
                </a:solidFill>
              </a:rPr>
              <a:t>Proposed annual auction volumes (2024-2028)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64938515978898"/>
          <c:y val="0.11614052900405093"/>
          <c:w val="0.83001065417847542"/>
          <c:h val="0.65337822518882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'Auction volumes'!$B$24</c:f>
              <c:strCache>
                <c:ptCount val="1"/>
                <c:pt idx="0">
                  <c:v> NZU auction volumes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'Auction volumes'!$D$1:$H$1</c:f>
              <c:numCache>
                <c:formatCode>General</c:formatCode>
                <c:ptCount val="5"/>
              </c:numCache>
            </c:numRef>
          </c:cat>
          <c:val>
            <c:numRef>
              <c:f>'Auction volumes'!$D$24:$H$24</c:f>
              <c:numCache>
                <c:formatCode>_-* #,##0.0_-;\-* #,##0.0_-;_-* "-"??_-;_-@_-</c:formatCode>
                <c:ptCount val="5"/>
                <c:pt idx="0">
                  <c:v>17.099999999999994</c:v>
                </c:pt>
                <c:pt idx="1">
                  <c:v>15.300000000000002</c:v>
                </c:pt>
                <c:pt idx="2">
                  <c:v>8.5110168673366857</c:v>
                </c:pt>
                <c:pt idx="3">
                  <c:v>7.1019626842855983</c:v>
                </c:pt>
                <c:pt idx="4">
                  <c:v>5.1770349528769906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4252-B0BD-6939359E684D}"/>
            </c:ext>
          </c:extLst>
        </c:ser>
        <c:ser>
          <c:idx val="3"/>
          <c:order val="2"/>
          <c:tx>
            <c:strRef>
              <c:f>'Auction volumes'!$B$19</c:f>
              <c:strCache>
                <c:ptCount val="1"/>
                <c:pt idx="0">
                  <c:v>Free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'Auction volumes'!$D$1:$H$1</c:f>
              <c:numCache>
                <c:formatCode>General</c:formatCode>
                <c:ptCount val="5"/>
              </c:numCache>
            </c:numRef>
          </c:cat>
          <c:val>
            <c:numRef>
              <c:f>'Auction volumes'!$D$19:$H$19</c:f>
              <c:numCache>
                <c:formatCode>General</c:formatCode>
                <c:ptCount val="5"/>
                <c:pt idx="0">
                  <c:v>6.3</c:v>
                </c:pt>
                <c:pt idx="1">
                  <c:v>6.3</c:v>
                </c:pt>
                <c:pt idx="2" formatCode="_-* #,##0.0_-;\-* #,##0.0_-;_-* &quot;-&quot;??_-;_-@_-">
                  <c:v>5.991958736</c:v>
                </c:pt>
                <c:pt idx="3" formatCode="_-* #,##0.0_-;\-* #,##0.0_-;_-* &quot;-&quot;??_-;_-@_-">
                  <c:v>5.9179877153333331</c:v>
                </c:pt>
                <c:pt idx="4" formatCode="_-* #,##0.0_-;\-* #,##0.0_-;_-* &quot;-&quot;??_-;_-@_-">
                  <c:v>5.8440166946666663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1-4252-B0BD-6939359E684D}"/>
            </c:ext>
          </c:extLst>
        </c:ser>
        <c:ser>
          <c:idx val="4"/>
          <c:order val="3"/>
          <c:tx>
            <c:strRef>
              <c:f>'Auction volumes'!$B$20</c:f>
              <c:strCache>
                <c:ptCount val="1"/>
                <c:pt idx="0">
                  <c:v>Base surplus reduction</c:v>
                </c:pt>
              </c:strCache>
            </c:strRef>
          </c:tx>
          <c:spPr>
            <a:pattFill prst="lgCheck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'Auction volumes'!$D$1:$H$1</c:f>
              <c:numCache>
                <c:formatCode>General</c:formatCode>
                <c:ptCount val="5"/>
              </c:numCache>
            </c:numRef>
          </c:cat>
          <c:val>
            <c:numRef>
              <c:f>'Auction volumes'!$D$20:$H$20</c:f>
              <c:numCache>
                <c:formatCode>General</c:formatCode>
                <c:ptCount val="5"/>
                <c:pt idx="0">
                  <c:v>7.7</c:v>
                </c:pt>
                <c:pt idx="1">
                  <c:v>7.1</c:v>
                </c:pt>
                <c:pt idx="2" formatCode="_-* #,##0.0_-;\-* #,##0.0_-;_-* &quot;-&quot;??_-;_-@_-">
                  <c:v>6.5</c:v>
                </c:pt>
                <c:pt idx="3" formatCode="_-* #,##0.0_-;\-* #,##0.0_-;_-* &quot;-&quot;??_-;_-@_-">
                  <c:v>5.9</c:v>
                </c:pt>
                <c:pt idx="4" formatCode="_-* #,##0.0_-;\-* #,##0.0_-;_-* &quot;-&quot;??_-;_-@_-">
                  <c:v>5.3689842110371888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71-4252-B0BD-6939359E684D}"/>
            </c:ext>
          </c:extLst>
        </c:ser>
        <c:ser>
          <c:idx val="5"/>
          <c:order val="4"/>
          <c:tx>
            <c:strRef>
              <c:f>'Auction volumes'!$B$21</c:f>
              <c:strCache>
                <c:ptCount val="1"/>
                <c:pt idx="0">
                  <c:v>Discrepancy adjustment</c:v>
                </c:pt>
              </c:strCache>
            </c:strRef>
          </c:tx>
          <c:spPr>
            <a:pattFill prst="wdUp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'Auction volumes'!$D$21:$H$21</c:f>
              <c:numCache>
                <c:formatCode>General</c:formatCode>
                <c:ptCount val="5"/>
                <c:pt idx="2" formatCode="_-* #,##0.0_-;\-* #,##0.0_-;_-* &quot;-&quot;??_-;_-@_-">
                  <c:v>2.1971520599352496</c:v>
                </c:pt>
                <c:pt idx="3" formatCode="_-* #,##0.0_-;\-* #,##0.0_-;_-* &quot;-&quot;??_-;_-@_-">
                  <c:v>1.9897857639895191</c:v>
                </c:pt>
                <c:pt idx="4" formatCode="_-* #,##0.0_-;\-* #,##0.0_-;_-* &quot;-&quot;??_-;_-@_-">
                  <c:v>1.7391501874591762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71-4252-B0BD-6939359E684D}"/>
            </c:ext>
          </c:extLst>
        </c:ser>
        <c:ser>
          <c:idx val="2"/>
          <c:order val="5"/>
          <c:tx>
            <c:strRef>
              <c:f>'Auction volumes'!$B$18</c:f>
              <c:strCache>
                <c:ptCount val="1"/>
                <c:pt idx="0">
                  <c:v>Technical adjustment</c:v>
                </c:pt>
              </c:strCache>
            </c:strRef>
          </c:tx>
          <c:spPr>
            <a:pattFill prst="dkVert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'Auction volumes'!$D$1:$H$1</c:f>
              <c:numCache>
                <c:formatCode>General</c:formatCode>
                <c:ptCount val="5"/>
              </c:numCache>
            </c:numRef>
          </c:cat>
          <c:val>
            <c:numRef>
              <c:f>'Auction volumes'!$D$18:$H$18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 formatCode="_-* #,##0.0_-;\-* #,##0.0_-;_-* &quot;-&quot;??_-;_-@_-">
                  <c:v>1.3225411012512682</c:v>
                </c:pt>
                <c:pt idx="3" formatCode="_-* #,##0.0_-;\-* #,##0.0_-;_-* &quot;-&quot;??_-;_-@_-">
                  <c:v>1.2984933405965164</c:v>
                </c:pt>
                <c:pt idx="4" formatCode="_-* #,##0.0_-;\-* #,##0.0_-;_-* &quot;-&quot;??_-;_-@_-">
                  <c:v>1.2816707428508949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1-4252-B0BD-6939359E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3934367"/>
        <c:axId val="523955583"/>
      </c:barChart>
      <c:lineChart>
        <c:grouping val="standard"/>
        <c:varyColors val="0"/>
        <c:ser>
          <c:idx val="0"/>
          <c:order val="0"/>
          <c:tx>
            <c:strRef>
              <c:f>'Auction volumes'!$B$17</c:f>
              <c:strCache>
                <c:ptCount val="1"/>
                <c:pt idx="0">
                  <c:v>NZ ETS cap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'Auction volumes'!$D$14:$H$14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'Auction volumes'!$D$17:$H$17</c:f>
              <c:numCache>
                <c:formatCode>General</c:formatCode>
                <c:ptCount val="5"/>
                <c:pt idx="0">
                  <c:v>31.099999999999994</c:v>
                </c:pt>
                <c:pt idx="1">
                  <c:v>28.700000000000003</c:v>
                </c:pt>
                <c:pt idx="2" formatCode="_-* #,##0.0_-;\-* #,##0.0_-;_-* &quot;-&quot;??_-;_-@_-">
                  <c:v>24.522668764523203</c:v>
                </c:pt>
                <c:pt idx="3" formatCode="_-* #,##0.0_-;\-* #,##0.0_-;_-* &quot;-&quot;??_-;_-@_-">
                  <c:v>22.208229504204965</c:v>
                </c:pt>
                <c:pt idx="4" formatCode="_-* #,##0.0_-;\-* #,##0.0_-;_-* &quot;-&quot;??_-;_-@_-">
                  <c:v>19.410856788890918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71-4252-B0BD-6939359E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34367"/>
        <c:axId val="523955583"/>
      </c:lineChart>
      <c:catAx>
        <c:axId val="52393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55583"/>
        <c:crosses val="autoZero"/>
        <c:auto val="1"/>
        <c:lblAlgn val="ctr"/>
        <c:lblOffset val="100"/>
        <c:noMultiLvlLbl val="0"/>
      </c:catAx>
      <c:valAx>
        <c:axId val="52395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NZUs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3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11338912611736"/>
          <c:y val="0.85741867070360134"/>
          <c:w val="0.77300614432220616"/>
          <c:h val="0.11134799203993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28575</xdr:rowOff>
    </xdr:from>
    <xdr:to>
      <xdr:col>0</xdr:col>
      <xdr:colOff>2533649</xdr:colOff>
      <xdr:row>5</xdr:row>
      <xdr:rowOff>130175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7593DF-6615-477B-BEDA-F2FC70B1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8575"/>
          <a:ext cx="2257424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291354</xdr:colOff>
      <xdr:row>12</xdr:row>
      <xdr:rowOff>123265</xdr:rowOff>
    </xdr:from>
    <xdr:to>
      <xdr:col>30</xdr:col>
      <xdr:colOff>496422</xdr:colOff>
      <xdr:row>32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E8FC3E-F682-4D48-8E49-51C3F82B1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0.33095</cdr:x>
      <cdr:y>0.31401</cdr:y>
    </cdr:from>
    <cdr:to>
      <cdr:x>0.68685</cdr:x>
      <cdr:y>0.49375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BBD48B5-46EA-87E5-9FAA-4D0528146687}"/>
            </a:ext>
          </a:extLst>
        </cdr:cNvPr>
        <cdr:cNvSpPr txBox="1"/>
      </cdr:nvSpPr>
      <cdr:spPr>
        <a:xfrm xmlns:a="http://schemas.openxmlformats.org/drawingml/2006/main">
          <a:off x="1822032" y="1115617"/>
          <a:ext cx="1959393" cy="638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Emissions budget allocated to NZ ETS (123 Mt CO2e)</a:t>
          </a:r>
        </a:p>
      </cdr:txBody>
    </cdr:sp>
  </cdr:relSizeAnchor>
  <cdr:relSizeAnchor xmlns:cdr="http://schemas.openxmlformats.org/drawingml/2006/chartDrawing">
    <cdr:from>
      <cdr:x>0.29585</cdr:x>
      <cdr:y>0.5691</cdr:y>
    </cdr:from>
    <cdr:to>
      <cdr:x>0.6436</cdr:x>
      <cdr:y>0.71046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CA6DD3E-5FFF-60D7-1475-19901181EA3D}"/>
            </a:ext>
          </a:extLst>
        </cdr:cNvPr>
        <cdr:cNvSpPr txBox="1"/>
      </cdr:nvSpPr>
      <cdr:spPr>
        <a:xfrm xmlns:a="http://schemas.openxmlformats.org/drawingml/2006/main">
          <a:off x="1628774" y="2021914"/>
          <a:ext cx="1914525" cy="502212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100">
              <a:solidFill>
                <a:schemeClr val="bg1"/>
              </a:solidFill>
            </a:rPr>
            <a:t>Emissions budget allocated to non- NZ ETS (210 Mt CO2e)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51955</xdr:colOff>
      <xdr:row>13</xdr:row>
      <xdr:rowOff>131906</xdr:rowOff>
    </xdr:from>
    <xdr:to>
      <xdr:col>19</xdr:col>
      <xdr:colOff>484909</xdr:colOff>
      <xdr:row>28</xdr:row>
      <xdr:rowOff>159327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DFC625-EFBA-DC45-C152-79F30206B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239279</xdr:colOff>
      <xdr:row>31</xdr:row>
      <xdr:rowOff>162214</xdr:rowOff>
    </xdr:from>
    <xdr:to>
      <xdr:col>20</xdr:col>
      <xdr:colOff>75622</xdr:colOff>
      <xdr:row>46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8194B4-C594-41F5-9138-78089B08D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339587</xdr:colOff>
      <xdr:row>50</xdr:row>
      <xdr:rowOff>173936</xdr:rowOff>
    </xdr:from>
    <xdr:to>
      <xdr:col>20</xdr:col>
      <xdr:colOff>175504</xdr:colOff>
      <xdr:row>66</xdr:row>
      <xdr:rowOff>1820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0F266A-F347-4929-ABDA-72F16F6D9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574675</xdr:colOff>
      <xdr:row>68</xdr:row>
      <xdr:rowOff>48780</xdr:rowOff>
    </xdr:from>
    <xdr:to>
      <xdr:col>20</xdr:col>
      <xdr:colOff>407843</xdr:colOff>
      <xdr:row>84</xdr:row>
      <xdr:rowOff>27420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E94739-8792-459F-AF9F-4400D97EF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300523</xdr:colOff>
      <xdr:row>1</xdr:row>
      <xdr:rowOff>113022</xdr:rowOff>
    </xdr:from>
    <xdr:to>
      <xdr:col>25</xdr:col>
      <xdr:colOff>477780</xdr:colOff>
      <xdr:row>17</xdr:row>
      <xdr:rowOff>36863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A33F9-19D8-421C-9588-CA0B36E3D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339303</xdr:colOff>
      <xdr:row>41</xdr:row>
      <xdr:rowOff>155064</xdr:rowOff>
    </xdr:from>
    <xdr:to>
      <xdr:col>26</xdr:col>
      <xdr:colOff>376890</xdr:colOff>
      <xdr:row>60</xdr:row>
      <xdr:rowOff>15477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D3F80D-456C-4010-8148-AFE49545D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26</xdr:col>
      <xdr:colOff>473709</xdr:colOff>
      <xdr:row>41</xdr:row>
      <xdr:rowOff>52620</xdr:rowOff>
    </xdr:from>
    <xdr:to>
      <xdr:col>37</xdr:col>
      <xdr:colOff>93073</xdr:colOff>
      <xdr:row>60</xdr:row>
      <xdr:rowOff>71607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B14136-1DBA-42F6-892A-91893E9AA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165996</xdr:colOff>
      <xdr:row>18</xdr:row>
      <xdr:rowOff>114777</xdr:rowOff>
    </xdr:from>
    <xdr:to>
      <xdr:col>26</xdr:col>
      <xdr:colOff>398856</xdr:colOff>
      <xdr:row>37</xdr:row>
      <xdr:rowOff>167288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38A227D-7F5F-4058-AFC2-A188513EBECC}"/>
            </a:ext>
          </a:extLst>
        </xdr:cNvPr>
        <xdr:cNvGrpSpPr/>
      </xdr:nvGrpSpPr>
      <xdr:grpSpPr>
        <a:xfrm>
          <a:off x="17321428" y="3298848"/>
          <a:ext cx="6209571" cy="3410301"/>
          <a:chOff x="12359286" y="19411896"/>
          <a:chExt cx="6041761" cy="3373849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12DFD0BD-B03E-331D-A32B-7E4CB13AFD14}"/>
              </a:ext>
            </a:extLst>
          </xdr:cNvPr>
          <xdr:cNvGraphicFramePr>
            <a:graphicFrameLocks/>
          </xdr:cNvGraphicFramePr>
        </xdr:nvGraphicFramePr>
        <xdr:xfrm>
          <a:off x="12359286" y="19411896"/>
          <a:ext cx="6041761" cy="33738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CC023B31-21A2-A69F-E638-ED32C2ABBB91}"/>
              </a:ext>
            </a:extLst>
          </xdr:cNvPr>
          <xdr:cNvCxnSpPr/>
        </xdr:nvCxnSpPr>
        <xdr:spPr>
          <a:xfrm>
            <a:off x="15012201" y="19806324"/>
            <a:ext cx="0" cy="2343354"/>
          </a:xfrm>
          <a:prstGeom prst="line">
            <a:avLst/>
          </a:prstGeom>
          <a:ln w="317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148751</xdr:colOff>
      <xdr:row>18</xdr:row>
      <xdr:rowOff>37811</xdr:rowOff>
    </xdr:from>
    <xdr:to>
      <xdr:col>35</xdr:col>
      <xdr:colOff>600911</xdr:colOff>
      <xdr:row>37</xdr:row>
      <xdr:rowOff>86591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AC79C4A-CE67-41A9-8BE8-9881F89D6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16</xdr:col>
      <xdr:colOff>341684</xdr:colOff>
      <xdr:row>61</xdr:row>
      <xdr:rowOff>129231</xdr:rowOff>
    </xdr:from>
    <xdr:to>
      <xdr:col>26</xdr:col>
      <xdr:colOff>282604</xdr:colOff>
      <xdr:row>81</xdr:row>
      <xdr:rowOff>33402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3161FFA-E145-4B9B-B12E-981C3FD3C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LC\compareUL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PARKYNO\1877751_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RK\CHT\s2008weo\Ch1\fig13\Fig1_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MANNINGC\4348348_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anciscoHernandez\Downloads\Municipal%20solid%20waste%20model%20for%202021%20invento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F3%20Tax%20monitoring\TF32%20Tax%20data\Monthis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fis-02\Year%20end\Current%20Form\Accounts\publishing\Accoun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mcloughlins\AppData\Roaming\Microsoft\Excel\908717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F1%20Tax%20forecasting\2008\NEFU\TF12%20Forecast%20outputs,%20writeups\Corp%20Tax%202008%20NEF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HENDLED\2111259_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fis-02\Year%20end\Current%20Form\Accounts\publishing\Accoun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PARKYNO\1844681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rPortbl\iManage\KEENEM\763757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HASLAMN\1264192_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9-20\5.%20BEFU%202020\3%20-%20Finals\9%20-%20Publishing%20-%20Forecast%20Financial%20Statements\Forecast%20Financial%20Statements\1.%20Linked%20accounts\BEFU%2020%20Linked%20Accoun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recast%20Updates\Economic%20models\Summary%20Indicators\SI_Calculations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EER"/>
      <sheetName val="EDNA"/>
      <sheetName val="Sheet2"/>
      <sheetName val="Sheet9"/>
      <sheetName val="UL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Other assets - indexed"/>
      <sheetName val="Other assets - normal"/>
      <sheetName val="Trust v company v direct"/>
      <sheetName val="Bond v rental housing"/>
      <sheetName val="40% saving"/>
      <sheetName val="Indexation"/>
      <sheetName val="Indexation (2)"/>
      <sheetName val="Directly held"/>
      <sheetName val="Tax gap - Hypothetical person"/>
      <sheetName val="Tax gap"/>
      <sheetName val="Tax gap (2)"/>
      <sheetName val="Tax gap (3)"/>
      <sheetName val="Nordic @ 17.5"/>
      <sheetName val="Simplified nordic"/>
      <sheetName val="Sheet2"/>
      <sheetName val="Directly held v2"/>
      <sheetName val="Company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mp NGAP (Adv&amp;Emg)"/>
      <sheetName val="Panel 1"/>
      <sheetName val="Panel 2"/>
      <sheetName val="Panel 3"/>
      <sheetName val="Panel 4"/>
      <sheetName val="Panel 5"/>
      <sheetName val="ChartData"/>
      <sheetName val="Pr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  <sheetName val="Guide"/>
      <sheetName val="Sources"/>
      <sheetName val="Statistics NZ"/>
      <sheetName val="Population Treasury"/>
      <sheetName val="Labour Force Treasury"/>
      <sheetName val="Exogenous"/>
      <sheetName val="NZSF Adjuster"/>
      <sheetName val="Fiscal Forecast Adjuster"/>
      <sheetName val="Fiscal Outturns"/>
      <sheetName val="Economic Forecasts"/>
      <sheetName val="Fiscal Forecasts"/>
      <sheetName val="Assumptions"/>
      <sheetName val="2020 PREFU FSM"/>
      <sheetName val="Scenario"/>
      <sheetName val="Tables 2 &amp; 3"/>
      <sheetName val="Fig 2.19"/>
      <sheetName val="Fig 2.20"/>
      <sheetName val="Fig 2.21"/>
      <sheetName val="Fig 2.22"/>
      <sheetName val="Fig 2.23"/>
      <sheetName val="Fig 2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olicy impact analysis"/>
      <sheetName val="Input waste data here"/>
      <sheetName val="List of landfills"/>
      <sheetName val="Composition and DDOC"/>
      <sheetName val="Other parameters"/>
      <sheetName val="Bulk waste decay models 5.A.1"/>
      <sheetName val="MEG"/>
      <sheetName val="All results 5.A.1.a"/>
      <sheetName val="Data for CRF 5.A.1.a"/>
      <sheetName val="Graph for 5.A.1.a"/>
      <sheetName val="more recovery graphs"/>
      <sheetName val="Data for 5.F"/>
      <sheetName val="Other data for NIR"/>
      <sheetName val="AD Table for NIR"/>
      <sheetName val="Recalculations"/>
      <sheetName val="NO LEVY SCENARIO decay model"/>
      <sheetName val="Data for uncategorised 5.A.3"/>
      <sheetName val="Bulk waste decay models 5.A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Adjust Lookups"/>
      <sheetName val="July 1998 Series"/>
      <sheetName val="Receipts"/>
      <sheetName val="Revenue"/>
      <sheetName val="Macro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"/>
      <sheetName val="Position"/>
      <sheetName val="Mvts in equity"/>
      <sheetName val="Cash flows"/>
      <sheetName val="Borrowings"/>
      <sheetName val="Mkt values"/>
      <sheetName val="Maturity"/>
      <sheetName val="Movements"/>
      <sheetName val="Commitments"/>
      <sheetName val="Notes 1-5"/>
      <sheetName val="Notes 6,7,8"/>
      <sheetName val="SOE CE Fin Perf"/>
      <sheetName val="SOE CE BS"/>
      <sheetName val="SOE CE Summary"/>
      <sheetName val="Notes 10 - 13"/>
      <sheetName val="Note 15"/>
      <sheetName val="Note 16"/>
      <sheetName val="Note 17"/>
      <sheetName val="note 19"/>
      <sheetName val="Xchecks"/>
      <sheetName val="analysis accounts"/>
      <sheetName val="consistency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astTo02"/>
      <sheetName val="ActualTo02"/>
      <sheetName val="FcastConsol"/>
      <sheetName val="ActualConsol"/>
      <sheetName val="OpExp"/>
      <sheetName val="NetCash"/>
      <sheetName val="AdjOpExp"/>
      <sheetName val="Tax"/>
      <sheetName val="TotRec"/>
      <sheetName val="NetCashPctRec"/>
      <sheetName val="FinCost"/>
      <sheetName val="BenExp"/>
      <sheetName val="Purch"/>
      <sheetName val="PurchAdj"/>
      <sheetName val="Advances"/>
      <sheetName val="PurchInv"/>
      <sheetName val="ReportTables"/>
      <sheetName val="Tabl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Assumptions"/>
      <sheetName val="FIRST"/>
      <sheetName val="UOMI"/>
      <sheetName val="NRWTByPayer"/>
      <sheetName val="NRWTListed"/>
      <sheetName val="NRWTNoms"/>
      <sheetName val="FDWPRevDtl"/>
      <sheetName val="FDWPRecDtl"/>
      <sheetName val="Dividends"/>
      <sheetName val="OutturnData"/>
      <sheetName val="ScratchPad"/>
      <sheetName val="MacroInputs"/>
      <sheetName val="OpSurp"/>
      <sheetName val="AnnToQtr"/>
      <sheetName val="NRWTMth"/>
      <sheetName val="NRWTAnn"/>
      <sheetName val="NRWTDtl"/>
      <sheetName val="FDWPAnn"/>
      <sheetName val="FDWPMth"/>
      <sheetName val="Rcpt08 (2)"/>
      <sheetName val="DWTMth"/>
      <sheetName val="DWTAnn"/>
      <sheetName val="DWTSumm"/>
      <sheetName val="DWTDtl"/>
      <sheetName val="DWTDtlOld"/>
      <sheetName val="RevMth"/>
      <sheetName val="RecMth"/>
      <sheetName val="RefMth"/>
      <sheetName val="RevAnn"/>
      <sheetName val="LossEqns"/>
      <sheetName val="DataPrep"/>
      <sheetName val="Forecast"/>
      <sheetName val="NewRex (2)"/>
      <sheetName val="SumAll (2)"/>
      <sheetName val="OSvsPfts"/>
      <sheetName val="Sheet1"/>
      <sheetName val="ExAdj"/>
      <sheetName val="ExAdjPREFU"/>
      <sheetName val="ExAdjChg"/>
      <sheetName val="MonthlySum"/>
      <sheetName val="Rcpt08"/>
      <sheetName val="ProvVsTermRev"/>
      <sheetName val="PTMthsRev"/>
      <sheetName val="ProvVsTermRec"/>
      <sheetName val="PTMthsRec"/>
      <sheetName val="Accrual"/>
      <sheetName val="FinalCoTax"/>
      <sheetName val="OldForecasts"/>
      <sheetName val="AllRec"/>
      <sheetName val="NewRex"/>
      <sheetName val="GrandRec"/>
      <sheetName val="Funds"/>
      <sheetName val="LossSum"/>
      <sheetName val="PandL"/>
      <sheetName val="AnnualSum"/>
      <sheetName val="SumAll"/>
      <sheetName val="SumWide"/>
      <sheetName val="ToSumFile"/>
      <sheetName val="ToAremos"/>
      <sheetName val="MonthTrak"/>
      <sheetName val="TrakChart"/>
      <sheetName val="TraxInput"/>
      <sheetName val="TrakCompare"/>
      <sheetName val="CompChart"/>
      <sheetName val="CompChartYTD"/>
      <sheetName val="Graphing"/>
      <sheetName val="OSvsCorptax"/>
      <sheetName val="CorpTaxJune"/>
      <sheetName val="OSJune"/>
      <sheetName val="ETRdata"/>
      <sheetName val="ETR1"/>
      <sheetName val="ETR2"/>
      <sheetName val="ETR3"/>
      <sheetName val="ETR4"/>
      <sheetName val="ETR5"/>
      <sheetName val="Alldivs"/>
      <sheetName val="Reckon"/>
      <sheetName val="Chart 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Weekly Reporting"/>
      <sheetName val="Database Codes"/>
      <sheetName val="Database"/>
      <sheetName val="Aggregation 1"/>
      <sheetName val="Aggregation 2"/>
      <sheetName val="Circ for Updates"/>
      <sheetName val="Pivot - Summary"/>
      <sheetName val="Pivot - Sources"/>
      <sheetName val="Pivot - BEFU"/>
      <sheetName val="Report - Summary"/>
      <sheetName val="Summary 27 Sep"/>
      <sheetName val="Summary 20 Sep"/>
      <sheetName val="Summary 16 August"/>
      <sheetName val="Pivot - Published Report"/>
      <sheetName val="DIA Response Costs"/>
      <sheetName val="DIA Email"/>
      <sheetName val="Circ for HYEFU 2012"/>
      <sheetName val="Pivot - Cash"/>
      <sheetName val="Summary 4 Octo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"/>
      <sheetName val="Position"/>
      <sheetName val="Mvts in equity"/>
      <sheetName val="Cash flows"/>
      <sheetName val="Borrowings"/>
      <sheetName val="Mkt values"/>
      <sheetName val="Maturity"/>
      <sheetName val="Movements"/>
      <sheetName val="Commitments"/>
      <sheetName val="Notes 1-5"/>
      <sheetName val="Notes 6,7,8"/>
      <sheetName val="SOE CE Fin Perf"/>
      <sheetName val="SOE CE BS"/>
      <sheetName val="SOE CE Summary"/>
      <sheetName val="Notes 10 - 13"/>
      <sheetName val="Note 15"/>
      <sheetName val="Note 16"/>
      <sheetName val="Note 17"/>
      <sheetName val="note 19"/>
      <sheetName val="Xchecks"/>
      <sheetName val="analysis accounts"/>
      <sheetName val="consistency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RISK parameters"/>
      <sheetName val="Economic data"/>
      <sheetName val="Fiscal data"/>
      <sheetName val="Elasticity data"/>
      <sheetName val="Calculation &amp; Results"/>
      <sheetName val="cab"/>
      <sheetName val="Inverse CAB"/>
      <sheetName val="Historical results"/>
      <sheetName val="Cyclically adj balance vsOBEGAL"/>
      <sheetName val="BEFU Table"/>
      <sheetName val="Chart1"/>
      <sheetName val="Sheet1"/>
      <sheetName val="Historical results (2)"/>
      <sheetName val="Sheet3"/>
      <sheetName val="Sheet6"/>
      <sheetName val="Sheet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Assumptions"/>
      <sheetName val="UOMI"/>
      <sheetName val="NRWTByPayer"/>
      <sheetName val="NRWTListed"/>
      <sheetName val="NRWTNoms"/>
      <sheetName val="OutturnData"/>
      <sheetName val="MacroInputs"/>
      <sheetName val="NZSFund"/>
      <sheetName val="ExAdj"/>
      <sheetName val="OpSurp"/>
      <sheetName val="AnnToQtr"/>
      <sheetName val="FIRST"/>
      <sheetName val="NRWT"/>
      <sheetName val="NRWTRex"/>
      <sheetName val="NRWTSumm"/>
      <sheetName val="FDWPbyPayer"/>
      <sheetName val="FDWP"/>
      <sheetName val="FDWPRex"/>
      <sheetName val="Dividends"/>
      <sheetName val="DWT"/>
      <sheetName val="DWTRex"/>
      <sheetName val="DWTSumm"/>
      <sheetName val="DWTDtl"/>
      <sheetName val="LossEqns"/>
      <sheetName val="ScratchPad"/>
      <sheetName val="Forecast"/>
      <sheetName val="Funds"/>
      <sheetName val="PandL"/>
      <sheetName val="MonthlySum"/>
      <sheetName val="AnnualSum"/>
      <sheetName val="AllRec"/>
      <sheetName val="SumAll"/>
      <sheetName val="ToSumFile"/>
      <sheetName val="ToAremos"/>
      <sheetName val="MonthTrak"/>
      <sheetName val="TrakChart"/>
      <sheetName val="TraxInput"/>
      <sheetName val="TrakCompare"/>
      <sheetName val="CompChart"/>
      <sheetName val="CompChartYTD"/>
      <sheetName val="Graphing"/>
      <sheetName val="OSvsCorptax"/>
      <sheetName val="CorpTaxJune"/>
      <sheetName val="OSJune"/>
      <sheetName val="Reckon"/>
      <sheetName val="ETRdata"/>
      <sheetName val="ETR1"/>
      <sheetName val="ETR2"/>
      <sheetName val="ETR3"/>
      <sheetName val="ETR4"/>
      <sheetName val="Alldiv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Tables"/>
      <sheetName val="Capital"/>
      <sheetName val="Savings"/>
      <sheetName val="Maori related"/>
      <sheetName val="Speaker"/>
      <sheetName val="Act"/>
      <sheetName val="Maori"/>
      <sheetName val="United_Future"/>
      <sheetName val="Key"/>
      <sheetName val="English"/>
      <sheetName val="Brownlee"/>
      <sheetName val="Power"/>
      <sheetName val="Ryall"/>
      <sheetName val="N_Smith"/>
      <sheetName val="Collins"/>
      <sheetName val="Tolley"/>
      <sheetName val="Finlayson"/>
      <sheetName val="D_Carter"/>
      <sheetName val="McCully"/>
      <sheetName val="Groser"/>
      <sheetName val="Mapp"/>
      <sheetName val="Joyce"/>
      <sheetName val="Te_Heuheu"/>
      <sheetName val="Bennett"/>
      <sheetName val="Heatley"/>
      <sheetName val="Wong"/>
      <sheetName val="Coleman"/>
      <sheetName val="Wilkinson"/>
      <sheetName val="Williamson"/>
      <sheetName val="Worth"/>
      <sheetName val="J_Carter"/>
      <sheetName val="Adjustments"/>
      <sheetName val="Cabinet_Decisions"/>
      <sheetName val="Contingency item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ed accounts Checklist"/>
      <sheetName val="Cross Checks"/>
      <sheetName val="Control"/>
      <sheetName val="Perform"/>
      <sheetName val="Fun Class"/>
      <sheetName val="SOCRE"/>
      <sheetName val="Net worth"/>
      <sheetName val="Cash flows"/>
      <sheetName val="CF Rec"/>
      <sheetName val="Position"/>
      <sheetName val="Borrowings"/>
      <sheetName val="Commit &amp; Cont"/>
      <sheetName val="Notes 1- 6"/>
      <sheetName val="Note 7-12"/>
      <sheetName val="Notes 13-15"/>
      <sheetName val="Note 16"/>
      <sheetName val="Note 17"/>
      <sheetName val="2019 Actual"/>
      <sheetName val="2020 Forecast"/>
      <sheetName val="2021 Forecast"/>
      <sheetName val="2022 Forecast"/>
      <sheetName val="2023 Forecast"/>
      <sheetName val="2024 Forecast"/>
      <sheetName val="Time Series"/>
      <sheetName val="FSM Data"/>
      <sheetName val="Fiscal Data - CAB New"/>
      <sheetName val="Fiscal Data - FI New"/>
      <sheetName val="CAB data -Old"/>
      <sheetName val="CC Impulse - Old"/>
      <sheetName val="CC + CE Impulse - old"/>
      <sheetName val="TR Comms table"/>
      <sheetName val="Chapter FI table"/>
      <sheetName val="Dashboard tables"/>
      <sheetName val="Note 17 (old)"/>
      <sheetName val="FSM data old 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Main"/>
      <sheetName val="Notes"/>
      <sheetName val="Economic Data"/>
      <sheetName val="Fiscal Data - CAB"/>
      <sheetName val="Fiscal Data - FI"/>
      <sheetName val="Tax Data"/>
      <sheetName val="Inputs"/>
      <sheetName val="Calculations - CAB"/>
      <sheetName val="Calculations - FI"/>
      <sheetName val="Scenarios Model"/>
      <sheetName val="Results"/>
      <sheetName val="Scenarios"/>
      <sheetName val="Forecast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CC theme">
  <a:themeElements>
    <a:clrScheme name="CCC Colours">
      <a:dk1>
        <a:srgbClr val="000000"/>
      </a:dk1>
      <a:lt1>
        <a:srgbClr val="FFFFFF"/>
      </a:lt1>
      <a:dk2>
        <a:srgbClr val="003A5D"/>
      </a:dk2>
      <a:lt2>
        <a:srgbClr val="E7E6E6"/>
      </a:lt2>
      <a:accent1>
        <a:srgbClr val="00ADD3"/>
      </a:accent1>
      <a:accent2>
        <a:srgbClr val="46C1BE"/>
      </a:accent2>
      <a:accent3>
        <a:srgbClr val="69C17B"/>
      </a:accent3>
      <a:accent4>
        <a:srgbClr val="EF4D7F"/>
      </a:accent4>
      <a:accent5>
        <a:srgbClr val="9E76B3"/>
      </a:accent5>
      <a:accent6>
        <a:srgbClr val="FAA749"/>
      </a:accent6>
      <a:hlink>
        <a:srgbClr val="0060A2"/>
      </a:hlink>
      <a:folHlink>
        <a:srgbClr val="A6C0CB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blipFill dpi="0" rotWithShape="0">
          <a:blip xmlns:r="http://schemas.openxmlformats.org/officeDocument/2006/relationships" r:embed="rId1"/>
          <a:srcRect/>
          <a:stretch>
            <a:fillRect l="-413" t="-1" r="-413" b="-1"/>
          </a:stretch>
        </a:blip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CCC theme" id="{FAAF4E91-EE7F-40C5-9391-D1B130A6B8A0}" vid="{369DA7DE-E5E1-4534-908D-CAAF70E07E61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" dT="2023-03-29T20:02:12.15" personId="{00000000-0000-0000-0000-000000000000}" id="{6DA79DA2-C101-4532-B8EE-822CC6018551}">
    <text>Estimates of non-NZ ETS emissions for 2020 and 2022 added (demonstration and CPR same)</text>
  </threadedComment>
  <threadedComment ref="C19" dT="2023-03-13T20:02:12.21" personId="{00000000-0000-0000-0000-000000000000}" id="{F50C48F7-04FE-4ABE-933D-00A6AFBB159A}">
    <text>Based on same calculation as 2022</text>
  </threadedComment>
  <threadedComment ref="B22" dT="2023-01-29T21:19:26.86" personId="{00000000-0000-0000-0000-000000000000}" id="{CE53836B-CF00-4C92-9359-978DE9341F79}">
    <text>Updated Jan-23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B31" dT="2022-07-19T01:58:53.83" personId="{00000000-0000-0000-0000-000000000000}" id="{C57DE268-7A63-46F5-BF15-BAF744AF8561}">
    <text>Updated Jan-23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5" dT="2023-03-16T20:13:47.51" personId="{00000000-0000-0000-0000-000000000000}" id="{2E642E93-2D09-44F2-A0C3-CCCCE8339FC0}">
    <text>Note: based on emissions comparisons assessment from 2022 advice.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O1" dT="2023-01-25T02:17:23.81" personId="{00000000-0000-0000-0000-000000000000}" id="{87018334-D4EB-4546-8F8A-D8DCEE53BBB4}">
    <text>Note: 2022 formula updated to be based off 2021 instead of 2019 with other minor updates to assumptions and output reductions below</text>
  </threadedComment>
  <threadedComment ref="A2" dT="2022-07-19T01:54:08.59" personId="{00000000-0000-0000-0000-000000000000}" id="{478A5905-8DDC-4A93-B529-BEAD9CF62B04}">
    <text>Historic data retrieved from EPA and aggregated into categories https://www.epa.govt.nz/industry-areas/emissions-trading-scheme/industrial-allocations/decisions/</text>
  </threadedComment>
  <threadedComment ref="A3" dT="2022-07-19T02:20:22.91" personId="{00000000-0000-0000-0000-000000000000}" id="{B0E44B16-6FA2-4347-BDBB-E17F1DF7C9E8}">
    <text>Assumed 0% growth for all sectors in line with ENZ scenarios</text>
  </threadedComment>
  <threadedComment ref="B3" dT="2022-07-19T01:54:22.44" personId="{00000000-0000-0000-0000-000000000000}" id="{1BC3AA81-D374-4B94-802B-2B7C5481FF6B}">
    <text>NZS + Pacific Steel + Fletcher Steel in its different ownership structures over time. Activities: iron and steel from iron sand and carbon steel from cold ferrous feed.</text>
  </threadedComment>
  <threadedComment ref="N4" dT="2022-07-19T01:59:18.25" personId="{00000000-0000-0000-0000-000000000000}" id="{3A005B47-7D9E-413F-BBBB-4967A6A0F5E9}">
    <text>NZAS EAF 0.0 tCO2e/MWh for 2021 and 2022 in line w Cab docs. Est. annual reduction of 934,400 NZUs. Assumption this extends to 2050. 
Amended allocative baseline for aluminium smelting: 2.120 in 2021, 2.005 in 2022 and 2023.</text>
  </threadedComment>
  <threadedComment ref="P6" dT="2022-07-19T01:55:59.42" personId="{00000000-0000-0000-0000-000000000000}" id="{0FCECC1D-6472-47D6-9D73-168B35980DF4}">
    <text>Switches to import terminal</text>
  </threadedComment>
  <threadedComment ref="B9" dT="2022-07-19T01:54:51.42" personId="{00000000-0000-0000-0000-000000000000}" id="{51E9D3AF-3852-4881-B3AE-E30E9EB889B9}">
    <text>Whey powder and lactose</text>
  </threadedComment>
  <threadedComment ref="B10" dT="2022-07-19T01:55:04.79" personId="{00000000-0000-0000-0000-000000000000}" id="{0075AFEF-2C1F-4778-974D-408D5BE4277E}">
    <text>Protein meal and gelatine</text>
  </threadedComment>
  <threadedComment ref="B12" dT="2022-07-19T01:55:17.60" personId="{00000000-0000-0000-0000-000000000000}" id="{F7895B49-D35F-472E-9CC6-25558C04DA75}">
    <text>Cartonboard, market pulp, packaging and industrial paper, newsprint</text>
  </threadedComment>
  <threadedComment ref="B13" dT="2022-07-19T01:55:30.88" personId="{00000000-0000-0000-0000-000000000000}" id="{6C6D1382-96EC-44F5-A10C-3CE5A476533C}">
    <text>Caustic soda, hydrogen peroxide</text>
  </threadedComment>
  <threadedComment ref="B14" dT="2022-07-19T01:55:43.16" personId="{00000000-0000-0000-0000-000000000000}" id="{7E6F23A8-B3CD-48B0-90C8-25A6D7253980}">
    <text>Ethanol, clay, glass + tissue paper, reconstituted wood panels</text>
  </threadedComment>
  <threadedComment ref="E36" dT="2022-07-19T02:00:20.53" personId="{00000000-0000-0000-0000-000000000000}" id="{7445E3E8-54B5-42CC-96DD-F00AA2D6EB64}">
    <text>Potline 4 closed April 2012 until Dec 2018. Accounts for 9% of production capacity.</text>
  </threadedComment>
  <threadedComment ref="K36" dT="2022-07-19T02:01:05.08" personId="{00000000-0000-0000-0000-000000000000}" id="{859EB893-8FE2-4C26-B1BB-F287E33C08B8}">
    <text>Potline 4 restarted in Dec 2018</text>
  </threadedComment>
  <threadedComment ref="M36" dT="2022-07-19T01:56:25.98" personId="{00000000-0000-0000-0000-000000000000}" id="{14277B76-9EEE-4631-8497-CE7994AA6106}">
    <text>Potline 4 closed in April 2020. NZAS has not indicated that it will reopen the line despite high Al prices.</text>
  </threadedComment>
  <threadedComment ref="R36" dT="2022-07-19T02:01:48.14" personId="{00000000-0000-0000-0000-000000000000}" id="{1DBDD91C-E3BC-4AA9-9410-7A7475C43C34}">
    <text>NZAS remains open beyond 2024 and potline 4 remains idled</text>
  </threadedComment>
  <threadedComment ref="C37" dT="2022-07-19T02:00:10.98" personId="{00000000-0000-0000-0000-000000000000}" id="{1C7ACBA4-6C3E-4D19-9C95-AB8A93CC0AE0}">
    <text>Waitara idled since 2008 due to lack of gas. 1 Motunui train operating.</text>
  </threadedComment>
  <threadedComment ref="E37" dT="2022-07-19T02:00:33.40" personId="{00000000-0000-0000-0000-000000000000}" id="{F70AB065-DAD5-43E3-9C89-C481346F5A30}">
    <text>Second Motunui train restarts in July 2012, adding 650,000t production capacity</text>
  </threadedComment>
  <threadedComment ref="F37" dT="2022-07-19T02:00:43.29" personId="{00000000-0000-0000-0000-000000000000}" id="{D279A2EE-204E-44EF-903C-EC452367E1E9}">
    <text>Waitara recommissioned Oct 2013. Full production by end of year.</text>
  </threadedComment>
  <threadedComment ref="N37" dT="2022-07-19T01:56:37.51" personId="{00000000-0000-0000-0000-000000000000}" id="{903FF0D0-8AF9-4E64-B15A-41AE576715FA}">
    <text>Waitara facility accounting for 20% capacity shutting at the end of 2020</text>
  </threadedComment>
  <threadedComment ref="X37" dT="2022-07-19T02:02:00.56" personId="{00000000-0000-0000-0000-000000000000}" id="{994F1B26-0401-4010-AED9-EB4BE12F4CA6}">
    <text>Motunui facility shutting, accounting for 40% current production</text>
  </threadedComment>
  <threadedComment ref="X37" dT="2023-01-30T00:37:37.05" personId="{00000000-0000-0000-0000-000000000000}" id="{81AC4218-7A1C-4905-8AD5-D2E385E34362}" parentId="{994F1B26-0401-4010-AED9-EB4BE12F4CA6}">
    <text>Previously 40% of total; updated to 50% after Waitara shut</text>
  </threadedComment>
  <threadedComment ref="F44" dT="2022-07-19T02:00:52.14" personId="{00000000-0000-0000-0000-000000000000}" id="{3F99D14C-FEA8-4F92-AC16-3A39533A82F9}">
    <text>Tasman Mill permanently shuts one of its paper machines. Units allocated to this sector decrease by 11%</text>
  </threadedComment>
  <threadedComment ref="N44" dT="2022-07-19T01:56:47.11" personId="{00000000-0000-0000-0000-000000000000}" id="{4BEAB7F8-4BD2-4549-BB72-25E67F921CB5}">
    <text>NS closes end of June. Received a five year avg of 16% of this sector's allocation.</text>
  </threadedComment>
  <threadedComment ref="O44" dT="2023-01-30T00:39:40.82" personId="{00000000-0000-0000-0000-000000000000}" id="{EDB4EACF-E398-482E-A953-1097F3AD79EC}">
    <text>Updated to represent closure in June 2021</text>
  </threadedComment>
  <threadedComment ref="A72" dT="2022-07-19T01:57:03.67" personId="{00000000-0000-0000-0000-000000000000}" id="{57C6F32C-3400-4B8A-AADF-FEAE190FC036}">
    <text>https://environment.govt.nz/assets/publications/cab-77-setting-an-electricity-allocation-factor-for-the-new-zealand-aluminium-smelters-limited.pdf pg. 4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2" dT="2023-03-24T00:53:29.63" personId="{00000000-0000-0000-0000-000000000000}" id="{10FBB36D-40A3-42BE-AEFD-FF98D987C1CD}">
    <text>Note: inputs for 2022 surplus calculations available in 2022 workbook</text>
  </threadedComment>
  <threadedComment ref="C5" dT="2023-03-24T00:49:46.53" personId="{00000000-0000-0000-0000-000000000000}" id="{2276801C-B876-408D-8B25-E37AEDD76F40}">
    <text>Taken from Hedging Profile estimates in 2022 advice. Assumptions used shown on following tab</text>
  </threadedComment>
  <threadedComment ref="C7" dT="2023-03-29T00:56:54.30" personId="{00000000-0000-0000-0000-000000000000}" id="{FCF6D6BA-F074-40DD-898D-44A52B5E34F3}">
    <text>Taken from P90 trends in 2022 advice</text>
  </threadedComment>
  <threadedComment ref="B11" dT="2023-03-29T22:11:26.23" personId="{00000000-0000-0000-0000-000000000000}" id="{65045689-8BA0-4585-910A-D2CEDA7C2F82}">
    <text>Surplus volume estimated in 2022</text>
  </threadedComment>
  <threadedComment ref="B20" dT="2023-02-08T03:03:09.93" personId="{00000000-0000-0000-0000-000000000000}" id="{170B5BF3-18D9-48DD-80DA-743145DE2FDA}">
    <text>Note, there are minor differences to original volumes due to small changes in the cap</text>
  </threadedComment>
  <threadedComment ref="B22" dT="2023-03-08T23:11:12.31" personId="{00000000-0000-0000-0000-000000000000}" id="{D72C66C8-51B7-4059-A67C-047B5A714D8C}">
    <text>Note: there is a small discrepency adjustments here added to 2028 to make the previous base surplus reduction from 2022 and updated volume match over 2024-2027</text>
  </threadedComment>
  <threadedComment ref="B27" dT="2023-02-12T22:45:32.88" personId="{00000000-0000-0000-0000-000000000000}" id="{A35C66AC-968C-4CC2-8772-2DD10674E33C}">
    <text>Includes minor differences and washup to surplus reduction volume based on changes to proportion of budget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11" dT="2022-07-19T01:57:42.67" personId="{00000000-0000-0000-0000-000000000000}" id="{231771FB-2FB6-4DDE-A5A0-96EB6706497E}">
    <text>This is calculated as the total of ETS energy and IPPU emissions (converted to AR5) minus the liquid fossil fuel emissions above</text>
  </threadedComment>
  <threadedComment ref="C23" dT="2022-07-19T01:57:58.01" personId="{00000000-0000-0000-0000-000000000000}" id="{CF3DF13C-6F2C-417D-9B03-181546AC7170}">
    <text>Includes calculation based on 2020 data that pulp and paper participants have direct emissions surrender obligations for only 14% of total volume received for industrial free allocation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5" dT="2023-03-08T22:39:41.16" personId="{00000000-0000-0000-0000-000000000000}" id="{A01FFF72-451A-4BAD-A845-8D63D44531CD}">
    <text>Taken from calculations used in previous 2022 advice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13" dT="2023-03-13T19:47:26.70" personId="{00000000-0000-0000-0000-000000000000}" id="{6376C241-F58D-47DD-9C8B-8313F24FAA88}">
    <text>No changes allowed from current settings for 2024 &amp; 2025. Includes no use of technical adjustments</text>
  </threadedComment>
  <threadedComment ref="B68" dT="2022-07-19T01:58:10.66" personId="{00000000-0000-0000-0000-000000000000}" id="{5AD6C521-69D7-4E97-8ABB-FD647B957F73}">
    <text>Auction volume + total CCR volume</text>
  </threadedComment>
  <threadedComment ref="B70" dT="2022-07-19T01:58:21.57" personId="{00000000-0000-0000-0000-000000000000}" id="{D6994621-AE97-4D86-B586-0574E5F5541B}">
    <text>Auction volume +free allocation volume projection + overseas unit limit + total CCR volume</text>
  </threadedComment>
  <threadedComment ref="B73" dT="2022-07-19T01:58:10.66" personId="{00000000-0000-0000-0000-000000000000}" id="{11CD49D7-8B00-4156-878B-DDBEC4E28528}">
    <text>Auction volume + total CCR volume</text>
  </threadedComment>
  <threadedComment ref="B75" dT="2022-07-19T01:58:21.57" personId="{00000000-0000-0000-0000-000000000000}" id="{4DEB89BC-EA70-472C-998F-6EF911C1EA07}">
    <text>Auction volume +free allocation volume projection + overseas unit limit + total CCR volume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2" dT="2023-03-28T02:48:47.79" personId="{00000000-0000-0000-0000-000000000000}" id="{8760672F-474F-462A-A9AA-8B7858E885F9}">
    <text>Taken from 2022 advice</text>
  </threadedComment>
  <threadedComment ref="A10" dT="2023-03-28T02:48:58.72" personId="{00000000-0000-0000-0000-000000000000}" id="{96E6FBF5-9166-4975-B836-9A3CA974C5D9}">
    <text>Updated inflation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AH16" dT="2023-03-29T19:57:21.02" personId="{00000000-0000-0000-0000-000000000000}" id="{C4187598-6490-46A7-8327-8F6FACB1DA58}">
    <text>Estimates of Non NZ ETS emissions for 2020 &amp; 2021 added in 2023</text>
  </threadedComment>
  <threadedComment ref="B31" dT="2022-07-19T01:58:39.86" personId="{00000000-0000-0000-0000-000000000000}" id="{4E7217F6-928E-40B8-B1AD-19C91ADC402B}">
    <text>Updated Jan-23 after update to forestry model with new Dec-22 data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imatecommission.govt.nz/public/ETS-advice-July-22/Technical-annexes-and-supplementary-documents/Technical-Annex-1-Unit-limits.pdf" TargetMode="External"/><Relationship Id="rId1" Type="http://schemas.openxmlformats.org/officeDocument/2006/relationships/hyperlink" Target="https://www.climatecommission.govt.nz/our-work/advice-to-government-topic/nz-ets/our-advice-on-the-nz-ets/nz-ets-unit-limits-and-price-control-settings-for-2023-2027/technical-annexes-and-supplementary-documents-advice-on-nz-ets-unit-limits-and-price-control-settings-for-2023-2027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5D53-1448-4455-ACB6-C0C633072177}">
  <sheetPr>
    <tabColor theme="3"/>
  </sheetPr>
  <dimension ref="A7:B36"/>
  <sheetViews>
    <sheetView tabSelected="1" zoomScaleNormal="100" workbookViewId="0">
      <selection activeCell="A10" sqref="A10"/>
    </sheetView>
  </sheetViews>
  <sheetFormatPr defaultRowHeight="14.5" x14ac:dyDescent="0.35"/>
  <cols>
    <col min="1" max="1" width="41.81640625" customWidth="1"/>
    <col min="2" max="2" width="84.453125" customWidth="1"/>
    <col min="3" max="3" width="14.453125" customWidth="1"/>
  </cols>
  <sheetData>
    <row r="7" spans="1:2" ht="18.5" x14ac:dyDescent="0.45">
      <c r="A7" s="55" t="s">
        <v>0</v>
      </c>
    </row>
    <row r="10" spans="1:2" x14ac:dyDescent="0.35">
      <c r="A10" s="1" t="s">
        <v>230</v>
      </c>
      <c r="B10" s="1" t="s">
        <v>1</v>
      </c>
    </row>
    <row r="11" spans="1:2" x14ac:dyDescent="0.35">
      <c r="A11" s="1"/>
      <c r="B11" s="1"/>
    </row>
    <row r="12" spans="1:2" x14ac:dyDescent="0.35">
      <c r="A12" s="48" t="s">
        <v>227</v>
      </c>
      <c r="B12" t="s">
        <v>217</v>
      </c>
    </row>
    <row r="13" spans="1:2" x14ac:dyDescent="0.35">
      <c r="A13" s="49"/>
    </row>
    <row r="14" spans="1:2" x14ac:dyDescent="0.35">
      <c r="A14" s="48" t="s">
        <v>2</v>
      </c>
      <c r="B14" t="s">
        <v>218</v>
      </c>
    </row>
    <row r="15" spans="1:2" x14ac:dyDescent="0.35">
      <c r="A15" s="48"/>
    </row>
    <row r="16" spans="1:2" x14ac:dyDescent="0.35">
      <c r="A16" s="20" t="s">
        <v>138</v>
      </c>
      <c r="B16" t="s">
        <v>228</v>
      </c>
    </row>
    <row r="17" spans="1:2" x14ac:dyDescent="0.35">
      <c r="A17" s="49"/>
    </row>
    <row r="18" spans="1:2" x14ac:dyDescent="0.35">
      <c r="A18" s="20" t="s">
        <v>221</v>
      </c>
      <c r="B18" t="s">
        <v>219</v>
      </c>
    </row>
    <row r="19" spans="1:2" x14ac:dyDescent="0.35">
      <c r="A19" s="49"/>
    </row>
    <row r="20" spans="1:2" x14ac:dyDescent="0.35">
      <c r="A20" s="20" t="s">
        <v>222</v>
      </c>
      <c r="B20" t="s">
        <v>223</v>
      </c>
    </row>
    <row r="21" spans="1:2" x14ac:dyDescent="0.35">
      <c r="A21" s="48"/>
    </row>
    <row r="22" spans="1:2" x14ac:dyDescent="0.35">
      <c r="A22" s="48" t="s">
        <v>229</v>
      </c>
      <c r="B22" t="s">
        <v>220</v>
      </c>
    </row>
    <row r="23" spans="1:2" x14ac:dyDescent="0.35">
      <c r="A23" s="48"/>
    </row>
    <row r="24" spans="1:2" x14ac:dyDescent="0.35">
      <c r="A24" s="20" t="s">
        <v>332</v>
      </c>
      <c r="B24" t="s">
        <v>333</v>
      </c>
    </row>
    <row r="25" spans="1:2" x14ac:dyDescent="0.35">
      <c r="A25" s="48"/>
    </row>
    <row r="26" spans="1:2" x14ac:dyDescent="0.35">
      <c r="A26" s="20" t="s">
        <v>225</v>
      </c>
      <c r="B26" s="147" t="s">
        <v>226</v>
      </c>
    </row>
    <row r="27" spans="1:2" x14ac:dyDescent="0.35">
      <c r="B27" s="49"/>
    </row>
    <row r="28" spans="1:2" x14ac:dyDescent="0.35">
      <c r="A28" s="20" t="s">
        <v>224</v>
      </c>
      <c r="B28" s="150" t="s">
        <v>3</v>
      </c>
    </row>
    <row r="29" spans="1:2" x14ac:dyDescent="0.35">
      <c r="B29" s="49"/>
    </row>
    <row r="30" spans="1:2" x14ac:dyDescent="0.35">
      <c r="A30" s="20" t="s">
        <v>4</v>
      </c>
      <c r="B30" t="s">
        <v>5</v>
      </c>
    </row>
    <row r="31" spans="1:2" x14ac:dyDescent="0.35">
      <c r="A31" s="20"/>
    </row>
    <row r="32" spans="1:2" x14ac:dyDescent="0.35">
      <c r="A32" s="20" t="s">
        <v>6</v>
      </c>
      <c r="B32" t="s">
        <v>7</v>
      </c>
    </row>
    <row r="34" spans="1:1" x14ac:dyDescent="0.35">
      <c r="A34" t="s">
        <v>231</v>
      </c>
    </row>
    <row r="35" spans="1:1" x14ac:dyDescent="0.35">
      <c r="A35" s="20" t="s">
        <v>8</v>
      </c>
    </row>
    <row r="36" spans="1:1" x14ac:dyDescent="0.35">
      <c r="A36" s="20" t="s">
        <v>9</v>
      </c>
    </row>
  </sheetData>
  <hyperlinks>
    <hyperlink ref="A12" location="'2. Allocate emissions budget'!A1" display="Allocate the emissions budget" xr:uid="{4FD5D108-1D09-429F-BA81-640F650FD8FF}"/>
    <hyperlink ref="A14" location="'3. Technical adjustments'!A1" display="Technical adjustments" xr:uid="{1EF517B5-D0AB-44ED-9CD9-E9695BC6B69B}"/>
    <hyperlink ref="A16" location="'4. Industrial free allocation'!A1" display="Industrial free allocation projections" xr:uid="{5E2C5813-CE76-4665-9410-0CC7D814819B}"/>
    <hyperlink ref="A18" location="'5. Surplus reduction volume'!A1" display="Unit surplus reduction volume" xr:uid="{6E1FFE81-E230-49EC-AB5F-CB23433557C0}"/>
    <hyperlink ref="A20" location="'7. Auction volume options to 35'!A1" display="Calculate auction volumes" xr:uid="{1398DE37-2642-4BE1-B010-3FDF7250EC10}"/>
    <hyperlink ref="A22" location="'CCR volumes'!A1" display="Cost containment reserve volumes" xr:uid="{190694AD-F7A6-47FF-A5E5-B720ACDF6718}"/>
    <hyperlink ref="A30" location="'Demonstration path data'!A1" display="Demonstration path (2022)" xr:uid="{3838A2E6-D929-4961-A2F2-5B85A5281B01}"/>
    <hyperlink ref="A26" location="'Price controls'!A1" display="Price controls" xr:uid="{0F948632-6958-46E1-B5F0-0B6B98874D21}"/>
    <hyperlink ref="A28" location="'Final recommendations'!A1" display="Recommendations combined" xr:uid="{66991B32-3449-4159-852E-203E9099DF1D}"/>
    <hyperlink ref="A36" r:id="rId1" display="Note: this workbook uses assumptions developed in previous 2023-2027 advice, which has an additional workbook available here" xr:uid="{7A0E3FEB-319D-4F92-AF3C-0236FACB6523}"/>
    <hyperlink ref="A35" r:id="rId2" display="Technical annex 1 from our 2023-2027 advice provides additional information on the analysis can be found here" xr:uid="{45CED05D-AA31-4356-8D2A-BB86B35B982F}"/>
    <hyperlink ref="A32" location="'Current policy reference data'!A1" display="Current policy reference (2022)" xr:uid="{2F7364F6-66B5-45FC-9C34-85FA2329697E}"/>
    <hyperlink ref="A24" location="'Hedging profile'!A1" display="Hedging profile" xr:uid="{2450A239-2470-4735-855E-064E40310F11}"/>
  </hyperlinks>
  <pageMargins left="0.7" right="0.7" top="0.75" bottom="0.75" header="0.3" footer="0.3"/>
  <pageSetup orientation="portrait" r:id="rId3"/>
  <headerFooter>
    <oddHeader>&amp;C&amp;"Calibri"&amp;10&amp;K000000[UNCLASSIFIED]&amp;1#</oddHeader>
    <oddFooter>&amp;C&amp;1#&amp;"Calibri"&amp;10&amp;K000000[UNCLASSIFIED]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239B-B497-436E-B973-81780ED02BFE}">
  <sheetPr>
    <tabColor rgb="FFFFFF66"/>
  </sheetPr>
  <dimension ref="A1:P59"/>
  <sheetViews>
    <sheetView topLeftCell="A9" workbookViewId="0">
      <selection activeCell="A45" sqref="A45"/>
    </sheetView>
  </sheetViews>
  <sheetFormatPr defaultRowHeight="14.5" x14ac:dyDescent="0.35"/>
  <cols>
    <col min="1" max="1" width="28.54296875" customWidth="1"/>
    <col min="4" max="6" width="10.54296875" bestFit="1" customWidth="1"/>
    <col min="7" max="7" width="13.453125" customWidth="1"/>
    <col min="9" max="11" width="9" customWidth="1"/>
  </cols>
  <sheetData>
    <row r="1" spans="1:16" hidden="1" x14ac:dyDescent="0.35">
      <c r="A1" s="1" t="s">
        <v>157</v>
      </c>
      <c r="J1" s="1" t="s">
        <v>270</v>
      </c>
      <c r="P1" t="s">
        <v>13</v>
      </c>
    </row>
    <row r="2" spans="1:16" hidden="1" x14ac:dyDescent="0.35">
      <c r="B2">
        <v>2024</v>
      </c>
      <c r="C2">
        <v>2025</v>
      </c>
      <c r="D2">
        <v>2026</v>
      </c>
      <c r="E2">
        <v>2027</v>
      </c>
      <c r="F2">
        <v>2028</v>
      </c>
      <c r="G2" t="s">
        <v>13</v>
      </c>
      <c r="K2">
        <v>2024</v>
      </c>
      <c r="L2">
        <v>2025</v>
      </c>
      <c r="M2">
        <v>2026</v>
      </c>
      <c r="N2">
        <v>2027</v>
      </c>
      <c r="O2">
        <v>2028</v>
      </c>
    </row>
    <row r="3" spans="1:16" hidden="1" x14ac:dyDescent="0.35">
      <c r="A3" t="s">
        <v>179</v>
      </c>
      <c r="B3" s="4">
        <f>'Auction volumes'!D24</f>
        <v>17.099999999999994</v>
      </c>
      <c r="C3" s="4">
        <f>'Auction volumes'!E24</f>
        <v>15.300000000000002</v>
      </c>
      <c r="D3" s="4">
        <f>'Auction volumes'!F24</f>
        <v>8.5110168673366857</v>
      </c>
      <c r="E3" s="4">
        <f>'Auction volumes'!G24</f>
        <v>7.1019626842855983</v>
      </c>
      <c r="F3" s="4">
        <f>'Auction volumes'!H24</f>
        <v>5.1770349528769906</v>
      </c>
      <c r="G3" s="4">
        <f>SUM(B3:F3)</f>
        <v>53.190014504499274</v>
      </c>
      <c r="H3" s="4"/>
      <c r="I3" s="4"/>
      <c r="J3" s="4" t="s">
        <v>179</v>
      </c>
      <c r="K3" s="4">
        <f>'Auction volumes'!D64</f>
        <v>9.3900693487211377</v>
      </c>
      <c r="L3" s="4">
        <f>'Auction volumes'!E64</f>
        <v>8.2339609635704889</v>
      </c>
      <c r="M3" s="4">
        <f>'Auction volumes'!F64</f>
        <v>10.248601513334144</v>
      </c>
      <c r="N3" s="4">
        <f>'Auction volumes'!G64</f>
        <v>8.6755548153802486</v>
      </c>
      <c r="O3" s="4">
        <f>'Auction volumes'!H64</f>
        <v>6.552415709592446</v>
      </c>
      <c r="P3" s="4">
        <f>SUM(K3:O3)</f>
        <v>43.100602350598464</v>
      </c>
    </row>
    <row r="4" spans="1:16" hidden="1" x14ac:dyDescent="0.35">
      <c r="A4" t="s">
        <v>180</v>
      </c>
      <c r="B4" s="4">
        <f>'CCR volumes'!E15</f>
        <v>7.7</v>
      </c>
      <c r="C4" s="4">
        <f>'CCR volumes'!F15</f>
        <v>7.1</v>
      </c>
      <c r="D4" s="4">
        <f>'CCR volumes'!G15</f>
        <v>6.5</v>
      </c>
      <c r="E4" s="4">
        <f>'CCR volumes'!H15</f>
        <v>5.9</v>
      </c>
      <c r="F4" s="4">
        <f>'CCR volumes'!I15</f>
        <v>5.3689842110371888</v>
      </c>
      <c r="G4" s="4">
        <f t="shared" ref="G4:G7" si="0">SUM(B4:F4)</f>
        <v>32.56898421103719</v>
      </c>
      <c r="H4" s="4"/>
      <c r="I4" s="4"/>
      <c r="J4" s="4" t="s">
        <v>180</v>
      </c>
      <c r="K4" s="4">
        <f>'CCR volumes'!E7</f>
        <v>7.7000000000000011</v>
      </c>
      <c r="L4" s="4">
        <f>'CCR volumes'!F7</f>
        <v>7.1</v>
      </c>
      <c r="M4" s="4">
        <f>'CCR volumes'!G7</f>
        <v>6.5</v>
      </c>
      <c r="N4" s="4">
        <f>'CCR volumes'!H7</f>
        <v>5.9</v>
      </c>
      <c r="O4" s="4">
        <f>'CCR volumes'!I7</f>
        <v>5.3689842110371888</v>
      </c>
      <c r="P4" s="4">
        <f t="shared" ref="P4:P7" si="1">SUM(K4:O4)</f>
        <v>32.56898421103719</v>
      </c>
    </row>
    <row r="5" spans="1:16" hidden="1" x14ac:dyDescent="0.35">
      <c r="A5" t="s">
        <v>181</v>
      </c>
      <c r="B5" s="78">
        <f>B3+B4</f>
        <v>24.799999999999994</v>
      </c>
      <c r="C5" s="78">
        <f t="shared" ref="C5:F5" si="2">C3+C4</f>
        <v>22.400000000000002</v>
      </c>
      <c r="D5" s="78">
        <f t="shared" si="2"/>
        <v>15.011016867336686</v>
      </c>
      <c r="E5" s="78">
        <f t="shared" si="2"/>
        <v>13.001962684285598</v>
      </c>
      <c r="F5" s="78">
        <f t="shared" si="2"/>
        <v>10.546019163914179</v>
      </c>
      <c r="G5" s="78">
        <f t="shared" si="0"/>
        <v>85.758998715536464</v>
      </c>
      <c r="H5" s="4"/>
      <c r="I5" s="4"/>
      <c r="J5" s="4" t="s">
        <v>181</v>
      </c>
      <c r="K5" s="4">
        <f>K3+K4</f>
        <v>17.090069348721137</v>
      </c>
      <c r="L5" s="4">
        <f t="shared" ref="L5:O5" si="3">L3+L4</f>
        <v>15.333960963570489</v>
      </c>
      <c r="M5" s="4">
        <f t="shared" si="3"/>
        <v>16.748601513334144</v>
      </c>
      <c r="N5" s="4">
        <f t="shared" si="3"/>
        <v>14.575554815380249</v>
      </c>
      <c r="O5" s="4">
        <f t="shared" si="3"/>
        <v>11.921399920629636</v>
      </c>
      <c r="P5" s="4">
        <f t="shared" si="1"/>
        <v>75.669586561635654</v>
      </c>
    </row>
    <row r="6" spans="1:16" hidden="1" x14ac:dyDescent="0.35">
      <c r="A6" t="s">
        <v>159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f t="shared" si="0"/>
        <v>0</v>
      </c>
      <c r="H6" s="4"/>
      <c r="I6" s="4"/>
      <c r="J6" s="4" t="s">
        <v>159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f t="shared" si="1"/>
        <v>0</v>
      </c>
    </row>
    <row r="7" spans="1:16" hidden="1" x14ac:dyDescent="0.35">
      <c r="A7" t="s">
        <v>182</v>
      </c>
      <c r="B7" s="4">
        <f>B5+'Industrial free allocation'!Q65</f>
        <v>31.124529410222216</v>
      </c>
      <c r="C7" s="4">
        <f>C5+'Industrial free allocation'!R65</f>
        <v>28.65915045777778</v>
      </c>
      <c r="D7" s="4">
        <f>D5+'Industrial free allocation'!S65</f>
        <v>21.18305787267002</v>
      </c>
      <c r="E7" s="4">
        <f>E5+'Industrial free allocation'!T65</f>
        <v>19.108229637174485</v>
      </c>
      <c r="F7" s="4">
        <f>F5+'Industrial free allocation'!U65</f>
        <v>16.565571764358623</v>
      </c>
      <c r="G7" s="4">
        <f t="shared" si="0"/>
        <v>116.64053914220312</v>
      </c>
      <c r="H7" s="4"/>
      <c r="I7" s="4"/>
      <c r="J7" s="4" t="s">
        <v>182</v>
      </c>
      <c r="K7" s="4">
        <f>K5+'Industrial free allocation'!Q64</f>
        <v>23.229970126054468</v>
      </c>
      <c r="L7" s="4">
        <f>L5+'Industrial free allocation'!R64</f>
        <v>21.399890720237156</v>
      </c>
      <c r="M7" s="4">
        <f>M5+'Industrial free allocation'!S64</f>
        <v>22.740560249334145</v>
      </c>
      <c r="N7" s="4">
        <f>N5+'Industrial free allocation'!T64</f>
        <v>20.493542530713583</v>
      </c>
      <c r="O7" s="4">
        <f>O5+'Industrial free allocation'!U64</f>
        <v>17.765416615296303</v>
      </c>
      <c r="P7" s="4">
        <f t="shared" si="1"/>
        <v>105.62938024163566</v>
      </c>
    </row>
    <row r="8" spans="1:16" hidden="1" x14ac:dyDescent="0.35"/>
    <row r="10" spans="1:16" s="172" customFormat="1" x14ac:dyDescent="0.35">
      <c r="A10" s="38" t="s">
        <v>183</v>
      </c>
      <c r="B10" s="39"/>
      <c r="C10" s="39"/>
      <c r="D10" s="39"/>
      <c r="E10" s="39"/>
      <c r="F10" s="39"/>
      <c r="G10" s="39"/>
    </row>
    <row r="11" spans="1:16" ht="29" x14ac:dyDescent="0.35">
      <c r="A11" s="266" t="s">
        <v>271</v>
      </c>
      <c r="B11" s="289" t="s">
        <v>302</v>
      </c>
      <c r="C11" s="290"/>
      <c r="D11" s="291" t="s">
        <v>303</v>
      </c>
      <c r="E11" s="292"/>
      <c r="F11" s="293"/>
      <c r="G11" s="248"/>
    </row>
    <row r="12" spans="1:16" x14ac:dyDescent="0.35">
      <c r="A12" s="248"/>
      <c r="B12" s="248">
        <v>2024</v>
      </c>
      <c r="C12" s="248">
        <v>2025</v>
      </c>
      <c r="D12" s="248">
        <v>2026</v>
      </c>
      <c r="E12" s="248">
        <v>2027</v>
      </c>
      <c r="F12" s="248">
        <v>2028</v>
      </c>
      <c r="G12" s="249" t="s">
        <v>52</v>
      </c>
    </row>
    <row r="13" spans="1:16" x14ac:dyDescent="0.35">
      <c r="A13" s="248" t="s">
        <v>179</v>
      </c>
      <c r="B13" s="248">
        <f>ROUND(B3,1)</f>
        <v>17.100000000000001</v>
      </c>
      <c r="C13" s="248">
        <f t="shared" ref="C13:F13" si="4">ROUND(C3,1)</f>
        <v>15.3</v>
      </c>
      <c r="D13" s="248">
        <f t="shared" si="4"/>
        <v>8.5</v>
      </c>
      <c r="E13" s="248">
        <f t="shared" si="4"/>
        <v>7.1</v>
      </c>
      <c r="F13" s="248">
        <f t="shared" si="4"/>
        <v>5.2</v>
      </c>
      <c r="G13" s="249">
        <f>SUM(B13:F13)</f>
        <v>53.20000000000001</v>
      </c>
    </row>
    <row r="14" spans="1:16" x14ac:dyDescent="0.35">
      <c r="A14" s="248" t="s">
        <v>180</v>
      </c>
      <c r="B14" s="248">
        <f t="shared" ref="B14:F14" si="5">ROUND(B4,1)</f>
        <v>7.7</v>
      </c>
      <c r="C14" s="248">
        <f t="shared" si="5"/>
        <v>7.1</v>
      </c>
      <c r="D14" s="248">
        <f t="shared" si="5"/>
        <v>6.5</v>
      </c>
      <c r="E14" s="248">
        <f t="shared" si="5"/>
        <v>5.9</v>
      </c>
      <c r="F14" s="248">
        <f t="shared" si="5"/>
        <v>5.4</v>
      </c>
      <c r="G14" s="249">
        <f t="shared" ref="G14:G17" si="6">SUM(B14:F14)</f>
        <v>32.6</v>
      </c>
    </row>
    <row r="15" spans="1:16" x14ac:dyDescent="0.35">
      <c r="A15" s="248" t="s">
        <v>181</v>
      </c>
      <c r="B15" s="248">
        <f t="shared" ref="B15:F15" si="7">ROUND(B5,1)</f>
        <v>24.8</v>
      </c>
      <c r="C15" s="248">
        <f t="shared" si="7"/>
        <v>22.4</v>
      </c>
      <c r="D15" s="248">
        <f t="shared" si="7"/>
        <v>15</v>
      </c>
      <c r="E15" s="248">
        <f t="shared" si="7"/>
        <v>13</v>
      </c>
      <c r="F15" s="248">
        <f t="shared" si="7"/>
        <v>10.5</v>
      </c>
      <c r="G15" s="249">
        <f t="shared" si="6"/>
        <v>85.7</v>
      </c>
    </row>
    <row r="16" spans="1:16" x14ac:dyDescent="0.35">
      <c r="A16" s="248" t="s">
        <v>159</v>
      </c>
      <c r="B16" s="248">
        <f t="shared" ref="B16:F16" si="8">ROUND(B6,1)</f>
        <v>0</v>
      </c>
      <c r="C16" s="248">
        <f t="shared" si="8"/>
        <v>0</v>
      </c>
      <c r="D16" s="248">
        <f t="shared" si="8"/>
        <v>0</v>
      </c>
      <c r="E16" s="248">
        <f t="shared" si="8"/>
        <v>0</v>
      </c>
      <c r="F16" s="248">
        <f t="shared" si="8"/>
        <v>0</v>
      </c>
      <c r="G16" s="249">
        <f t="shared" si="6"/>
        <v>0</v>
      </c>
    </row>
    <row r="17" spans="1:7" x14ac:dyDescent="0.35">
      <c r="A17" s="249" t="s">
        <v>182</v>
      </c>
      <c r="B17" s="249">
        <f t="shared" ref="B17:F17" si="9">ROUND(B7,1)</f>
        <v>31.1</v>
      </c>
      <c r="C17" s="249">
        <f t="shared" si="9"/>
        <v>28.7</v>
      </c>
      <c r="D17" s="249">
        <f t="shared" si="9"/>
        <v>21.2</v>
      </c>
      <c r="E17" s="249">
        <f t="shared" si="9"/>
        <v>19.100000000000001</v>
      </c>
      <c r="F17" s="249">
        <f t="shared" si="9"/>
        <v>16.600000000000001</v>
      </c>
      <c r="G17" s="249">
        <f t="shared" si="6"/>
        <v>116.69999999999999</v>
      </c>
    </row>
    <row r="19" spans="1:7" s="172" customFormat="1" x14ac:dyDescent="0.35">
      <c r="A19" s="146" t="s">
        <v>128</v>
      </c>
      <c r="B19" s="39"/>
      <c r="C19" s="39"/>
      <c r="D19" s="39"/>
      <c r="E19" s="39"/>
      <c r="F19" s="39"/>
    </row>
    <row r="20" spans="1:7" ht="29" x14ac:dyDescent="0.35">
      <c r="A20" s="266" t="s">
        <v>292</v>
      </c>
      <c r="B20" s="289" t="s">
        <v>302</v>
      </c>
      <c r="C20" s="290"/>
      <c r="D20" s="291" t="s">
        <v>303</v>
      </c>
      <c r="E20" s="292"/>
      <c r="F20" s="293"/>
    </row>
    <row r="21" spans="1:7" x14ac:dyDescent="0.35">
      <c r="A21" s="248" t="s">
        <v>129</v>
      </c>
      <c r="B21" s="248">
        <v>2024</v>
      </c>
      <c r="C21" s="248">
        <v>2025</v>
      </c>
      <c r="D21" s="248">
        <v>2026</v>
      </c>
      <c r="E21" s="248">
        <v>2027</v>
      </c>
      <c r="F21" s="248">
        <v>2028</v>
      </c>
    </row>
    <row r="22" spans="1:7" x14ac:dyDescent="0.35">
      <c r="A22" s="248"/>
      <c r="B22" s="288" t="s">
        <v>120</v>
      </c>
      <c r="C22" s="288"/>
      <c r="D22" s="288"/>
      <c r="E22" s="288"/>
      <c r="F22" s="288"/>
    </row>
    <row r="23" spans="1:7" x14ac:dyDescent="0.35">
      <c r="A23" s="248" t="s">
        <v>121</v>
      </c>
      <c r="B23" s="250">
        <f>'Trigger prices'!E38</f>
        <v>91.61</v>
      </c>
      <c r="C23" s="250">
        <f>'Trigger prices'!F38</f>
        <v>103.24</v>
      </c>
      <c r="D23" s="250">
        <f>'Trigger prices'!G34</f>
        <v>205</v>
      </c>
      <c r="E23" s="250">
        <f>'Trigger prices'!H34</f>
        <v>215</v>
      </c>
      <c r="F23" s="250">
        <f>'Trigger prices'!I34</f>
        <v>226</v>
      </c>
    </row>
    <row r="24" spans="1:7" x14ac:dyDescent="0.35">
      <c r="A24" s="248" t="s">
        <v>184</v>
      </c>
      <c r="B24" s="248">
        <f>ROUND('CCR volumes'!E13,1)</f>
        <v>7.7</v>
      </c>
      <c r="C24" s="248">
        <f>ROUND('CCR volumes'!F13,1)</f>
        <v>7.1</v>
      </c>
      <c r="D24" s="248">
        <f>ROUND('CCR volumes'!G13,1)</f>
        <v>2.2999999999999998</v>
      </c>
      <c r="E24" s="248">
        <f>ROUND('CCR volumes'!H13,1)</f>
        <v>2.1</v>
      </c>
      <c r="F24" s="248">
        <f>ROUND('CCR volumes'!I13,1)</f>
        <v>1.9</v>
      </c>
    </row>
    <row r="25" spans="1:7" x14ac:dyDescent="0.35">
      <c r="A25" s="248"/>
      <c r="B25" s="288" t="s">
        <v>122</v>
      </c>
      <c r="C25" s="288"/>
      <c r="D25" s="288"/>
      <c r="E25" s="288"/>
      <c r="F25" s="288"/>
    </row>
    <row r="26" spans="1:7" x14ac:dyDescent="0.35">
      <c r="A26" s="248" t="s">
        <v>121</v>
      </c>
      <c r="B26" s="250" t="s">
        <v>123</v>
      </c>
      <c r="C26" s="250" t="s">
        <v>123</v>
      </c>
      <c r="D26" s="250">
        <f>'Trigger prices'!G35</f>
        <v>256</v>
      </c>
      <c r="E26" s="250">
        <f>'Trigger prices'!H35</f>
        <v>269</v>
      </c>
      <c r="F26" s="250">
        <f>'Trigger prices'!I35</f>
        <v>282</v>
      </c>
    </row>
    <row r="27" spans="1:7" x14ac:dyDescent="0.35">
      <c r="A27" s="248" t="s">
        <v>184</v>
      </c>
      <c r="B27" s="248"/>
      <c r="C27" s="248"/>
      <c r="D27" s="248">
        <f>ROUND('CCR volumes'!G6,1)</f>
        <v>4.2</v>
      </c>
      <c r="E27" s="248">
        <f>ROUND('CCR volumes'!H6,1)</f>
        <v>3.8</v>
      </c>
      <c r="F27" s="248">
        <f>ROUND('CCR volumes'!I6,1)</f>
        <v>3.4</v>
      </c>
    </row>
    <row r="28" spans="1:7" x14ac:dyDescent="0.35">
      <c r="A28" s="248" t="s">
        <v>124</v>
      </c>
      <c r="B28" s="248">
        <f>B24+B27</f>
        <v>7.7</v>
      </c>
      <c r="C28" s="248">
        <f t="shared" ref="C28" si="10">C24+C27</f>
        <v>7.1</v>
      </c>
      <c r="D28" s="248">
        <f t="shared" ref="D28" si="11">D24+D27</f>
        <v>6.5</v>
      </c>
      <c r="E28" s="248">
        <f t="shared" ref="E28" si="12">E24+E27</f>
        <v>5.9</v>
      </c>
      <c r="F28" s="248">
        <f t="shared" ref="F28" si="13">F24+F27</f>
        <v>5.3</v>
      </c>
    </row>
    <row r="30" spans="1:7" x14ac:dyDescent="0.35">
      <c r="A30" s="249" t="s">
        <v>293</v>
      </c>
      <c r="B30" s="248"/>
      <c r="C30" s="248"/>
      <c r="D30" s="248"/>
      <c r="E30" s="248"/>
      <c r="F30" s="248"/>
    </row>
    <row r="31" spans="1:7" x14ac:dyDescent="0.35">
      <c r="A31" s="248"/>
      <c r="B31" s="248">
        <v>2024</v>
      </c>
      <c r="C31" s="248">
        <v>2025</v>
      </c>
      <c r="D31" s="248">
        <v>2026</v>
      </c>
      <c r="E31" s="248">
        <v>2027</v>
      </c>
      <c r="F31" s="248">
        <v>2028</v>
      </c>
    </row>
    <row r="32" spans="1:7" x14ac:dyDescent="0.35">
      <c r="A32" s="248" t="s">
        <v>125</v>
      </c>
      <c r="B32" s="250">
        <f>'Trigger prices'!E57</f>
        <v>35.9</v>
      </c>
      <c r="C32" s="250">
        <f>'Trigger prices'!F57</f>
        <v>38.67</v>
      </c>
      <c r="D32" s="250">
        <f>'Trigger prices'!G54</f>
        <v>72</v>
      </c>
      <c r="E32" s="250">
        <f>'Trigger prices'!H54</f>
        <v>75</v>
      </c>
      <c r="F32" s="250">
        <f>'Trigger prices'!I54</f>
        <v>79</v>
      </c>
    </row>
    <row r="35" spans="1:15" s="246" customFormat="1" x14ac:dyDescent="0.35">
      <c r="A35" s="245" t="s">
        <v>291</v>
      </c>
    </row>
    <row r="37" spans="1:15" s="172" customFormat="1" x14ac:dyDescent="0.35">
      <c r="A37" s="180" t="s">
        <v>183</v>
      </c>
      <c r="B37" s="181"/>
      <c r="C37" s="181"/>
      <c r="D37" s="181"/>
      <c r="E37" s="181"/>
      <c r="F37" s="181"/>
      <c r="G37" s="181"/>
    </row>
    <row r="38" spans="1:15" s="172" customFormat="1" x14ac:dyDescent="0.35">
      <c r="A38" s="249" t="s">
        <v>290</v>
      </c>
      <c r="B38" s="248"/>
      <c r="C38" s="248"/>
      <c r="D38" s="248"/>
      <c r="E38" s="248"/>
      <c r="F38" s="248"/>
      <c r="G38" s="248"/>
    </row>
    <row r="39" spans="1:15" x14ac:dyDescent="0.35">
      <c r="A39" s="248"/>
      <c r="B39" s="248">
        <v>2024</v>
      </c>
      <c r="C39" s="248">
        <v>2025</v>
      </c>
      <c r="D39" s="248">
        <v>2026</v>
      </c>
      <c r="E39" s="248">
        <v>2027</v>
      </c>
      <c r="F39" s="248">
        <v>2028</v>
      </c>
      <c r="G39" s="249" t="s">
        <v>52</v>
      </c>
      <c r="K39" s="119"/>
      <c r="L39" s="119"/>
      <c r="M39" s="119"/>
      <c r="N39" s="119"/>
      <c r="O39" s="119"/>
    </row>
    <row r="40" spans="1:15" x14ac:dyDescent="0.35">
      <c r="A40" s="248" t="s">
        <v>179</v>
      </c>
      <c r="B40" s="248">
        <f t="shared" ref="B40:F44" si="14">ROUND(K3,1)</f>
        <v>9.4</v>
      </c>
      <c r="C40" s="248">
        <f t="shared" si="14"/>
        <v>8.1999999999999993</v>
      </c>
      <c r="D40" s="248">
        <f t="shared" si="14"/>
        <v>10.199999999999999</v>
      </c>
      <c r="E40" s="248">
        <f t="shared" si="14"/>
        <v>8.6999999999999993</v>
      </c>
      <c r="F40" s="248">
        <f t="shared" si="14"/>
        <v>6.6</v>
      </c>
      <c r="G40" s="249">
        <f>SUM(B40:F40)</f>
        <v>43.1</v>
      </c>
    </row>
    <row r="41" spans="1:15" x14ac:dyDescent="0.35">
      <c r="A41" s="248" t="s">
        <v>180</v>
      </c>
      <c r="B41" s="248">
        <f t="shared" si="14"/>
        <v>7.7</v>
      </c>
      <c r="C41" s="248">
        <f t="shared" si="14"/>
        <v>7.1</v>
      </c>
      <c r="D41" s="248">
        <f t="shared" si="14"/>
        <v>6.5</v>
      </c>
      <c r="E41" s="248">
        <f t="shared" si="14"/>
        <v>5.9</v>
      </c>
      <c r="F41" s="248">
        <f t="shared" si="14"/>
        <v>5.4</v>
      </c>
      <c r="G41" s="249">
        <f t="shared" ref="G41:G44" si="15">SUM(B41:F41)</f>
        <v>32.6</v>
      </c>
      <c r="K41" s="119"/>
      <c r="L41" s="119"/>
      <c r="M41" s="119"/>
      <c r="N41" s="119"/>
      <c r="O41" s="119"/>
    </row>
    <row r="42" spans="1:15" x14ac:dyDescent="0.35">
      <c r="A42" s="248" t="s">
        <v>181</v>
      </c>
      <c r="B42" s="248">
        <f t="shared" si="14"/>
        <v>17.100000000000001</v>
      </c>
      <c r="C42" s="248">
        <f t="shared" si="14"/>
        <v>15.3</v>
      </c>
      <c r="D42" s="248">
        <f t="shared" si="14"/>
        <v>16.7</v>
      </c>
      <c r="E42" s="248">
        <f t="shared" si="14"/>
        <v>14.6</v>
      </c>
      <c r="F42" s="248">
        <f t="shared" si="14"/>
        <v>11.9</v>
      </c>
      <c r="G42" s="249">
        <f t="shared" si="15"/>
        <v>75.600000000000009</v>
      </c>
      <c r="H42" s="120"/>
      <c r="I42" s="120"/>
      <c r="K42" s="4"/>
      <c r="L42" s="4"/>
      <c r="M42" s="4"/>
      <c r="N42" s="4"/>
      <c r="O42" s="4"/>
    </row>
    <row r="43" spans="1:15" x14ac:dyDescent="0.35">
      <c r="A43" s="248" t="s">
        <v>159</v>
      </c>
      <c r="B43" s="248">
        <f t="shared" si="14"/>
        <v>0</v>
      </c>
      <c r="C43" s="248">
        <f t="shared" si="14"/>
        <v>0</v>
      </c>
      <c r="D43" s="248">
        <f t="shared" si="14"/>
        <v>0</v>
      </c>
      <c r="E43" s="248">
        <f t="shared" si="14"/>
        <v>0</v>
      </c>
      <c r="F43" s="248">
        <f t="shared" si="14"/>
        <v>0</v>
      </c>
      <c r="G43" s="249">
        <f t="shared" si="15"/>
        <v>0</v>
      </c>
      <c r="H43" s="120"/>
      <c r="I43" s="120"/>
      <c r="K43" s="4"/>
      <c r="L43" s="4"/>
      <c r="M43" s="4"/>
      <c r="N43" s="4"/>
      <c r="O43" s="4"/>
    </row>
    <row r="44" spans="1:15" x14ac:dyDescent="0.35">
      <c r="A44" s="249" t="s">
        <v>182</v>
      </c>
      <c r="B44" s="249">
        <f t="shared" si="14"/>
        <v>23.2</v>
      </c>
      <c r="C44" s="249">
        <f t="shared" si="14"/>
        <v>21.4</v>
      </c>
      <c r="D44" s="249">
        <f t="shared" si="14"/>
        <v>22.7</v>
      </c>
      <c r="E44" s="249">
        <f t="shared" si="14"/>
        <v>20.5</v>
      </c>
      <c r="F44" s="249">
        <f t="shared" si="14"/>
        <v>17.8</v>
      </c>
      <c r="G44" s="249">
        <f t="shared" si="15"/>
        <v>105.6</v>
      </c>
    </row>
    <row r="46" spans="1:15" s="172" customFormat="1" x14ac:dyDescent="0.35">
      <c r="A46" s="180" t="s">
        <v>128</v>
      </c>
      <c r="B46" s="181"/>
      <c r="C46" s="181"/>
      <c r="D46" s="181"/>
      <c r="E46" s="181"/>
      <c r="F46" s="181"/>
    </row>
    <row r="47" spans="1:15" x14ac:dyDescent="0.35">
      <c r="A47" s="249" t="s">
        <v>294</v>
      </c>
      <c r="B47" s="248"/>
      <c r="C47" s="248"/>
      <c r="D47" s="248"/>
      <c r="E47" s="248"/>
      <c r="F47" s="248"/>
    </row>
    <row r="48" spans="1:15" x14ac:dyDescent="0.35">
      <c r="A48" s="248" t="s">
        <v>129</v>
      </c>
      <c r="B48" s="248">
        <v>2024</v>
      </c>
      <c r="C48" s="248">
        <v>2025</v>
      </c>
      <c r="D48" s="248">
        <v>2026</v>
      </c>
      <c r="E48" s="248">
        <v>2027</v>
      </c>
      <c r="F48" s="248">
        <v>2028</v>
      </c>
    </row>
    <row r="49" spans="1:6" x14ac:dyDescent="0.35">
      <c r="A49" s="248"/>
      <c r="B49" s="288" t="s">
        <v>120</v>
      </c>
      <c r="C49" s="288"/>
      <c r="D49" s="288"/>
      <c r="E49" s="288"/>
      <c r="F49" s="288"/>
    </row>
    <row r="50" spans="1:6" x14ac:dyDescent="0.35">
      <c r="A50" s="248" t="s">
        <v>121</v>
      </c>
      <c r="B50" s="250">
        <f>'Trigger prices'!E34</f>
        <v>184</v>
      </c>
      <c r="C50" s="250">
        <f>'Trigger prices'!F34</f>
        <v>195</v>
      </c>
      <c r="D50" s="250">
        <f>'Trigger prices'!G34</f>
        <v>205</v>
      </c>
      <c r="E50" s="250">
        <f>'Trigger prices'!H34</f>
        <v>215</v>
      </c>
      <c r="F50" s="250">
        <f>'Trigger prices'!I34</f>
        <v>226</v>
      </c>
    </row>
    <row r="51" spans="1:6" x14ac:dyDescent="0.35">
      <c r="A51" s="248" t="s">
        <v>184</v>
      </c>
      <c r="B51" s="248">
        <f>ROUND('CCR volumes'!E5,1)</f>
        <v>2.8</v>
      </c>
      <c r="C51" s="248">
        <f>ROUND('CCR volumes'!F5,1)</f>
        <v>2.6</v>
      </c>
      <c r="D51" s="248">
        <f>ROUND('CCR volumes'!$G$5,1)</f>
        <v>2.2999999999999998</v>
      </c>
      <c r="E51" s="248">
        <f>ROUND('CCR volumes'!H5,1)</f>
        <v>2.1</v>
      </c>
      <c r="F51" s="248">
        <f>ROUND('CCR volumes'!I5,1)</f>
        <v>1.9</v>
      </c>
    </row>
    <row r="52" spans="1:6" x14ac:dyDescent="0.35">
      <c r="A52" s="248"/>
      <c r="B52" s="288" t="s">
        <v>122</v>
      </c>
      <c r="C52" s="288"/>
      <c r="D52" s="288"/>
      <c r="E52" s="288"/>
      <c r="F52" s="288"/>
    </row>
    <row r="53" spans="1:6" x14ac:dyDescent="0.35">
      <c r="A53" s="248" t="s">
        <v>121</v>
      </c>
      <c r="B53" s="250">
        <f>'Trigger prices'!E35</f>
        <v>231</v>
      </c>
      <c r="C53" s="250">
        <f>'Trigger prices'!F35</f>
        <v>243</v>
      </c>
      <c r="D53" s="250">
        <f>'Trigger prices'!G35</f>
        <v>256</v>
      </c>
      <c r="E53" s="250">
        <f>'Trigger prices'!H35</f>
        <v>269</v>
      </c>
      <c r="F53" s="250">
        <f>'Trigger prices'!I35</f>
        <v>282</v>
      </c>
    </row>
    <row r="54" spans="1:6" x14ac:dyDescent="0.35">
      <c r="A54" s="248" t="s">
        <v>184</v>
      </c>
      <c r="B54" s="248">
        <f>ROUND('CCR volumes'!E6,1)</f>
        <v>4.9000000000000004</v>
      </c>
      <c r="C54" s="248">
        <f>ROUND('CCR volumes'!F6,1)</f>
        <v>4.5</v>
      </c>
      <c r="D54" s="248">
        <f>ROUND('CCR volumes'!$G$6,1)</f>
        <v>4.2</v>
      </c>
      <c r="E54" s="248">
        <f>ROUND('CCR volumes'!H6,1)</f>
        <v>3.8</v>
      </c>
      <c r="F54" s="248">
        <f>ROUND('CCR volumes'!I6,1)</f>
        <v>3.4</v>
      </c>
    </row>
    <row r="55" spans="1:6" x14ac:dyDescent="0.35">
      <c r="A55" s="248" t="s">
        <v>124</v>
      </c>
      <c r="B55" s="248">
        <f>B51+B54</f>
        <v>7.7</v>
      </c>
      <c r="C55" s="248">
        <f t="shared" ref="C55:F55" si="16">C51+C54</f>
        <v>7.1</v>
      </c>
      <c r="D55" s="248">
        <f t="shared" si="16"/>
        <v>6.5</v>
      </c>
      <c r="E55" s="248">
        <f t="shared" si="16"/>
        <v>5.9</v>
      </c>
      <c r="F55" s="248">
        <f t="shared" si="16"/>
        <v>5.3</v>
      </c>
    </row>
    <row r="57" spans="1:6" x14ac:dyDescent="0.35">
      <c r="A57" s="249" t="s">
        <v>295</v>
      </c>
      <c r="B57" s="248"/>
      <c r="C57" s="248"/>
      <c r="D57" s="248"/>
      <c r="E57" s="248"/>
      <c r="F57" s="248"/>
    </row>
    <row r="58" spans="1:6" x14ac:dyDescent="0.35">
      <c r="A58" s="248"/>
      <c r="B58" s="248">
        <v>2024</v>
      </c>
      <c r="C58" s="248">
        <v>2025</v>
      </c>
      <c r="D58" s="248">
        <v>2026</v>
      </c>
      <c r="E58" s="248">
        <v>2027</v>
      </c>
      <c r="F58" s="248">
        <v>2028</v>
      </c>
    </row>
    <row r="59" spans="1:6" x14ac:dyDescent="0.35">
      <c r="A59" s="248" t="s">
        <v>125</v>
      </c>
      <c r="B59" s="250">
        <f>'Trigger prices'!E54</f>
        <v>65</v>
      </c>
      <c r="C59" s="250">
        <f>'Trigger prices'!F54</f>
        <v>68</v>
      </c>
      <c r="D59" s="250">
        <f>'Trigger prices'!G54</f>
        <v>72</v>
      </c>
      <c r="E59" s="250">
        <f>'Trigger prices'!H54</f>
        <v>75</v>
      </c>
      <c r="F59" s="250">
        <f>'Trigger prices'!I54</f>
        <v>79</v>
      </c>
    </row>
  </sheetData>
  <mergeCells count="8">
    <mergeCell ref="B22:F22"/>
    <mergeCell ref="B25:F25"/>
    <mergeCell ref="B49:F49"/>
    <mergeCell ref="B52:F52"/>
    <mergeCell ref="B11:C11"/>
    <mergeCell ref="D11:F11"/>
    <mergeCell ref="B20:C20"/>
    <mergeCell ref="D20:F20"/>
  </mergeCells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45B0-4FD1-47D1-A7B7-94914039F2A6}">
  <sheetPr>
    <tabColor theme="5" tint="0.79998168889431442"/>
  </sheetPr>
  <dimension ref="A1:BL70"/>
  <sheetViews>
    <sheetView zoomScale="85" zoomScaleNormal="85" workbookViewId="0">
      <pane xSplit="3" ySplit="1" topLeftCell="AH2" activePane="bottomRight" state="frozen"/>
      <selection pane="topRight" activeCell="AM20" sqref="AM20"/>
      <selection pane="bottomLeft" activeCell="AM20" sqref="AM20"/>
      <selection pane="bottomRight" activeCell="AP1" sqref="AP1"/>
    </sheetView>
  </sheetViews>
  <sheetFormatPr defaultColWidth="9.1796875" defaultRowHeight="14.5" x14ac:dyDescent="0.35"/>
  <cols>
    <col min="1" max="1" width="9.1796875" customWidth="1"/>
    <col min="2" max="2" width="27.26953125" style="9" customWidth="1"/>
    <col min="3" max="3" width="22.7265625" customWidth="1"/>
    <col min="4" max="34" width="9.1796875" hidden="1" customWidth="1"/>
    <col min="35" max="35" width="9.54296875" hidden="1" customWidth="1"/>
    <col min="36" max="36" width="9.1796875" customWidth="1"/>
    <col min="37" max="38" width="9.453125" bestFit="1" customWidth="1"/>
    <col min="39" max="39" width="11.81640625" customWidth="1"/>
    <col min="40" max="41" width="12.54296875" customWidth="1"/>
    <col min="42" max="64" width="10.1796875" bestFit="1" customWidth="1"/>
  </cols>
  <sheetData>
    <row r="1" spans="1:64" x14ac:dyDescent="0.35">
      <c r="A1" t="s">
        <v>215</v>
      </c>
      <c r="D1">
        <v>1990</v>
      </c>
      <c r="E1">
        <v>1991</v>
      </c>
      <c r="F1">
        <v>1992</v>
      </c>
      <c r="G1">
        <v>1993</v>
      </c>
      <c r="H1">
        <v>1994</v>
      </c>
      <c r="I1">
        <v>1995</v>
      </c>
      <c r="J1">
        <v>1996</v>
      </c>
      <c r="K1">
        <v>1997</v>
      </c>
      <c r="L1">
        <v>1998</v>
      </c>
      <c r="M1">
        <v>1999</v>
      </c>
      <c r="N1">
        <v>2000</v>
      </c>
      <c r="O1">
        <v>2001</v>
      </c>
      <c r="P1">
        <v>2002</v>
      </c>
      <c r="Q1">
        <v>2003</v>
      </c>
      <c r="R1">
        <v>2004</v>
      </c>
      <c r="S1">
        <v>2005</v>
      </c>
      <c r="T1">
        <v>2006</v>
      </c>
      <c r="U1">
        <v>2007</v>
      </c>
      <c r="V1">
        <v>2008</v>
      </c>
      <c r="W1">
        <v>2009</v>
      </c>
      <c r="X1">
        <v>2010</v>
      </c>
      <c r="Y1">
        <v>2011</v>
      </c>
      <c r="Z1">
        <v>2012</v>
      </c>
      <c r="AA1">
        <v>2013</v>
      </c>
      <c r="AB1">
        <v>2014</v>
      </c>
      <c r="AC1">
        <v>2015</v>
      </c>
      <c r="AD1">
        <v>2016</v>
      </c>
      <c r="AE1">
        <v>2017</v>
      </c>
      <c r="AF1">
        <v>2018</v>
      </c>
      <c r="AG1">
        <v>2019</v>
      </c>
      <c r="AH1">
        <v>2020</v>
      </c>
      <c r="AI1">
        <v>2021</v>
      </c>
      <c r="AJ1">
        <v>2022</v>
      </c>
      <c r="AK1">
        <v>2023</v>
      </c>
      <c r="AL1">
        <v>2024</v>
      </c>
      <c r="AM1">
        <v>2025</v>
      </c>
      <c r="AN1">
        <v>2026</v>
      </c>
      <c r="AO1">
        <v>2027</v>
      </c>
      <c r="AP1">
        <v>2028</v>
      </c>
      <c r="AQ1">
        <v>2029</v>
      </c>
      <c r="AR1">
        <v>2030</v>
      </c>
      <c r="AS1">
        <v>2031</v>
      </c>
      <c r="AT1">
        <v>2032</v>
      </c>
      <c r="AU1">
        <v>2033</v>
      </c>
      <c r="AV1">
        <v>2034</v>
      </c>
      <c r="AW1">
        <v>2035</v>
      </c>
      <c r="AX1">
        <v>2036</v>
      </c>
      <c r="AY1">
        <v>2037</v>
      </c>
      <c r="AZ1">
        <v>2038</v>
      </c>
      <c r="BA1">
        <v>2039</v>
      </c>
      <c r="BB1">
        <v>2040</v>
      </c>
      <c r="BC1">
        <v>2041</v>
      </c>
      <c r="BD1">
        <v>2042</v>
      </c>
      <c r="BE1">
        <v>2043</v>
      </c>
      <c r="BF1">
        <v>2044</v>
      </c>
      <c r="BG1">
        <v>2045</v>
      </c>
      <c r="BH1">
        <v>2046</v>
      </c>
      <c r="BI1">
        <v>2047</v>
      </c>
      <c r="BJ1">
        <v>2048</v>
      </c>
      <c r="BK1">
        <v>2049</v>
      </c>
      <c r="BL1">
        <v>2050</v>
      </c>
    </row>
    <row r="2" spans="1:64" x14ac:dyDescent="0.35">
      <c r="AH2" s="32"/>
      <c r="AI2" s="32"/>
      <c r="AJ2" s="32"/>
      <c r="AK2" s="32"/>
      <c r="AL2" s="32"/>
      <c r="AM2" s="32"/>
    </row>
    <row r="3" spans="1:64" s="39" customFormat="1" x14ac:dyDescent="0.35">
      <c r="A3" s="38" t="s">
        <v>186</v>
      </c>
    </row>
    <row r="4" spans="1:64" x14ac:dyDescent="0.35">
      <c r="A4" s="1"/>
      <c r="B4"/>
      <c r="AH4" s="32"/>
      <c r="AI4" s="32"/>
      <c r="AJ4" s="32"/>
      <c r="AK4" s="32"/>
      <c r="AL4" s="32"/>
      <c r="AM4" s="32"/>
    </row>
    <row r="5" spans="1:64" x14ac:dyDescent="0.35">
      <c r="A5" s="1"/>
      <c r="B5" s="1" t="s">
        <v>187</v>
      </c>
    </row>
    <row r="6" spans="1:64" x14ac:dyDescent="0.35">
      <c r="B6"/>
      <c r="C6" t="s">
        <v>188</v>
      </c>
      <c r="D6" s="32">
        <v>8123.4738048603285</v>
      </c>
      <c r="E6" s="32">
        <v>8103.151366916326</v>
      </c>
      <c r="F6" s="32">
        <v>8465.3738838749887</v>
      </c>
      <c r="G6" s="32">
        <v>8917.1083368543023</v>
      </c>
      <c r="H6" s="32">
        <v>9577.0808586024577</v>
      </c>
      <c r="I6" s="32">
        <v>10239.751270685269</v>
      </c>
      <c r="J6" s="32">
        <v>10370.213477161265</v>
      </c>
      <c r="K6" s="32">
        <v>10595.889532393232</v>
      </c>
      <c r="L6" s="32">
        <v>10800.287827520146</v>
      </c>
      <c r="M6" s="32">
        <v>11085.248585156945</v>
      </c>
      <c r="N6" s="32">
        <v>11635.189554943681</v>
      </c>
      <c r="O6" s="32">
        <v>11692.734720415607</v>
      </c>
      <c r="P6" s="32">
        <v>12148.077566047319</v>
      </c>
      <c r="Q6" s="32">
        <v>12682.556619811654</v>
      </c>
      <c r="R6" s="32">
        <v>12975.975090054404</v>
      </c>
      <c r="S6" s="32">
        <v>13046.884396819123</v>
      </c>
      <c r="T6" s="32">
        <v>13165.766263018873</v>
      </c>
      <c r="U6" s="32">
        <v>13268.57941131241</v>
      </c>
      <c r="V6" s="32">
        <v>13278.302641661277</v>
      </c>
      <c r="W6" s="32">
        <v>13085.690879123733</v>
      </c>
      <c r="X6" s="32">
        <v>13334.27651128357</v>
      </c>
      <c r="Y6" s="32">
        <v>13317.62839669132</v>
      </c>
      <c r="Z6" s="32">
        <v>12992.883365668904</v>
      </c>
      <c r="AA6" s="32">
        <v>13068.056313476918</v>
      </c>
      <c r="AB6" s="32">
        <v>13326.758858692861</v>
      </c>
      <c r="AC6" s="32">
        <v>13792.474756443526</v>
      </c>
      <c r="AD6" s="32">
        <v>13894.199123622979</v>
      </c>
      <c r="AE6" s="32">
        <v>14792.764873637303</v>
      </c>
      <c r="AF6" s="32">
        <v>15115.380716007123</v>
      </c>
      <c r="AG6" s="32">
        <v>14643.952939914274</v>
      </c>
      <c r="AH6" s="32">
        <v>13168.39660793059</v>
      </c>
      <c r="AI6" s="32">
        <v>14385.225352102547</v>
      </c>
      <c r="AJ6" s="32">
        <v>15128.968874994676</v>
      </c>
      <c r="AK6" s="32">
        <v>15259.567468236215</v>
      </c>
      <c r="AL6" s="32">
        <v>15140.070010179808</v>
      </c>
      <c r="AM6" s="32">
        <v>14985.437009891983</v>
      </c>
      <c r="AN6" s="32">
        <v>14736.221421772678</v>
      </c>
      <c r="AO6" s="32">
        <v>14436.928327575199</v>
      </c>
      <c r="AP6" s="32">
        <v>14013.572993853402</v>
      </c>
      <c r="AQ6" s="32">
        <v>13471.687965075223</v>
      </c>
      <c r="AR6" s="32">
        <v>12812.416934443696</v>
      </c>
      <c r="AS6" s="32">
        <v>12012.970672576779</v>
      </c>
      <c r="AT6" s="32">
        <v>11201.393400169771</v>
      </c>
      <c r="AU6" s="32">
        <v>10362.791763005995</v>
      </c>
      <c r="AV6" s="32">
        <v>9568.3436605325442</v>
      </c>
      <c r="AW6" s="32">
        <v>8733.7493359329765</v>
      </c>
      <c r="AX6" s="32">
        <v>7964.3795957554476</v>
      </c>
      <c r="AY6" s="32">
        <v>7185.2634121177334</v>
      </c>
      <c r="AZ6" s="32">
        <v>6497.725009255455</v>
      </c>
      <c r="BA6" s="32">
        <v>5882.1709831005192</v>
      </c>
      <c r="BB6" s="32">
        <v>5251.9006921572427</v>
      </c>
      <c r="BC6" s="32">
        <v>4738.2300204952189</v>
      </c>
      <c r="BD6" s="32">
        <v>4232.5829817013855</v>
      </c>
      <c r="BE6" s="32">
        <v>3755.8946284745812</v>
      </c>
      <c r="BF6" s="32">
        <v>3300.3617587416993</v>
      </c>
      <c r="BG6" s="32">
        <v>2846.8915192967138</v>
      </c>
      <c r="BH6" s="32">
        <v>2519.707775449052</v>
      </c>
      <c r="BI6" s="32">
        <v>2197.9527652971842</v>
      </c>
      <c r="BJ6" s="32">
        <v>1881.1356716947362</v>
      </c>
      <c r="BK6" s="32">
        <v>1648.157390127272</v>
      </c>
      <c r="BL6" s="32">
        <v>1465.5441280249402</v>
      </c>
    </row>
    <row r="7" spans="1:64" x14ac:dyDescent="0.35">
      <c r="C7" t="s">
        <v>189</v>
      </c>
      <c r="D7" s="32">
        <v>15870.432739954342</v>
      </c>
      <c r="E7" s="32">
        <v>16378.466290069518</v>
      </c>
      <c r="F7" s="32">
        <v>17872.680038791048</v>
      </c>
      <c r="G7" s="32">
        <v>16963.730980163415</v>
      </c>
      <c r="H7" s="32">
        <v>16630.053510039124</v>
      </c>
      <c r="I7" s="32">
        <v>15732.047373899533</v>
      </c>
      <c r="J7" s="32">
        <v>17229.158640444279</v>
      </c>
      <c r="K7" s="32">
        <v>19033.756151465674</v>
      </c>
      <c r="L7" s="32">
        <v>17245.302453661639</v>
      </c>
      <c r="M7" s="32">
        <v>18330.876664378062</v>
      </c>
      <c r="N7" s="32">
        <v>18510.199955178108</v>
      </c>
      <c r="O7" s="32">
        <v>20478.222137259898</v>
      </c>
      <c r="P7" s="32">
        <v>19959.661992715868</v>
      </c>
      <c r="Q7" s="32">
        <v>20827.542521056315</v>
      </c>
      <c r="R7" s="32">
        <v>20177.334934761973</v>
      </c>
      <c r="S7" s="32">
        <v>21714.678340624607</v>
      </c>
      <c r="T7" s="32">
        <v>22034.751114421178</v>
      </c>
      <c r="U7" s="32">
        <v>20499.48259464484</v>
      </c>
      <c r="V7" s="32">
        <v>21598.295800208387</v>
      </c>
      <c r="W7" s="32">
        <v>19122.213588001083</v>
      </c>
      <c r="X7" s="32">
        <v>19062.758250566105</v>
      </c>
      <c r="Y7" s="32">
        <v>18391.989680725048</v>
      </c>
      <c r="Z7" s="32">
        <v>20061.823877863775</v>
      </c>
      <c r="AA7" s="32">
        <v>19101.56617704346</v>
      </c>
      <c r="AB7" s="32">
        <v>18913.448428514144</v>
      </c>
      <c r="AC7" s="32">
        <v>18698.791922816465</v>
      </c>
      <c r="AD7" s="32">
        <v>17183.121331879483</v>
      </c>
      <c r="AE7" s="32">
        <v>17726.254212435371</v>
      </c>
      <c r="AF7" s="32">
        <v>17471.853230500838</v>
      </c>
      <c r="AG7" s="32">
        <v>19335.032033966676</v>
      </c>
      <c r="AH7" s="32">
        <v>18350.509251858835</v>
      </c>
      <c r="AI7" s="32">
        <v>18515.498817842257</v>
      </c>
      <c r="AJ7" s="32">
        <v>17143.922579717484</v>
      </c>
      <c r="AK7" s="32">
        <v>16230.534911713732</v>
      </c>
      <c r="AL7" s="32">
        <v>15270.609768339202</v>
      </c>
      <c r="AM7" s="32">
        <v>14308.170706467447</v>
      </c>
      <c r="AN7" s="32">
        <v>14014.047750345175</v>
      </c>
      <c r="AO7" s="32">
        <v>13667.509619735816</v>
      </c>
      <c r="AP7" s="32">
        <v>13391.521985244801</v>
      </c>
      <c r="AQ7" s="32">
        <v>13148.571623303555</v>
      </c>
      <c r="AR7" s="32">
        <v>12115.275354511348</v>
      </c>
      <c r="AS7" s="32">
        <v>11765.860989321602</v>
      </c>
      <c r="AT7" s="32">
        <v>11387.805847631886</v>
      </c>
      <c r="AU7" s="32">
        <v>11115.140284842288</v>
      </c>
      <c r="AV7" s="32">
        <v>10799.169285213111</v>
      </c>
      <c r="AW7" s="32">
        <v>10392.615112636393</v>
      </c>
      <c r="AX7" s="32">
        <v>9907.4825569610675</v>
      </c>
      <c r="AY7" s="32">
        <v>9417.7892383467715</v>
      </c>
      <c r="AZ7" s="32">
        <v>8962.0657720745166</v>
      </c>
      <c r="BA7" s="32">
        <v>8553.0461726404501</v>
      </c>
      <c r="BB7" s="32">
        <v>7392.8612902056648</v>
      </c>
      <c r="BC7" s="32">
        <v>7036.8664929740025</v>
      </c>
      <c r="BD7" s="32">
        <v>6602.9944879502245</v>
      </c>
      <c r="BE7" s="32">
        <v>6209.6146711045149</v>
      </c>
      <c r="BF7" s="32">
        <v>5813.224041488179</v>
      </c>
      <c r="BG7" s="32">
        <v>5440.1354456357258</v>
      </c>
      <c r="BH7" s="32">
        <v>5082.2962398488698</v>
      </c>
      <c r="BI7" s="32">
        <v>4810.2050025501549</v>
      </c>
      <c r="BJ7" s="32">
        <v>4523.3928405969136</v>
      </c>
      <c r="BK7" s="32">
        <v>4118.3090015725802</v>
      </c>
      <c r="BL7" s="32">
        <v>3741.1868021712257</v>
      </c>
    </row>
    <row r="8" spans="1:64" x14ac:dyDescent="0.35">
      <c r="C8" t="s">
        <v>41</v>
      </c>
      <c r="D8" s="32">
        <v>3516.0961777084749</v>
      </c>
      <c r="E8" s="32">
        <v>3668.0126133261347</v>
      </c>
      <c r="F8" s="32">
        <v>3339.6053797481713</v>
      </c>
      <c r="G8" s="32">
        <v>3195.1272202265759</v>
      </c>
      <c r="H8" s="32">
        <v>3067.2612562604504</v>
      </c>
      <c r="I8" s="32">
        <v>3163.0165028872884</v>
      </c>
      <c r="J8" s="32">
        <v>3348.4732362779841</v>
      </c>
      <c r="K8" s="32">
        <v>3238.1728346773621</v>
      </c>
      <c r="L8" s="32">
        <v>3225.4368638608034</v>
      </c>
      <c r="M8" s="32">
        <v>3402.8933077692418</v>
      </c>
      <c r="N8" s="32">
        <v>3433.8153891407756</v>
      </c>
      <c r="O8" s="32">
        <v>3543.2990415404297</v>
      </c>
      <c r="P8" s="32">
        <v>3659.5205799752925</v>
      </c>
      <c r="Q8" s="32">
        <v>3878.0905479037801</v>
      </c>
      <c r="R8" s="32">
        <v>3912.5084942419317</v>
      </c>
      <c r="S8" s="32">
        <v>4011.7594848076365</v>
      </c>
      <c r="T8" s="32">
        <v>4113.8784993347999</v>
      </c>
      <c r="U8" s="32">
        <v>4370.1941197075685</v>
      </c>
      <c r="V8" s="32">
        <v>4255.8641032838468</v>
      </c>
      <c r="W8" s="32">
        <v>4205.2778704031671</v>
      </c>
      <c r="X8" s="32">
        <v>4520.672440769391</v>
      </c>
      <c r="Y8" s="32">
        <v>4553.3250267168596</v>
      </c>
      <c r="Z8" s="32">
        <v>4625.014402265595</v>
      </c>
      <c r="AA8" s="32">
        <v>4757.0725463419167</v>
      </c>
      <c r="AB8" s="32">
        <v>4930.1696846350351</v>
      </c>
      <c r="AC8" s="32">
        <v>5055.8311641412056</v>
      </c>
      <c r="AD8" s="32">
        <v>4802.46997339477</v>
      </c>
      <c r="AE8" s="32">
        <v>4842.6066820474134</v>
      </c>
      <c r="AF8" s="32">
        <v>4733.1712108541742</v>
      </c>
      <c r="AG8" s="32">
        <v>4769.6347557157696</v>
      </c>
      <c r="AH8" s="32">
        <v>4526.63157784951</v>
      </c>
      <c r="AI8" s="32">
        <v>4737.9160187399839</v>
      </c>
      <c r="AJ8" s="32">
        <v>4669.7119452294837</v>
      </c>
      <c r="AK8" s="32">
        <v>4589.598378837225</v>
      </c>
      <c r="AL8" s="32">
        <v>4625.0319241555608</v>
      </c>
      <c r="AM8" s="32">
        <v>4600.4943813770124</v>
      </c>
      <c r="AN8" s="32">
        <v>4593.3349002687701</v>
      </c>
      <c r="AO8" s="32">
        <v>4555.3908778701007</v>
      </c>
      <c r="AP8" s="32">
        <v>4522.7243018870131</v>
      </c>
      <c r="AQ8" s="32">
        <v>4508.5860611517455</v>
      </c>
      <c r="AR8" s="32">
        <v>4289.1195843866453</v>
      </c>
      <c r="AS8" s="32">
        <v>4257.8951385421287</v>
      </c>
      <c r="AT8" s="32">
        <v>4228.8395937849791</v>
      </c>
      <c r="AU8" s="32">
        <v>4191.0226574477329</v>
      </c>
      <c r="AV8" s="32">
        <v>4159.621285915784</v>
      </c>
      <c r="AW8" s="32">
        <v>4158.908752367749</v>
      </c>
      <c r="AX8" s="32">
        <v>4129.1352195146119</v>
      </c>
      <c r="AY8" s="32">
        <v>4114.2053091152211</v>
      </c>
      <c r="AZ8" s="32">
        <v>4100.8991626563056</v>
      </c>
      <c r="BA8" s="32">
        <v>4089.2123764771386</v>
      </c>
      <c r="BB8" s="32">
        <v>4018.7264661804438</v>
      </c>
      <c r="BC8" s="32">
        <v>4012.0396156153165</v>
      </c>
      <c r="BD8" s="32">
        <v>4007.7910915576981</v>
      </c>
      <c r="BE8" s="32">
        <v>4008.2569740868958</v>
      </c>
      <c r="BF8" s="32">
        <v>4010.5474135805725</v>
      </c>
      <c r="BG8" s="32">
        <v>4015.1649435360769</v>
      </c>
      <c r="BH8" s="32">
        <v>4022.4715499258182</v>
      </c>
      <c r="BI8" s="32">
        <v>4031.2510622361533</v>
      </c>
      <c r="BJ8" s="32">
        <v>4041.6218097589272</v>
      </c>
      <c r="BK8" s="32">
        <v>4052.8752238002053</v>
      </c>
      <c r="BL8" s="32">
        <v>4066.461126297489</v>
      </c>
    </row>
    <row r="9" spans="1:64" x14ac:dyDescent="0.35">
      <c r="C9" t="s">
        <v>22</v>
      </c>
      <c r="D9" s="32">
        <v>36571.823155221537</v>
      </c>
      <c r="E9" s="32">
        <v>36808.530009453956</v>
      </c>
      <c r="F9" s="32">
        <v>36296.682920512212</v>
      </c>
      <c r="G9" s="32">
        <v>36672.075580955374</v>
      </c>
      <c r="H9" s="32">
        <v>37933.366311582788</v>
      </c>
      <c r="I9" s="32">
        <v>38543.749348475882</v>
      </c>
      <c r="J9" s="32">
        <v>38869.798977510858</v>
      </c>
      <c r="K9" s="32">
        <v>39805.88859601631</v>
      </c>
      <c r="L9" s="32">
        <v>39133.754057324586</v>
      </c>
      <c r="M9" s="32">
        <v>39320.551887094705</v>
      </c>
      <c r="N9" s="32">
        <v>40532.789740222943</v>
      </c>
      <c r="O9" s="32">
        <v>41365.025310344688</v>
      </c>
      <c r="P9" s="32">
        <v>41335.30138246603</v>
      </c>
      <c r="Q9" s="32">
        <v>41979.690800047625</v>
      </c>
      <c r="R9" s="32">
        <v>42111.718735995542</v>
      </c>
      <c r="S9" s="32">
        <v>42483.869542174827</v>
      </c>
      <c r="T9" s="32">
        <v>42383.301600666382</v>
      </c>
      <c r="U9" s="32">
        <v>41387.064066314852</v>
      </c>
      <c r="V9" s="32">
        <v>40077.102994724351</v>
      </c>
      <c r="W9" s="32">
        <v>40298.057324935595</v>
      </c>
      <c r="X9" s="32">
        <v>40460.611107132943</v>
      </c>
      <c r="Y9" s="32">
        <v>41140.554343421216</v>
      </c>
      <c r="Z9" s="32">
        <v>42054.103604519951</v>
      </c>
      <c r="AA9" s="32">
        <v>42174.163250136939</v>
      </c>
      <c r="AB9" s="32">
        <v>42797.036067408801</v>
      </c>
      <c r="AC9" s="32">
        <v>42242.331468664546</v>
      </c>
      <c r="AD9" s="32">
        <v>41824.397624779995</v>
      </c>
      <c r="AE9" s="32">
        <v>41862.6172334207</v>
      </c>
      <c r="AF9" s="32">
        <v>42154.798631981837</v>
      </c>
      <c r="AG9" s="32">
        <v>42317.723309496745</v>
      </c>
      <c r="AH9" s="32">
        <v>42196.053007409682</v>
      </c>
      <c r="AI9" s="32">
        <v>41338.722464375009</v>
      </c>
      <c r="AJ9" s="32">
        <v>40731.04605066021</v>
      </c>
      <c r="AK9" s="32">
        <v>40230.832560766859</v>
      </c>
      <c r="AL9" s="32">
        <v>39764.957224016951</v>
      </c>
      <c r="AM9" s="32">
        <v>39305.255430351666</v>
      </c>
      <c r="AN9" s="32">
        <v>38946.182000135603</v>
      </c>
      <c r="AO9" s="32">
        <v>38611.716142501347</v>
      </c>
      <c r="AP9" s="32">
        <v>38236.927856504379</v>
      </c>
      <c r="AQ9" s="32">
        <v>37868.956785624025</v>
      </c>
      <c r="AR9" s="32">
        <v>37508.915932481541</v>
      </c>
      <c r="AS9" s="32">
        <v>37227.232644336218</v>
      </c>
      <c r="AT9" s="32">
        <v>36930.449057861675</v>
      </c>
      <c r="AU9" s="32">
        <v>36657.265503719165</v>
      </c>
      <c r="AV9" s="32">
        <v>36375.348152836334</v>
      </c>
      <c r="AW9" s="32">
        <v>36099.714489053484</v>
      </c>
      <c r="AX9" s="32">
        <v>35820.947488718033</v>
      </c>
      <c r="AY9" s="32">
        <v>35560.185808077134</v>
      </c>
      <c r="AZ9" s="32">
        <v>35321.785339527967</v>
      </c>
      <c r="BA9" s="32">
        <v>35079.675227602071</v>
      </c>
      <c r="BB9" s="32">
        <v>34837.134498391213</v>
      </c>
      <c r="BC9" s="32">
        <v>34672.17276960532</v>
      </c>
      <c r="BD9" s="32">
        <v>34522.249175779405</v>
      </c>
      <c r="BE9" s="32">
        <v>34371.297935802606</v>
      </c>
      <c r="BF9" s="32">
        <v>34222.500703424252</v>
      </c>
      <c r="BG9" s="32">
        <v>34114.519375504373</v>
      </c>
      <c r="BH9" s="32">
        <v>33982.77213301984</v>
      </c>
      <c r="BI9" s="32">
        <v>33836.072571380879</v>
      </c>
      <c r="BJ9" s="32">
        <v>33686.448611890941</v>
      </c>
      <c r="BK9" s="32">
        <v>33543.655046150889</v>
      </c>
      <c r="BL9" s="32">
        <v>33417.237271094513</v>
      </c>
    </row>
    <row r="10" spans="1:64" x14ac:dyDescent="0.35">
      <c r="C10" t="s">
        <v>23</v>
      </c>
      <c r="D10" s="32">
        <v>4371.0550686426304</v>
      </c>
      <c r="E10" s="32">
        <v>4494.2129358802167</v>
      </c>
      <c r="F10" s="32">
        <v>4608.4699487961507</v>
      </c>
      <c r="G10" s="32">
        <v>4723.0167754811991</v>
      </c>
      <c r="H10" s="32">
        <v>4596.3960749697844</v>
      </c>
      <c r="I10" s="32">
        <v>4699.3156679774575</v>
      </c>
      <c r="J10" s="32">
        <v>4798.2534180590455</v>
      </c>
      <c r="K10" s="32">
        <v>4865.406291133806</v>
      </c>
      <c r="L10" s="32">
        <v>4861.6867574609569</v>
      </c>
      <c r="M10" s="32">
        <v>4888.9395933214646</v>
      </c>
      <c r="N10" s="32">
        <v>4918.9517108516438</v>
      </c>
      <c r="O10" s="32">
        <v>4945.8355725179199</v>
      </c>
      <c r="P10" s="32">
        <v>4960.5960379013841</v>
      </c>
      <c r="Q10" s="32">
        <v>4856.3675991908322</v>
      </c>
      <c r="R10" s="32">
        <v>4871.6484009286705</v>
      </c>
      <c r="S10" s="32">
        <v>4860.2827462461919</v>
      </c>
      <c r="T10" s="32">
        <v>4640.1084728888536</v>
      </c>
      <c r="U10" s="32">
        <v>4598.136705576766</v>
      </c>
      <c r="V10" s="32">
        <v>4504.0772789790162</v>
      </c>
      <c r="W10" s="32">
        <v>4356.4344929985782</v>
      </c>
      <c r="X10" s="32">
        <v>4293.0257026984791</v>
      </c>
      <c r="Y10" s="32">
        <v>4128.294122648671</v>
      </c>
      <c r="Z10" s="32">
        <v>4008.975962335111</v>
      </c>
      <c r="AA10" s="32">
        <v>3953.727003813055</v>
      </c>
      <c r="AB10" s="32">
        <v>3903.7091154408281</v>
      </c>
      <c r="AC10" s="32">
        <v>3860.3909372256435</v>
      </c>
      <c r="AD10" s="32">
        <v>3828.69903936433</v>
      </c>
      <c r="AE10" s="32">
        <v>3785.4635318554911</v>
      </c>
      <c r="AF10" s="32">
        <v>3713.3819258157537</v>
      </c>
      <c r="AG10" s="32">
        <v>3661.4608991204891</v>
      </c>
      <c r="AH10" s="32">
        <v>3611.7932233745064</v>
      </c>
      <c r="AI10" s="32">
        <v>3602.1962978058914</v>
      </c>
      <c r="AJ10" s="32">
        <v>3567.1180393317809</v>
      </c>
      <c r="AK10" s="32">
        <v>3470.0201411080338</v>
      </c>
      <c r="AL10" s="32">
        <v>3372.5199123733328</v>
      </c>
      <c r="AM10" s="32">
        <v>3274.1387662152574</v>
      </c>
      <c r="AN10" s="32">
        <v>3174.1727618882733</v>
      </c>
      <c r="AO10" s="32">
        <v>3073.9032949653865</v>
      </c>
      <c r="AP10" s="32">
        <v>2973.7801521498236</v>
      </c>
      <c r="AQ10" s="32">
        <v>2874.1710651155404</v>
      </c>
      <c r="AR10" s="32">
        <v>2775.1176815141962</v>
      </c>
      <c r="AS10" s="32">
        <v>2692.4643429182897</v>
      </c>
      <c r="AT10" s="32">
        <v>2615.1860212220836</v>
      </c>
      <c r="AU10" s="32">
        <v>2541.2485493424451</v>
      </c>
      <c r="AV10" s="32">
        <v>2469.4923121471161</v>
      </c>
      <c r="AW10" s="32">
        <v>2399.528230151348</v>
      </c>
      <c r="AX10" s="32">
        <v>2330.982320145391</v>
      </c>
      <c r="AY10" s="32">
        <v>2263.7473899809106</v>
      </c>
      <c r="AZ10" s="32">
        <v>2197.7933053171269</v>
      </c>
      <c r="BA10" s="32">
        <v>2132.9326416073486</v>
      </c>
      <c r="BB10" s="32">
        <v>2069.2780237829252</v>
      </c>
      <c r="BC10" s="32">
        <v>2017.2739749528228</v>
      </c>
      <c r="BD10" s="32">
        <v>1966.2754382711491</v>
      </c>
      <c r="BE10" s="32">
        <v>1916.2799912284158</v>
      </c>
      <c r="BF10" s="32">
        <v>1867.1959224944012</v>
      </c>
      <c r="BG10" s="32">
        <v>1819.1311433093499</v>
      </c>
      <c r="BH10" s="32">
        <v>1771.937633991281</v>
      </c>
      <c r="BI10" s="32">
        <v>1725.5486956372906</v>
      </c>
      <c r="BJ10" s="32">
        <v>1680.0979571420605</v>
      </c>
      <c r="BK10" s="32">
        <v>1635.4978231830919</v>
      </c>
      <c r="BL10" s="32">
        <v>1591.9846932457758</v>
      </c>
    </row>
    <row r="11" spans="1:64" x14ac:dyDescent="0.35">
      <c r="C11" t="s">
        <v>190</v>
      </c>
      <c r="D11" s="32">
        <v>819.97524190854506</v>
      </c>
      <c r="E11" s="32">
        <v>828.0017286520922</v>
      </c>
      <c r="F11" s="32">
        <v>1085.1429139052391</v>
      </c>
      <c r="G11" s="32">
        <v>1158.2562175334988</v>
      </c>
      <c r="H11" s="32">
        <v>1294.5870452996453</v>
      </c>
      <c r="I11" s="32">
        <v>850.67438092522423</v>
      </c>
      <c r="J11" s="32">
        <v>38.592400303365025</v>
      </c>
      <c r="K11" s="32">
        <v>-1334.618596753277</v>
      </c>
      <c r="L11" s="32">
        <v>-3370.636542665608</v>
      </c>
      <c r="M11" s="32">
        <v>-5881.7403115761681</v>
      </c>
      <c r="N11" s="32">
        <v>-5840.6097105786448</v>
      </c>
      <c r="O11" s="32">
        <v>-8163.9905713630314</v>
      </c>
      <c r="P11" s="32">
        <v>-10155.899721608017</v>
      </c>
      <c r="Q11" s="32">
        <v>-9621.5624173653105</v>
      </c>
      <c r="R11" s="32">
        <v>-6746.7760646318911</v>
      </c>
      <c r="S11" s="32">
        <v>-909.81870967752047</v>
      </c>
      <c r="T11" s="32">
        <v>1895.2611011701449</v>
      </c>
      <c r="U11" s="32">
        <v>7426.246871923152</v>
      </c>
      <c r="V11" s="32">
        <v>-13411.996596017498</v>
      </c>
      <c r="W11" s="32">
        <v>-11081.405660283805</v>
      </c>
      <c r="X11" s="32">
        <v>-10565.307562466487</v>
      </c>
      <c r="Y11" s="32">
        <v>-12067.105918642314</v>
      </c>
      <c r="Z11" s="32">
        <v>-10202.075435723556</v>
      </c>
      <c r="AA11" s="32">
        <v>-7134.8699893356697</v>
      </c>
      <c r="AB11" s="32">
        <v>-10405.283669066264</v>
      </c>
      <c r="AC11" s="32">
        <v>-11945.163408270339</v>
      </c>
      <c r="AD11" s="32">
        <v>-11969.110093922558</v>
      </c>
      <c r="AE11" s="32">
        <v>-12080.174618702731</v>
      </c>
      <c r="AF11" s="32">
        <v>-11085.271780708874</v>
      </c>
      <c r="AG11" s="32">
        <v>-7702.6878138183429</v>
      </c>
      <c r="AH11" s="32">
        <v>-8060.2252194320736</v>
      </c>
      <c r="AI11" s="32">
        <v>-7272.2101365835315</v>
      </c>
      <c r="AJ11" s="32">
        <v>-6314.9021834546211</v>
      </c>
      <c r="AK11" s="32">
        <v>-6131.5328382768957</v>
      </c>
      <c r="AL11" s="32">
        <v>-6051.1349543647902</v>
      </c>
      <c r="AM11" s="32">
        <v>-6773.1877248114397</v>
      </c>
      <c r="AN11" s="32">
        <v>-8937.3453370162752</v>
      </c>
      <c r="AO11" s="32">
        <v>-10487.726934795148</v>
      </c>
      <c r="AP11" s="32">
        <v>-12435.137644175127</v>
      </c>
      <c r="AQ11" s="32">
        <v>-13576.104714315408</v>
      </c>
      <c r="AR11" s="32">
        <v>-14123.707210970422</v>
      </c>
      <c r="AS11" s="32">
        <v>-15107.454694701952</v>
      </c>
      <c r="AT11" s="32">
        <v>-15932.175982457617</v>
      </c>
      <c r="AU11" s="32">
        <v>-16834.496511115911</v>
      </c>
      <c r="AV11" s="32">
        <v>-17661.539963993455</v>
      </c>
      <c r="AW11" s="32">
        <v>-18547.650187772888</v>
      </c>
      <c r="AX11" s="32">
        <v>-19741.12495822756</v>
      </c>
      <c r="AY11" s="32">
        <v>-21421.519770765881</v>
      </c>
      <c r="AZ11" s="32">
        <v>-22578.453638518247</v>
      </c>
      <c r="BA11" s="32">
        <v>-23731.10441046573</v>
      </c>
      <c r="BB11" s="32">
        <v>-24830.126145336515</v>
      </c>
      <c r="BC11" s="32">
        <v>-25873.847335031074</v>
      </c>
      <c r="BD11" s="32">
        <v>-26458.287318640545</v>
      </c>
      <c r="BE11" s="32">
        <v>-26534.965372242725</v>
      </c>
      <c r="BF11" s="32">
        <v>-26319.688653278172</v>
      </c>
      <c r="BG11" s="32">
        <v>-25837.80599725679</v>
      </c>
      <c r="BH11" s="32">
        <v>-25902.387393477824</v>
      </c>
      <c r="BI11" s="32">
        <v>-25908.979510107845</v>
      </c>
      <c r="BJ11" s="32">
        <v>-25838.15693085147</v>
      </c>
      <c r="BK11" s="32">
        <v>-25615.983274629034</v>
      </c>
      <c r="BL11" s="32">
        <v>-25480.237098294994</v>
      </c>
    </row>
    <row r="12" spans="1:64" x14ac:dyDescent="0.35">
      <c r="C12" t="s">
        <v>46</v>
      </c>
      <c r="D12" s="32">
        <v>69272.85618829586</v>
      </c>
      <c r="E12" s="32">
        <v>70280.374944298237</v>
      </c>
      <c r="F12" s="32">
        <v>71667.955085627807</v>
      </c>
      <c r="G12" s="32">
        <v>71629.315111214368</v>
      </c>
      <c r="H12" s="32">
        <v>73098.745056754255</v>
      </c>
      <c r="I12" s="32">
        <v>73228.554544850645</v>
      </c>
      <c r="J12" s="32">
        <v>74654.490149756792</v>
      </c>
      <c r="K12" s="32">
        <v>76204.494808933116</v>
      </c>
      <c r="L12" s="32">
        <v>71895.83141716251</v>
      </c>
      <c r="M12" s="32">
        <v>71146.769726144252</v>
      </c>
      <c r="N12" s="32">
        <v>73190.336639758505</v>
      </c>
      <c r="O12" s="32">
        <v>73861.126210715505</v>
      </c>
      <c r="P12" s="32">
        <v>71907.257837497877</v>
      </c>
      <c r="Q12" s="32">
        <v>74602.685670644918</v>
      </c>
      <c r="R12" s="32">
        <v>77302.409591350617</v>
      </c>
      <c r="S12" s="32">
        <v>85207.655800994849</v>
      </c>
      <c r="T12" s="32">
        <v>88233.067051500242</v>
      </c>
      <c r="U12" s="32">
        <v>91549.703769479587</v>
      </c>
      <c r="V12" s="32">
        <v>70301.646222839379</v>
      </c>
      <c r="W12" s="32">
        <v>69986.268495178345</v>
      </c>
      <c r="X12" s="32">
        <v>71106.036449983992</v>
      </c>
      <c r="Y12" s="32">
        <v>69464.685651560809</v>
      </c>
      <c r="Z12" s="32">
        <v>73540.725776929772</v>
      </c>
      <c r="AA12" s="32">
        <v>75919.715301476608</v>
      </c>
      <c r="AB12" s="32">
        <v>73465.838485625398</v>
      </c>
      <c r="AC12" s="32">
        <v>71704.656841021046</v>
      </c>
      <c r="AD12" s="32">
        <v>69563.776999119014</v>
      </c>
      <c r="AE12" s="32">
        <v>70929.531914693551</v>
      </c>
      <c r="AF12" s="32">
        <v>72103.313934450853</v>
      </c>
      <c r="AG12" s="32">
        <v>77025.116124395616</v>
      </c>
      <c r="AH12" s="32">
        <v>73793.158448991046</v>
      </c>
      <c r="AI12" s="32">
        <v>75307.348814282159</v>
      </c>
      <c r="AJ12" s="32">
        <v>74925.865306479027</v>
      </c>
      <c r="AK12" s="32">
        <v>73649.020622385171</v>
      </c>
      <c r="AL12" s="32">
        <v>72122.053884700057</v>
      </c>
      <c r="AM12" s="32">
        <v>69700.308569491928</v>
      </c>
      <c r="AN12" s="32">
        <v>66526.613497394224</v>
      </c>
      <c r="AO12" s="32">
        <v>63857.721327852705</v>
      </c>
      <c r="AP12" s="32">
        <v>60703.389645464289</v>
      </c>
      <c r="AQ12" s="32">
        <v>58295.868785954684</v>
      </c>
      <c r="AR12" s="32">
        <v>55377.138276367004</v>
      </c>
      <c r="AS12" s="32">
        <v>52848.969092993066</v>
      </c>
      <c r="AT12" s="32">
        <v>50431.497938212779</v>
      </c>
      <c r="AU12" s="32">
        <v>48032.97224724172</v>
      </c>
      <c r="AV12" s="32">
        <v>45710.434732651433</v>
      </c>
      <c r="AW12" s="32">
        <v>43236.865732369064</v>
      </c>
      <c r="AX12" s="32">
        <v>40411.802222866987</v>
      </c>
      <c r="AY12" s="32">
        <v>37119.671386871894</v>
      </c>
      <c r="AZ12" s="32">
        <v>34501.814950313128</v>
      </c>
      <c r="BA12" s="32">
        <v>32005.932990961792</v>
      </c>
      <c r="BB12" s="32">
        <v>28739.774825380977</v>
      </c>
      <c r="BC12" s="32">
        <v>26602.735538611603</v>
      </c>
      <c r="BD12" s="32">
        <v>24873.605856619321</v>
      </c>
      <c r="BE12" s="32">
        <v>23726.37882845429</v>
      </c>
      <c r="BF12" s="32">
        <v>22894.141186450928</v>
      </c>
      <c r="BG12" s="32">
        <v>22398.036430025455</v>
      </c>
      <c r="BH12" s="32">
        <v>21476.79793875703</v>
      </c>
      <c r="BI12" s="32">
        <v>20692.050586993817</v>
      </c>
      <c r="BJ12" s="32">
        <v>19974.539960232109</v>
      </c>
      <c r="BK12" s="32">
        <v>19382.511210205004</v>
      </c>
      <c r="BL12" s="32">
        <v>18802.176922538943</v>
      </c>
    </row>
    <row r="13" spans="1:64" x14ac:dyDescent="0.35">
      <c r="C13" t="s">
        <v>45</v>
      </c>
      <c r="D13" s="32">
        <v>68452.880946387319</v>
      </c>
      <c r="E13" s="32">
        <v>69452.373215646148</v>
      </c>
      <c r="F13" s="32">
        <v>70582.812171722573</v>
      </c>
      <c r="G13" s="32">
        <v>70471.058893680864</v>
      </c>
      <c r="H13" s="32">
        <v>71804.158011454609</v>
      </c>
      <c r="I13" s="32">
        <v>72377.880163925423</v>
      </c>
      <c r="J13" s="32">
        <v>74615.897749453434</v>
      </c>
      <c r="K13" s="32">
        <v>77539.113405686396</v>
      </c>
      <c r="L13" s="32">
        <v>75266.467959828122</v>
      </c>
      <c r="M13" s="32">
        <v>77028.510037720422</v>
      </c>
      <c r="N13" s="32">
        <v>79030.946350337152</v>
      </c>
      <c r="O13" s="32">
        <v>82025.116782078534</v>
      </c>
      <c r="P13" s="32">
        <v>82063.157559105894</v>
      </c>
      <c r="Q13" s="32">
        <v>84224.248088010223</v>
      </c>
      <c r="R13" s="32">
        <v>84049.18565598251</v>
      </c>
      <c r="S13" s="32">
        <v>86117.474510672371</v>
      </c>
      <c r="T13" s="32">
        <v>86337.80595033009</v>
      </c>
      <c r="U13" s="32">
        <v>84123.456897556433</v>
      </c>
      <c r="V13" s="32">
        <v>83713.642818856883</v>
      </c>
      <c r="W13" s="32">
        <v>81067.674155462155</v>
      </c>
      <c r="X13" s="32">
        <v>81671.344012450485</v>
      </c>
      <c r="Y13" s="32">
        <v>81531.791570203117</v>
      </c>
      <c r="Z13" s="32">
        <v>83742.801212653329</v>
      </c>
      <c r="AA13" s="32">
        <v>83054.585290812276</v>
      </c>
      <c r="AB13" s="32">
        <v>83871.122154691664</v>
      </c>
      <c r="AC13" s="32">
        <v>83649.820249291384</v>
      </c>
      <c r="AD13" s="32">
        <v>81532.887093041572</v>
      </c>
      <c r="AE13" s="32">
        <v>83009.706533396282</v>
      </c>
      <c r="AF13" s="32">
        <v>83188.58571515973</v>
      </c>
      <c r="AG13" s="32">
        <v>84727.803938213954</v>
      </c>
      <c r="AH13" s="32">
        <v>81853.383668423121</v>
      </c>
      <c r="AI13" s="32">
        <v>82579.558950865685</v>
      </c>
      <c r="AJ13" s="32">
        <v>81240.767489933598</v>
      </c>
      <c r="AK13" s="32">
        <v>79780.553460662064</v>
      </c>
      <c r="AL13" s="32">
        <v>78173.188839064853</v>
      </c>
      <c r="AM13" s="32">
        <v>76473.496294303375</v>
      </c>
      <c r="AN13" s="32">
        <v>75463.9588344105</v>
      </c>
      <c r="AO13" s="32">
        <v>74345.448262647857</v>
      </c>
      <c r="AP13" s="32">
        <v>73138.527289639416</v>
      </c>
      <c r="AQ13" s="32">
        <v>71871.973500270091</v>
      </c>
      <c r="AR13" s="32">
        <v>69500.845487337428</v>
      </c>
      <c r="AS13" s="32">
        <v>67956.423787695021</v>
      </c>
      <c r="AT13" s="32">
        <v>66363.673920670393</v>
      </c>
      <c r="AU13" s="32">
        <v>64867.468758357631</v>
      </c>
      <c r="AV13" s="32">
        <v>63371.974696644887</v>
      </c>
      <c r="AW13" s="32">
        <v>61784.515920141952</v>
      </c>
      <c r="AX13" s="32">
        <v>60152.92718109455</v>
      </c>
      <c r="AY13" s="32">
        <v>58541.191157637775</v>
      </c>
      <c r="AZ13" s="32">
        <v>57080.268588831372</v>
      </c>
      <c r="BA13" s="32">
        <v>55737.037401427522</v>
      </c>
      <c r="BB13" s="32">
        <v>53569.900970717492</v>
      </c>
      <c r="BC13" s="32">
        <v>52476.582873642677</v>
      </c>
      <c r="BD13" s="32">
        <v>51331.893175259866</v>
      </c>
      <c r="BE13" s="32">
        <v>50261.344200697014</v>
      </c>
      <c r="BF13" s="32">
        <v>49213.8298397291</v>
      </c>
      <c r="BG13" s="32">
        <v>48235.842427282245</v>
      </c>
      <c r="BH13" s="32">
        <v>47379.185332234854</v>
      </c>
      <c r="BI13" s="32">
        <v>46601.030097101662</v>
      </c>
      <c r="BJ13" s="32">
        <v>45812.696891083579</v>
      </c>
      <c r="BK13" s="32">
        <v>44998.494484834038</v>
      </c>
      <c r="BL13" s="32">
        <v>44282.414020833938</v>
      </c>
    </row>
    <row r="14" spans="1:64" x14ac:dyDescent="0.35"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x14ac:dyDescent="0.35">
      <c r="B15" s="1" t="s">
        <v>191</v>
      </c>
      <c r="AJ15" s="3"/>
      <c r="AK15" s="3"/>
      <c r="AL15" s="3"/>
      <c r="AM15" s="3"/>
      <c r="AN15" s="3"/>
      <c r="AO15" s="3"/>
      <c r="AP15" s="3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x14ac:dyDescent="0.35">
      <c r="B16"/>
      <c r="C16" t="s">
        <v>192</v>
      </c>
      <c r="AH16" s="142">
        <v>6303.7811719578858</v>
      </c>
      <c r="AI16" s="142">
        <v>6580.1448339889612</v>
      </c>
      <c r="AJ16">
        <v>6481.5191950509743</v>
      </c>
      <c r="AK16" s="32">
        <v>6389.3490558121175</v>
      </c>
      <c r="AL16" s="32">
        <v>6154.8541008623115</v>
      </c>
      <c r="AM16" s="32">
        <v>5878.9154860002309</v>
      </c>
      <c r="AN16" s="32">
        <v>5722.8484318106293</v>
      </c>
      <c r="AO16" s="32">
        <v>5561.5438410105698</v>
      </c>
      <c r="AP16" s="32">
        <v>5423.6607070475347</v>
      </c>
      <c r="AQ16" s="32">
        <v>5342.8359804007823</v>
      </c>
      <c r="AR16" s="32">
        <v>4522.0112768966455</v>
      </c>
      <c r="AS16" s="32">
        <v>4360.4321910427398</v>
      </c>
      <c r="AT16" s="32">
        <v>4166.9062294274609</v>
      </c>
      <c r="AU16" s="32">
        <v>4064.406530666211</v>
      </c>
      <c r="AV16" s="32">
        <v>3956.4065708205935</v>
      </c>
      <c r="AW16" s="32">
        <v>3828.2020550886341</v>
      </c>
      <c r="AX16" s="32">
        <v>3701.924445175262</v>
      </c>
      <c r="AY16" s="32">
        <v>3584.3006779913153</v>
      </c>
      <c r="AZ16" s="32">
        <v>3461.3408972164239</v>
      </c>
      <c r="BA16" s="32">
        <v>3339.2218982167019</v>
      </c>
      <c r="BB16" s="32">
        <v>2487.6075989502215</v>
      </c>
      <c r="BC16" s="32">
        <v>2388.0312082980799</v>
      </c>
      <c r="BD16" s="32">
        <v>2205.2806206923915</v>
      </c>
      <c r="BE16" s="32">
        <v>2055.4280730513547</v>
      </c>
      <c r="BF16" s="32">
        <v>1942.5524162399181</v>
      </c>
      <c r="BG16" s="32">
        <v>1807.2604010247378</v>
      </c>
      <c r="BH16" s="32">
        <v>1665.8826505860873</v>
      </c>
      <c r="BI16" s="32">
        <v>1609.9920777594261</v>
      </c>
      <c r="BJ16" s="32">
        <v>1534.1693238963703</v>
      </c>
      <c r="BK16" s="32">
        <v>1353.2116382834636</v>
      </c>
      <c r="BL16" s="32">
        <v>1167.8183407677864</v>
      </c>
    </row>
    <row r="17" spans="2:64" x14ac:dyDescent="0.35">
      <c r="C17" t="s">
        <v>193</v>
      </c>
      <c r="AH17" s="142">
        <v>3782.2687031747309</v>
      </c>
      <c r="AI17" s="142">
        <v>3948.0869003933767</v>
      </c>
      <c r="AJ17">
        <v>3741.1701150001527</v>
      </c>
      <c r="AK17" s="32">
        <v>2957.4149822334175</v>
      </c>
      <c r="AL17" s="32">
        <v>2206.7939325484181</v>
      </c>
      <c r="AM17" s="32">
        <v>1538.9571177158646</v>
      </c>
      <c r="AN17" s="32">
        <v>1435.9147656156968</v>
      </c>
      <c r="AO17" s="32">
        <v>1286.4459335123177</v>
      </c>
      <c r="AP17" s="32">
        <v>1182.5940035929375</v>
      </c>
      <c r="AQ17" s="32">
        <v>1061.6356513608237</v>
      </c>
      <c r="AR17" s="32">
        <v>942.3098592969161</v>
      </c>
      <c r="AS17" s="32">
        <v>831.65738548462593</v>
      </c>
      <c r="AT17" s="32">
        <v>745.51987176204659</v>
      </c>
      <c r="AU17" s="32">
        <v>689.66998946910815</v>
      </c>
      <c r="AV17" s="32">
        <v>641.63632597562105</v>
      </c>
      <c r="AW17" s="32">
        <v>589.38037381718675</v>
      </c>
      <c r="AX17" s="32">
        <v>458.7125793398165</v>
      </c>
      <c r="AY17" s="32">
        <v>331.58914758767258</v>
      </c>
      <c r="AZ17" s="32">
        <v>259.12685517108611</v>
      </c>
      <c r="BA17" s="32">
        <v>239.88232364790537</v>
      </c>
      <c r="BB17" s="32">
        <v>238.73815251498721</v>
      </c>
      <c r="BC17" s="32">
        <v>238.42811465397108</v>
      </c>
      <c r="BD17" s="32">
        <v>238.1274258388095</v>
      </c>
      <c r="BE17" s="32">
        <v>237.82013390992006</v>
      </c>
      <c r="BF17" s="32">
        <v>237.51172653239595</v>
      </c>
      <c r="BG17" s="32">
        <v>237.24456739701515</v>
      </c>
      <c r="BH17" s="32">
        <v>236.94459317323512</v>
      </c>
      <c r="BI17" s="32">
        <v>236.62033416979543</v>
      </c>
      <c r="BJ17" s="32">
        <v>236.2891236974348</v>
      </c>
      <c r="BK17" s="32">
        <v>235.96145969616714</v>
      </c>
      <c r="BL17" s="32">
        <v>235.6485420163867</v>
      </c>
    </row>
    <row r="18" spans="2:64" x14ac:dyDescent="0.35">
      <c r="C18" t="s">
        <v>48</v>
      </c>
      <c r="AH18" s="142">
        <v>19856.910691667337</v>
      </c>
      <c r="AI18" s="142">
        <v>20727.456227065228</v>
      </c>
      <c r="AJ18">
        <v>20416.094218215625</v>
      </c>
      <c r="AK18" s="32">
        <v>20452.655033376632</v>
      </c>
      <c r="AL18" s="32">
        <v>20344.295177427801</v>
      </c>
      <c r="AM18" s="32">
        <v>20194.829228157723</v>
      </c>
      <c r="AN18" s="32">
        <v>19926.726607918445</v>
      </c>
      <c r="AO18" s="32">
        <v>19607.38517330767</v>
      </c>
      <c r="AP18" s="32">
        <v>19163.097716511802</v>
      </c>
      <c r="AQ18" s="32">
        <v>18592.589383960116</v>
      </c>
      <c r="AR18" s="32">
        <v>17893.126849922981</v>
      </c>
      <c r="AS18" s="32">
        <v>17030.453995135267</v>
      </c>
      <c r="AT18" s="32">
        <v>16133.809428978593</v>
      </c>
      <c r="AU18" s="32">
        <v>15192.298145995384</v>
      </c>
      <c r="AV18" s="32">
        <v>14249.527500484161</v>
      </c>
      <c r="AW18" s="32">
        <v>13200.750128371654</v>
      </c>
      <c r="AX18" s="32">
        <v>12216.407231460271</v>
      </c>
      <c r="AY18" s="32">
        <v>11206.275333247337</v>
      </c>
      <c r="AZ18" s="32">
        <v>10273.243106038599</v>
      </c>
      <c r="BA18" s="32">
        <v>9405.2246375185332</v>
      </c>
      <c r="BB18" s="32">
        <v>8523.7630283191465</v>
      </c>
      <c r="BC18" s="32">
        <v>7768.9856126202558</v>
      </c>
      <c r="BD18" s="32">
        <v>7030.2698979651395</v>
      </c>
      <c r="BE18" s="32">
        <v>6328.5701831137812</v>
      </c>
      <c r="BF18" s="32">
        <v>5657.6886799239237</v>
      </c>
      <c r="BG18" s="32">
        <v>4997.0493872197549</v>
      </c>
      <c r="BH18" s="32">
        <v>4476.9170578059129</v>
      </c>
      <c r="BI18" s="32">
        <v>3971.5492682018585</v>
      </c>
      <c r="BJ18" s="32">
        <v>3478.9635390440644</v>
      </c>
      <c r="BK18" s="32">
        <v>3083.6773374316517</v>
      </c>
      <c r="BL18" s="32">
        <v>2750.3558432965965</v>
      </c>
    </row>
    <row r="19" spans="2:64" x14ac:dyDescent="0.35">
      <c r="C19" t="s">
        <v>194</v>
      </c>
      <c r="AH19" s="142">
        <v>120</v>
      </c>
      <c r="AI19" s="142">
        <v>120</v>
      </c>
      <c r="AJ19">
        <v>119.70741140819536</v>
      </c>
      <c r="AK19" s="32">
        <v>120.47023708725533</v>
      </c>
      <c r="AL19" s="32">
        <v>121.27989697286772</v>
      </c>
      <c r="AM19" s="32">
        <v>122.05730212416833</v>
      </c>
      <c r="AN19" s="32">
        <v>122.72836678149071</v>
      </c>
      <c r="AO19" s="32">
        <v>123.29096732886505</v>
      </c>
      <c r="AP19" s="32">
        <v>123.75498004588582</v>
      </c>
      <c r="AQ19" s="32">
        <v>124.13574097417836</v>
      </c>
      <c r="AR19" s="32">
        <v>124.45031781607575</v>
      </c>
      <c r="AS19" s="32">
        <v>124.81577890055688</v>
      </c>
      <c r="AT19" s="32">
        <v>125.14148828536639</v>
      </c>
      <c r="AU19" s="32">
        <v>125.43073459718977</v>
      </c>
      <c r="AV19" s="32">
        <v>125.68474452373451</v>
      </c>
      <c r="AW19" s="32">
        <v>125.9097720672725</v>
      </c>
      <c r="AX19" s="32">
        <v>126.11636426151479</v>
      </c>
      <c r="AY19" s="32">
        <v>126.13411690845021</v>
      </c>
      <c r="AZ19" s="32">
        <v>126.13846123508624</v>
      </c>
      <c r="BA19" s="32">
        <v>126.13147301837326</v>
      </c>
      <c r="BB19" s="32">
        <v>126.11353686118612</v>
      </c>
      <c r="BC19" s="32">
        <v>125.91255708696424</v>
      </c>
      <c r="BD19" s="32">
        <v>125.70233498249539</v>
      </c>
      <c r="BE19" s="32">
        <v>125.48313793855517</v>
      </c>
      <c r="BF19" s="32">
        <v>125.25500301909176</v>
      </c>
      <c r="BG19" s="32">
        <v>125.2314147658989</v>
      </c>
      <c r="BH19" s="32">
        <v>125.19813063183311</v>
      </c>
      <c r="BI19" s="32">
        <v>125.15581685648962</v>
      </c>
      <c r="BJ19" s="32">
        <v>125.1058842438228</v>
      </c>
      <c r="BK19" s="32">
        <v>125.04789158694079</v>
      </c>
      <c r="BL19" s="32">
        <v>124.98137795986439</v>
      </c>
    </row>
    <row r="20" spans="2:64" x14ac:dyDescent="0.35">
      <c r="AH20" s="142"/>
      <c r="AI20" s="142"/>
    </row>
    <row r="21" spans="2:64" x14ac:dyDescent="0.35">
      <c r="B21" s="1" t="s">
        <v>195</v>
      </c>
      <c r="AH21" s="143">
        <v>1155.7738314798421</v>
      </c>
      <c r="AI21" s="143">
        <v>1152.7028152978853</v>
      </c>
      <c r="AJ21">
        <v>1157.1977767372805</v>
      </c>
      <c r="AK21" s="32">
        <v>1115.874382499414</v>
      </c>
      <c r="AL21" s="32">
        <v>1076.0843577361795</v>
      </c>
      <c r="AM21" s="32">
        <v>1036.0541201426838</v>
      </c>
      <c r="AN21" s="32">
        <v>995.70752310355147</v>
      </c>
      <c r="AO21" s="32">
        <v>955.70162727814841</v>
      </c>
      <c r="AP21" s="32">
        <v>916.22815333693416</v>
      </c>
      <c r="AQ21" s="32">
        <v>877.339551362826</v>
      </c>
      <c r="AR21" s="32">
        <v>838.887409924743</v>
      </c>
      <c r="AS21" s="32">
        <v>798.69775880205736</v>
      </c>
      <c r="AT21" s="32">
        <v>763.56297227735377</v>
      </c>
      <c r="AU21" s="32">
        <v>731.44121984974322</v>
      </c>
      <c r="AV21" s="32">
        <v>701.24616550959388</v>
      </c>
      <c r="AW21" s="32">
        <v>672.58594272730011</v>
      </c>
      <c r="AX21" s="32">
        <v>644.96978294610551</v>
      </c>
      <c r="AY21" s="32">
        <v>618.30231046970812</v>
      </c>
      <c r="AZ21" s="32">
        <v>592.5178525891364</v>
      </c>
      <c r="BA21" s="32">
        <v>567.49478470568044</v>
      </c>
      <c r="BB21" s="32">
        <v>543.29296231647879</v>
      </c>
      <c r="BC21" s="32">
        <v>520.83346657163611</v>
      </c>
      <c r="BD21" s="32">
        <v>498.93821924663484</v>
      </c>
      <c r="BE21" s="32">
        <v>477.60117694989907</v>
      </c>
      <c r="BF21" s="32">
        <v>456.7658791011072</v>
      </c>
      <c r="BG21" s="32">
        <v>436.50494163865534</v>
      </c>
      <c r="BH21" s="32">
        <v>416.70657355319253</v>
      </c>
      <c r="BI21" s="32">
        <v>397.32175435699207</v>
      </c>
      <c r="BJ21" s="32">
        <v>378.39131833062197</v>
      </c>
      <c r="BK21" s="32">
        <v>359.93196695520811</v>
      </c>
      <c r="BL21" s="32">
        <v>341.94843221904455</v>
      </c>
    </row>
    <row r="22" spans="2:64" x14ac:dyDescent="0.35">
      <c r="B22"/>
      <c r="AH22" s="143"/>
      <c r="AI22" s="143"/>
      <c r="AK22" s="3"/>
      <c r="AL22" s="3"/>
      <c r="AM22" s="3"/>
      <c r="AN22" s="3"/>
      <c r="AO22" s="3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2:64" x14ac:dyDescent="0.35">
      <c r="B23" s="1" t="s">
        <v>196</v>
      </c>
      <c r="AH23" s="143">
        <v>1455.9452929894724</v>
      </c>
      <c r="AI23" s="143">
        <v>1525.0362084972403</v>
      </c>
      <c r="AJ23">
        <v>1532.8289099853675</v>
      </c>
      <c r="AK23" s="32">
        <v>1477.0866138735744</v>
      </c>
      <c r="AL23" s="32">
        <v>1509.7267885408205</v>
      </c>
      <c r="AM23" s="32">
        <v>1482.035042473475</v>
      </c>
      <c r="AN23" s="32">
        <v>1471.7503470947415</v>
      </c>
      <c r="AO23" s="32">
        <v>1430.4875881054365</v>
      </c>
      <c r="AP23" s="32">
        <v>1394.6082731517743</v>
      </c>
      <c r="AQ23" s="32">
        <v>1377.253906580464</v>
      </c>
      <c r="AR23" s="32">
        <v>1203.248904812154</v>
      </c>
      <c r="AS23" s="32">
        <v>1168.9210219649401</v>
      </c>
      <c r="AT23" s="32">
        <v>1136.8198524690963</v>
      </c>
      <c r="AU23" s="32">
        <v>1095.9009598344876</v>
      </c>
      <c r="AV23" s="32">
        <v>1061.332881668427</v>
      </c>
      <c r="AW23" s="32">
        <v>1057.1781524133937</v>
      </c>
      <c r="AX23" s="32">
        <v>1023.5355638503202</v>
      </c>
      <c r="AY23" s="32">
        <v>1004.6712928740043</v>
      </c>
      <c r="AZ23" s="32">
        <v>987.53043589776507</v>
      </c>
      <c r="BA23" s="32">
        <v>972.22237443647896</v>
      </c>
      <c r="BB23" s="32">
        <v>946.71157158325616</v>
      </c>
      <c r="BC23" s="32">
        <v>936.6771826669783</v>
      </c>
      <c r="BD23" s="32">
        <v>928.94107625807339</v>
      </c>
      <c r="BE23" s="32">
        <v>925.46924659467027</v>
      </c>
      <c r="BF23" s="32">
        <v>924.31255626521511</v>
      </c>
      <c r="BG23" s="32">
        <v>925.3279456939257</v>
      </c>
      <c r="BH23" s="32">
        <v>929.04067698582651</v>
      </c>
      <c r="BI23" s="32">
        <v>935.3851604628079</v>
      </c>
      <c r="BJ23" s="32">
        <v>943.39514599344568</v>
      </c>
      <c r="BK23" s="32">
        <v>952.36338878101765</v>
      </c>
      <c r="BL23" s="32">
        <v>963.74267987714586</v>
      </c>
    </row>
    <row r="24" spans="2:64" x14ac:dyDescent="0.35">
      <c r="AH24" s="143"/>
      <c r="AI24" s="143"/>
      <c r="AK24" s="3"/>
      <c r="AL24" s="3"/>
      <c r="AM24" s="3"/>
      <c r="AN24" s="3"/>
      <c r="AO24" s="3"/>
      <c r="AP24" s="3"/>
      <c r="AQ24" s="3"/>
      <c r="AR24" s="3"/>
      <c r="AS24" s="3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2:64" x14ac:dyDescent="0.35">
      <c r="B25" s="1" t="s">
        <v>197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143">
        <v>1720.1199995828138</v>
      </c>
      <c r="AI25" s="143">
        <v>1800.4080871211938</v>
      </c>
      <c r="AJ25">
        <v>1792.9671172047294</v>
      </c>
      <c r="AK25" s="32">
        <v>1792.9671172047294</v>
      </c>
      <c r="AL25" s="32">
        <v>1792.9671172047294</v>
      </c>
      <c r="AM25" s="32">
        <v>1792.9671172047294</v>
      </c>
      <c r="AN25" s="32">
        <v>1792.9671172047294</v>
      </c>
      <c r="AO25" s="32">
        <v>1792.9671172047294</v>
      </c>
      <c r="AP25" s="32">
        <v>1792.9671172047294</v>
      </c>
      <c r="AQ25" s="32">
        <v>1792.9671172047294</v>
      </c>
      <c r="AR25" s="32">
        <v>1792.9671172047294</v>
      </c>
      <c r="AS25" s="32">
        <v>1792.9671172047294</v>
      </c>
      <c r="AT25" s="32">
        <v>1792.9671172047294</v>
      </c>
      <c r="AU25" s="32">
        <v>1792.9671172047294</v>
      </c>
      <c r="AV25" s="32">
        <v>1792.9671172047294</v>
      </c>
      <c r="AW25" s="32">
        <v>1792.9671172047294</v>
      </c>
      <c r="AX25" s="32">
        <v>1792.9671172047294</v>
      </c>
      <c r="AY25" s="32">
        <v>1792.9671172047294</v>
      </c>
      <c r="AZ25" s="32">
        <v>1792.9671172047294</v>
      </c>
      <c r="BA25" s="32">
        <v>1792.9671172047294</v>
      </c>
      <c r="BB25" s="32">
        <v>1792.9671172047294</v>
      </c>
      <c r="BC25" s="32">
        <v>1792.9671172047294</v>
      </c>
      <c r="BD25" s="32">
        <v>1792.9671172047294</v>
      </c>
      <c r="BE25" s="32">
        <v>1792.9671172047294</v>
      </c>
      <c r="BF25" s="32">
        <v>1792.9671172047294</v>
      </c>
      <c r="BG25" s="32">
        <v>1792.9671172047294</v>
      </c>
      <c r="BH25" s="32">
        <v>1792.9671172047294</v>
      </c>
      <c r="BI25" s="32">
        <v>1792.9671172047294</v>
      </c>
      <c r="BJ25" s="32">
        <v>1792.9671172047294</v>
      </c>
      <c r="BK25" s="32">
        <v>1792.9671172047294</v>
      </c>
      <c r="BL25" s="32">
        <v>1792.9671172047294</v>
      </c>
    </row>
    <row r="26" spans="2:64" x14ac:dyDescent="0.35">
      <c r="B26"/>
      <c r="AH26" s="143"/>
      <c r="AI26" s="143"/>
      <c r="AK26" s="3"/>
      <c r="AL26" s="3"/>
      <c r="AM26" s="3"/>
      <c r="AN26" s="3"/>
    </row>
    <row r="27" spans="2:64" x14ac:dyDescent="0.35">
      <c r="B27" s="1" t="s">
        <v>198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143">
        <v>86.932921676406778</v>
      </c>
      <c r="AI27" s="143">
        <v>75.593844936005894</v>
      </c>
      <c r="AJ27">
        <v>65.733778205222521</v>
      </c>
      <c r="AK27" s="32">
        <v>56.312912309354303</v>
      </c>
      <c r="AL27" s="32">
        <v>47.294931521951241</v>
      </c>
      <c r="AM27" s="32">
        <v>39.267057338483212</v>
      </c>
      <c r="AN27" s="32">
        <v>37</v>
      </c>
      <c r="AO27" s="32">
        <v>36.170328011180779</v>
      </c>
      <c r="AP27" s="32">
        <v>34.881022020425355</v>
      </c>
      <c r="AQ27" s="32">
        <v>33.388746585812243</v>
      </c>
      <c r="AR27" s="32">
        <v>31.910599860089555</v>
      </c>
      <c r="AS27" s="32">
        <v>30.535733044767575</v>
      </c>
      <c r="AT27" s="32">
        <v>29.465477195452976</v>
      </c>
      <c r="AU27" s="32">
        <v>28.771689539300606</v>
      </c>
      <c r="AV27" s="32">
        <v>28.174984921303775</v>
      </c>
      <c r="AW27" s="32">
        <v>27.525700514195897</v>
      </c>
      <c r="AX27" s="32">
        <v>25.901288019874855</v>
      </c>
      <c r="AY27" s="32">
        <v>24.320924397245964</v>
      </c>
      <c r="AZ27" s="32">
        <v>23.420279005152448</v>
      </c>
      <c r="BA27" s="32">
        <v>23.181409787019188</v>
      </c>
      <c r="BB27" s="32">
        <v>23.167621720676916</v>
      </c>
      <c r="BC27" s="32">
        <v>23.163767277359774</v>
      </c>
      <c r="BD27" s="32">
        <v>23.160028453829362</v>
      </c>
      <c r="BE27" s="32">
        <v>23.15620727626612</v>
      </c>
      <c r="BF27" s="32">
        <v>23.152372144078818</v>
      </c>
      <c r="BG27" s="32">
        <v>23.149049923907093</v>
      </c>
      <c r="BH27" s="32">
        <v>23.14531962761086</v>
      </c>
      <c r="BI27" s="32">
        <v>23.141287338526595</v>
      </c>
      <c r="BJ27" s="32">
        <v>23.137168604732487</v>
      </c>
      <c r="BK27" s="32">
        <v>23.133093972630267</v>
      </c>
      <c r="BL27" s="32">
        <v>23.129202716883118</v>
      </c>
    </row>
    <row r="28" spans="2:64" x14ac:dyDescent="0.35">
      <c r="AH28" s="143"/>
      <c r="AI28" s="143"/>
      <c r="AK28" s="114"/>
      <c r="AL28" s="114"/>
      <c r="AM28" s="114"/>
      <c r="AN28" s="114"/>
      <c r="AO28" s="114"/>
      <c r="AP28" s="3"/>
      <c r="AQ28" s="3"/>
    </row>
    <row r="29" spans="2:64" x14ac:dyDescent="0.35">
      <c r="B29" s="1" t="s">
        <v>199</v>
      </c>
      <c r="AH29" s="143">
        <v>226.33157889247551</v>
      </c>
      <c r="AI29" s="143">
        <v>236.89580093699919</v>
      </c>
      <c r="AJ29">
        <v>231.63399238479201</v>
      </c>
      <c r="AK29" s="32">
        <v>235.88031205724425</v>
      </c>
      <c r="AL29" s="32">
        <v>239.01888006207875</v>
      </c>
      <c r="AM29" s="32">
        <v>242.56287144721853</v>
      </c>
      <c r="AN29" s="32">
        <v>246.07429142787544</v>
      </c>
      <c r="AO29" s="32">
        <v>249.8031487049364</v>
      </c>
      <c r="AP29" s="32">
        <v>253.41290945652128</v>
      </c>
      <c r="AQ29" s="32">
        <v>257.02647561344668</v>
      </c>
      <c r="AR29" s="32">
        <v>260.49667811194422</v>
      </c>
      <c r="AS29" s="32">
        <v>263.98362964767881</v>
      </c>
      <c r="AT29" s="32">
        <v>267.40562463279423</v>
      </c>
      <c r="AU29" s="32">
        <v>270.89091248154307</v>
      </c>
      <c r="AV29" s="32">
        <v>274.44895234232786</v>
      </c>
      <c r="AW29" s="32">
        <v>278.31652548667637</v>
      </c>
      <c r="AX29" s="32">
        <v>282.66370886364501</v>
      </c>
      <c r="AY29" s="32">
        <v>287.08426731026759</v>
      </c>
      <c r="AZ29" s="32">
        <v>291.39286120659995</v>
      </c>
      <c r="BA29" s="32">
        <v>295.46164410611334</v>
      </c>
      <c r="BB29" s="32">
        <v>299.47831817322844</v>
      </c>
      <c r="BC29" s="32">
        <v>303.23953645615916</v>
      </c>
      <c r="BD29" s="32">
        <v>307.1581050062029</v>
      </c>
      <c r="BE29" s="32">
        <v>311.5824292522974</v>
      </c>
      <c r="BF29" s="32">
        <v>315.45554625779482</v>
      </c>
      <c r="BG29" s="32">
        <v>319.50282977955237</v>
      </c>
      <c r="BH29" s="32">
        <v>323.5408264525164</v>
      </c>
      <c r="BI29" s="32">
        <v>326.27676970595883</v>
      </c>
      <c r="BJ29" s="32">
        <v>328.92926841845872</v>
      </c>
      <c r="BK29" s="32">
        <v>331.49683508908805</v>
      </c>
      <c r="BL29" s="32">
        <v>333.97613368845862</v>
      </c>
    </row>
    <row r="30" spans="2:64" x14ac:dyDescent="0.35">
      <c r="AJ30" s="3"/>
      <c r="AK30" s="3"/>
      <c r="AL30" s="3"/>
      <c r="AM30" s="3"/>
      <c r="AN30" s="3"/>
      <c r="AO30" s="3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</row>
    <row r="31" spans="2:64" x14ac:dyDescent="0.35">
      <c r="B31" s="1" t="s">
        <v>200</v>
      </c>
      <c r="AH31" s="33"/>
      <c r="AI31" s="33"/>
      <c r="AJ31" s="33"/>
      <c r="AK31" s="33"/>
      <c r="AL31" s="33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</row>
    <row r="32" spans="2:64" s="12" customFormat="1" x14ac:dyDescent="0.35">
      <c r="C32" s="12" t="s">
        <v>201</v>
      </c>
      <c r="AH32" s="12">
        <v>-7323.5114456931742</v>
      </c>
      <c r="AI32" s="12">
        <v>-6329.15132347086</v>
      </c>
      <c r="AJ32" s="12">
        <v>-5325.7862014847042</v>
      </c>
      <c r="AK32" s="12">
        <v>-5479.6543305072537</v>
      </c>
      <c r="AL32" s="12">
        <v>-5785.9793818925709</v>
      </c>
      <c r="AM32" s="12">
        <v>-6919.030637004309</v>
      </c>
      <c r="AN32" s="12">
        <v>-8888.5750408616004</v>
      </c>
      <c r="AO32" s="12">
        <v>-10490.621548740437</v>
      </c>
      <c r="AP32" s="12">
        <v>-12526.071612131151</v>
      </c>
      <c r="AQ32" s="12">
        <v>-13710.156594035408</v>
      </c>
      <c r="AR32" s="12">
        <v>-14336.552328808704</v>
      </c>
      <c r="AS32" s="12">
        <v>-15415.238881312909</v>
      </c>
      <c r="AT32" s="12">
        <v>-16417.769327378486</v>
      </c>
      <c r="AU32" s="12">
        <v>-17501.259405257835</v>
      </c>
      <c r="AV32" s="12">
        <v>-18390.631186567116</v>
      </c>
      <c r="AW32" s="12">
        <v>-19189.008079692292</v>
      </c>
      <c r="AX32" s="12">
        <v>-20376.477927312371</v>
      </c>
      <c r="AY32" s="12">
        <v>-21711.526099251776</v>
      </c>
      <c r="AZ32" s="12">
        <v>-22872.849755340354</v>
      </c>
      <c r="BA32" s="12">
        <v>-24054.375423494337</v>
      </c>
      <c r="BB32" s="12">
        <v>-25149.236038892886</v>
      </c>
      <c r="BC32" s="12">
        <v>-26144.682353443386</v>
      </c>
      <c r="BD32" s="12">
        <v>-26622.484457348495</v>
      </c>
      <c r="BE32" s="12">
        <v>-26700.199812481886</v>
      </c>
      <c r="BF32" s="12">
        <v>-26494.645824413317</v>
      </c>
      <c r="BG32" s="12">
        <v>-26017.868802124554</v>
      </c>
      <c r="BH32" s="12">
        <v>-26076.367918352516</v>
      </c>
      <c r="BI32" s="12">
        <v>-26081.536056972473</v>
      </c>
      <c r="BJ32" s="12">
        <v>-26016.253489538747</v>
      </c>
      <c r="BK32" s="12">
        <v>-25794.30250528258</v>
      </c>
      <c r="BL32" s="12">
        <v>-25657.688805574617</v>
      </c>
    </row>
    <row r="33" spans="1:64" s="12" customFormat="1" x14ac:dyDescent="0.35">
      <c r="C33" s="12" t="s">
        <v>134</v>
      </c>
      <c r="AH33" s="12">
        <v>-736.71377373889936</v>
      </c>
      <c r="AI33" s="12">
        <v>-943.05881311267149</v>
      </c>
      <c r="AJ33" s="12">
        <v>-989.1159819699169</v>
      </c>
      <c r="AK33" s="12">
        <v>-651.87850776964206</v>
      </c>
      <c r="AL33" s="12">
        <v>-265.15557247221932</v>
      </c>
      <c r="AM33" s="12">
        <v>145.84291219286933</v>
      </c>
      <c r="AN33" s="12">
        <v>-48.770296154674725</v>
      </c>
      <c r="AO33" s="12">
        <v>2.8946139452891657</v>
      </c>
      <c r="AP33" s="12">
        <v>90.93396795602348</v>
      </c>
      <c r="AQ33" s="12">
        <v>134.05187972000022</v>
      </c>
      <c r="AR33" s="12">
        <v>212.84511783828202</v>
      </c>
      <c r="AS33" s="12">
        <v>307.78418661095748</v>
      </c>
      <c r="AT33" s="12">
        <v>485.59334492086964</v>
      </c>
      <c r="AU33" s="12">
        <v>666.76289414192433</v>
      </c>
      <c r="AV33" s="12">
        <v>729.09122257366107</v>
      </c>
      <c r="AW33" s="12">
        <v>641.35789191940421</v>
      </c>
      <c r="AX33" s="12">
        <v>635.35296908481178</v>
      </c>
      <c r="AY33" s="12">
        <v>290.00632848589521</v>
      </c>
      <c r="AZ33" s="12">
        <v>294.39611682210671</v>
      </c>
      <c r="BA33" s="12">
        <v>323.27101302860683</v>
      </c>
      <c r="BB33" s="12">
        <v>319.10989355637139</v>
      </c>
      <c r="BC33" s="12">
        <v>270.83501841231191</v>
      </c>
      <c r="BD33" s="12">
        <v>164.19713870795022</v>
      </c>
      <c r="BE33" s="12">
        <v>165.2344402391609</v>
      </c>
      <c r="BF33" s="12">
        <v>174.95717113514547</v>
      </c>
      <c r="BG33" s="12">
        <v>180.0628048677645</v>
      </c>
      <c r="BH33" s="12">
        <v>173.98052487469249</v>
      </c>
      <c r="BI33" s="12">
        <v>172.55654686462731</v>
      </c>
      <c r="BJ33" s="12">
        <v>178.09655868727714</v>
      </c>
      <c r="BK33" s="12">
        <v>178.31923065354567</v>
      </c>
      <c r="BL33" s="12">
        <v>177.4517072796225</v>
      </c>
    </row>
    <row r="34" spans="1:64" s="12" customFormat="1" x14ac:dyDescent="0.35">
      <c r="C34" s="12" t="s">
        <v>202</v>
      </c>
      <c r="AH34" s="12">
        <f>AH32+AH33</f>
        <v>-8060.2252194320736</v>
      </c>
      <c r="AI34" s="12">
        <f>AI32+AI33</f>
        <v>-7272.2101365835315</v>
      </c>
      <c r="AJ34" s="12">
        <f>AJ32+AJ33</f>
        <v>-6314.9021834546211</v>
      </c>
      <c r="AK34" s="12">
        <f t="shared" ref="AK34:BL34" si="0">AK32+AK33</f>
        <v>-6131.5328382768957</v>
      </c>
      <c r="AL34" s="12">
        <f t="shared" si="0"/>
        <v>-6051.1349543647902</v>
      </c>
      <c r="AM34" s="12">
        <f t="shared" si="0"/>
        <v>-6773.1877248114397</v>
      </c>
      <c r="AN34" s="12">
        <f t="shared" si="0"/>
        <v>-8937.3453370162752</v>
      </c>
      <c r="AO34" s="12">
        <f t="shared" si="0"/>
        <v>-10487.726934795148</v>
      </c>
      <c r="AP34" s="12">
        <f t="shared" si="0"/>
        <v>-12435.137644175127</v>
      </c>
      <c r="AQ34" s="12">
        <f t="shared" si="0"/>
        <v>-13576.104714315408</v>
      </c>
      <c r="AR34" s="12">
        <f t="shared" si="0"/>
        <v>-14123.707210970422</v>
      </c>
      <c r="AS34" s="12">
        <f t="shared" si="0"/>
        <v>-15107.454694701952</v>
      </c>
      <c r="AT34" s="12">
        <f t="shared" si="0"/>
        <v>-15932.175982457617</v>
      </c>
      <c r="AU34" s="12">
        <f t="shared" si="0"/>
        <v>-16834.496511115911</v>
      </c>
      <c r="AV34" s="12">
        <f t="shared" si="0"/>
        <v>-17661.539963993455</v>
      </c>
      <c r="AW34" s="12">
        <f t="shared" si="0"/>
        <v>-18547.650187772888</v>
      </c>
      <c r="AX34" s="12">
        <f t="shared" si="0"/>
        <v>-19741.12495822756</v>
      </c>
      <c r="AY34" s="12">
        <f t="shared" si="0"/>
        <v>-21421.519770765881</v>
      </c>
      <c r="AZ34" s="12">
        <f t="shared" si="0"/>
        <v>-22578.453638518247</v>
      </c>
      <c r="BA34" s="12">
        <f t="shared" si="0"/>
        <v>-23731.10441046573</v>
      </c>
      <c r="BB34" s="12">
        <f t="shared" si="0"/>
        <v>-24830.126145336515</v>
      </c>
      <c r="BC34" s="12">
        <f t="shared" si="0"/>
        <v>-25873.847335031074</v>
      </c>
      <c r="BD34" s="12">
        <f t="shared" si="0"/>
        <v>-26458.287318640545</v>
      </c>
      <c r="BE34" s="12">
        <f t="shared" si="0"/>
        <v>-26534.965372242725</v>
      </c>
      <c r="BF34" s="12">
        <f t="shared" si="0"/>
        <v>-26319.688653278172</v>
      </c>
      <c r="BG34" s="12">
        <f t="shared" si="0"/>
        <v>-25837.80599725679</v>
      </c>
      <c r="BH34" s="12">
        <f t="shared" si="0"/>
        <v>-25902.387393477824</v>
      </c>
      <c r="BI34" s="12">
        <f t="shared" si="0"/>
        <v>-25908.979510107845</v>
      </c>
      <c r="BJ34" s="12">
        <f t="shared" si="0"/>
        <v>-25838.15693085147</v>
      </c>
      <c r="BK34" s="12">
        <f t="shared" si="0"/>
        <v>-25615.983274629034</v>
      </c>
      <c r="BL34" s="12">
        <f t="shared" si="0"/>
        <v>-25480.237098294994</v>
      </c>
    </row>
    <row r="35" spans="1:64" s="12" customFormat="1" x14ac:dyDescent="0.35">
      <c r="C35" s="12" t="s">
        <v>203</v>
      </c>
      <c r="AH35" s="3">
        <f>AH33/AH34</f>
        <v>9.1401140003232878E-2</v>
      </c>
      <c r="AI35" s="3">
        <f>AI33/AI34</f>
        <v>0.1296798078439079</v>
      </c>
      <c r="AJ35" s="3">
        <f>AJ33/AJ34</f>
        <v>0.15663203534038156</v>
      </c>
      <c r="AK35" s="3">
        <f t="shared" ref="AK35:BL35" si="1">AK33/AK34</f>
        <v>0.1063157492528141</v>
      </c>
      <c r="AL35" s="3">
        <f t="shared" si="1"/>
        <v>4.3819147064462334E-2</v>
      </c>
      <c r="AM35" s="3">
        <f t="shared" si="1"/>
        <v>-2.1532388901406019E-2</v>
      </c>
      <c r="AN35" s="3">
        <f t="shared" si="1"/>
        <v>5.4569107845346661E-3</v>
      </c>
      <c r="AO35" s="3">
        <f t="shared" si="1"/>
        <v>-2.7600012503049641E-4</v>
      </c>
      <c r="AP35" s="3">
        <f t="shared" si="1"/>
        <v>-7.3126627591950143E-3</v>
      </c>
      <c r="AQ35" s="3">
        <f t="shared" si="1"/>
        <v>-9.8741047259784595E-3</v>
      </c>
      <c r="AR35" s="3">
        <f t="shared" si="1"/>
        <v>-1.5070060194462054E-2</v>
      </c>
      <c r="AS35" s="3">
        <f t="shared" si="1"/>
        <v>-2.0373000801974579E-2</v>
      </c>
      <c r="AT35" s="3">
        <f t="shared" si="1"/>
        <v>-3.0478783654884312E-2</v>
      </c>
      <c r="AU35" s="3">
        <f t="shared" si="1"/>
        <v>-3.9606940053220907E-2</v>
      </c>
      <c r="AV35" s="3">
        <f t="shared" si="1"/>
        <v>-4.1281293933601367E-2</v>
      </c>
      <c r="AW35" s="3">
        <f t="shared" si="1"/>
        <v>-3.4578929698717557E-2</v>
      </c>
      <c r="AX35" s="3">
        <f t="shared" si="1"/>
        <v>-3.2184233189811916E-2</v>
      </c>
      <c r="AY35" s="3">
        <f t="shared" si="1"/>
        <v>-1.353808373958925E-2</v>
      </c>
      <c r="AZ35" s="3">
        <f t="shared" si="1"/>
        <v>-1.3038807773791678E-2</v>
      </c>
      <c r="BA35" s="3">
        <f t="shared" si="1"/>
        <v>-1.3622248987537219E-2</v>
      </c>
      <c r="BB35" s="3">
        <f t="shared" si="1"/>
        <v>-1.2851722608598395E-2</v>
      </c>
      <c r="BC35" s="3">
        <f t="shared" si="1"/>
        <v>-1.0467520152892896E-2</v>
      </c>
      <c r="BD35" s="3">
        <f t="shared" si="1"/>
        <v>-6.2058869015406415E-3</v>
      </c>
      <c r="BE35" s="3">
        <f t="shared" si="1"/>
        <v>-6.2270456328541784E-3</v>
      </c>
      <c r="BF35" s="3">
        <f t="shared" si="1"/>
        <v>-6.6473875675331822E-3</v>
      </c>
      <c r="BG35" s="3">
        <f t="shared" si="1"/>
        <v>-6.9689665170054238E-3</v>
      </c>
      <c r="BH35" s="3">
        <f t="shared" si="1"/>
        <v>-6.7167756481976053E-3</v>
      </c>
      <c r="BI35" s="3">
        <f t="shared" si="1"/>
        <v>-6.6601058832636761E-3</v>
      </c>
      <c r="BJ35" s="3">
        <f t="shared" si="1"/>
        <v>-6.8927733183099041E-3</v>
      </c>
      <c r="BK35" s="3">
        <f t="shared" si="1"/>
        <v>-6.961248714983324E-3</v>
      </c>
      <c r="BL35" s="3">
        <f t="shared" si="1"/>
        <v>-6.9642879143968659E-3</v>
      </c>
    </row>
    <row r="36" spans="1:64" s="39" customFormat="1" x14ac:dyDescent="0.35">
      <c r="A36" s="38" t="s">
        <v>204</v>
      </c>
    </row>
    <row r="37" spans="1:64" x14ac:dyDescent="0.35">
      <c r="AK37" s="4"/>
      <c r="AL37" s="4"/>
      <c r="AM37" s="4"/>
      <c r="AN37" s="4"/>
      <c r="AO37" s="4"/>
      <c r="AP37" s="4"/>
    </row>
    <row r="38" spans="1:64" x14ac:dyDescent="0.35">
      <c r="B38" s="1" t="s">
        <v>216</v>
      </c>
      <c r="AL38" s="4"/>
      <c r="AM38" s="4"/>
      <c r="AN38" s="4"/>
      <c r="AO38" s="4"/>
      <c r="AP38" s="4"/>
    </row>
    <row r="39" spans="1:64" x14ac:dyDescent="0.35">
      <c r="B39"/>
      <c r="C39" t="s">
        <v>188</v>
      </c>
      <c r="D39" s="32">
        <v>8126.1945618773643</v>
      </c>
      <c r="E39" s="32">
        <v>8106.661121873205</v>
      </c>
      <c r="F39" s="32">
        <v>8469.9964545997555</v>
      </c>
      <c r="G39" s="32">
        <v>8922.6885824844103</v>
      </c>
      <c r="H39" s="32">
        <v>9583.8002483498967</v>
      </c>
      <c r="I39" s="32">
        <v>10247.564720783123</v>
      </c>
      <c r="J39" s="32">
        <v>10378.724398951666</v>
      </c>
      <c r="K39" s="32">
        <v>10605.333888617772</v>
      </c>
      <c r="L39" s="32">
        <v>10810.458340752642</v>
      </c>
      <c r="M39" s="32">
        <v>11096.605458727845</v>
      </c>
      <c r="N39" s="32">
        <v>11648.310343290637</v>
      </c>
      <c r="O39" s="32">
        <v>11705.871223077451</v>
      </c>
      <c r="P39" s="32">
        <v>12162.021231248526</v>
      </c>
      <c r="Q39" s="32">
        <v>12697.797549640931</v>
      </c>
      <c r="R39" s="32">
        <v>12992.367162928625</v>
      </c>
      <c r="S39" s="32">
        <v>13063.440862686894</v>
      </c>
      <c r="T39" s="32">
        <v>13182.198504199005</v>
      </c>
      <c r="U39" s="32">
        <v>13284.806809600492</v>
      </c>
      <c r="V39" s="32">
        <v>13293.959706338926</v>
      </c>
      <c r="W39" s="32">
        <v>13101.086214174264</v>
      </c>
      <c r="X39" s="32">
        <v>13348.937535477718</v>
      </c>
      <c r="Y39" s="32">
        <v>13331.827621000642</v>
      </c>
      <c r="Z39" s="32">
        <v>13006.487718579234</v>
      </c>
      <c r="AA39" s="32">
        <v>13081.360160828839</v>
      </c>
      <c r="AB39" s="32">
        <v>13339.646613066796</v>
      </c>
      <c r="AC39" s="32">
        <v>13805.025309105527</v>
      </c>
      <c r="AD39" s="32">
        <v>13906.520809611657</v>
      </c>
      <c r="AE39" s="32">
        <v>14803.702978914342</v>
      </c>
      <c r="AF39" s="32">
        <v>15126.124771992951</v>
      </c>
      <c r="AG39" s="32">
        <v>14654.704680232724</v>
      </c>
      <c r="AH39" s="32">
        <v>13175.66592208733</v>
      </c>
      <c r="AI39" s="32">
        <v>14392.458510567654</v>
      </c>
      <c r="AJ39" s="32">
        <v>15136.06345285677</v>
      </c>
      <c r="AK39" s="32">
        <v>15266.536096800248</v>
      </c>
      <c r="AL39" s="32">
        <v>15146.85249805272</v>
      </c>
      <c r="AM39" s="32">
        <v>14992.030690104439</v>
      </c>
      <c r="AN39" s="32">
        <v>14742.768425476655</v>
      </c>
      <c r="AO39" s="32">
        <v>14443.411856381275</v>
      </c>
      <c r="AP39" s="32">
        <v>14019.993993121743</v>
      </c>
      <c r="AQ39" s="32">
        <v>13478.050386523248</v>
      </c>
      <c r="AR39" s="32">
        <v>12818.222228943747</v>
      </c>
      <c r="AS39" s="32">
        <v>12018.667048697454</v>
      </c>
      <c r="AT39" s="32">
        <v>11206.966781897376</v>
      </c>
      <c r="AU39" s="32">
        <v>10368.270013817177</v>
      </c>
      <c r="AV39" s="32">
        <v>9573.7207429681166</v>
      </c>
      <c r="AW39" s="32">
        <v>8738.9976258976531</v>
      </c>
      <c r="AX39" s="32">
        <v>7969.462877298889</v>
      </c>
      <c r="AY39" s="32">
        <v>7190.1785919775375</v>
      </c>
      <c r="AZ39" s="32">
        <v>6502.4875577186776</v>
      </c>
      <c r="BA39" s="32">
        <v>5886.7957945973685</v>
      </c>
      <c r="BB39" s="32">
        <v>5255.905572065536</v>
      </c>
      <c r="BC39" s="32">
        <v>4742.1118640319837</v>
      </c>
      <c r="BD39" s="32">
        <v>4236.3146466567496</v>
      </c>
      <c r="BE39" s="32">
        <v>3759.4924336066242</v>
      </c>
      <c r="BF39" s="32">
        <v>3303.8408019191943</v>
      </c>
      <c r="BG39" s="32">
        <v>2850.251972189079</v>
      </c>
      <c r="BH39" s="32">
        <v>2522.9629070235692</v>
      </c>
      <c r="BI39" s="32">
        <v>2201.1180446802186</v>
      </c>
      <c r="BJ39" s="32">
        <v>1884.2077497820085</v>
      </c>
      <c r="BK39" s="32">
        <v>1651.1149359981721</v>
      </c>
      <c r="BL39" s="32">
        <v>1468.3926776201222</v>
      </c>
    </row>
    <row r="40" spans="1:64" x14ac:dyDescent="0.35">
      <c r="C40" t="s">
        <v>189</v>
      </c>
      <c r="D40" s="32">
        <v>15751.457119942432</v>
      </c>
      <c r="E40" s="32">
        <v>16260.763635184612</v>
      </c>
      <c r="F40" s="32">
        <v>17758.189935011564</v>
      </c>
      <c r="G40" s="32">
        <v>16839.732611162875</v>
      </c>
      <c r="H40" s="32">
        <v>16497.457587552446</v>
      </c>
      <c r="I40" s="32">
        <v>15618.085712577753</v>
      </c>
      <c r="J40" s="32">
        <v>17083.054848425389</v>
      </c>
      <c r="K40" s="32">
        <v>18888.501120561912</v>
      </c>
      <c r="L40" s="32">
        <v>17101.107279390875</v>
      </c>
      <c r="M40" s="32">
        <v>18186.151145039094</v>
      </c>
      <c r="N40" s="32">
        <v>18370.06129168706</v>
      </c>
      <c r="O40" s="32">
        <v>20332.557983234976</v>
      </c>
      <c r="P40" s="32">
        <v>19826.561624475569</v>
      </c>
      <c r="Q40" s="32">
        <v>20715.372328325397</v>
      </c>
      <c r="R40" s="32">
        <v>20063.148999961377</v>
      </c>
      <c r="S40" s="32">
        <v>21585.171872315932</v>
      </c>
      <c r="T40" s="32">
        <v>21864.599123014294</v>
      </c>
      <c r="U40" s="32">
        <v>20354.048014398646</v>
      </c>
      <c r="V40" s="32">
        <v>21480.730358969609</v>
      </c>
      <c r="W40" s="32">
        <v>18989.974763630606</v>
      </c>
      <c r="X40" s="32">
        <v>18897.274228602691</v>
      </c>
      <c r="Y40" s="32">
        <v>18238.205068148098</v>
      </c>
      <c r="Z40" s="32">
        <v>19945.036100062269</v>
      </c>
      <c r="AA40" s="32">
        <v>19006.798121776083</v>
      </c>
      <c r="AB40" s="32">
        <v>18818.737812995834</v>
      </c>
      <c r="AC40" s="32">
        <v>18599.558463781785</v>
      </c>
      <c r="AD40" s="32">
        <v>17094.00307321069</v>
      </c>
      <c r="AE40" s="32">
        <v>17648.574192506356</v>
      </c>
      <c r="AF40" s="32">
        <v>17397.469601782203</v>
      </c>
      <c r="AG40" s="32">
        <v>19264.921922553574</v>
      </c>
      <c r="AH40" s="32">
        <v>18284.708741332448</v>
      </c>
      <c r="AI40" s="32">
        <v>18446.312509933738</v>
      </c>
      <c r="AJ40" s="32">
        <v>17073.91003084468</v>
      </c>
      <c r="AK40" s="32">
        <v>16159.570930049618</v>
      </c>
      <c r="AL40" s="32">
        <v>15199.613509582672</v>
      </c>
      <c r="AM40" s="32">
        <v>14238.325157805191</v>
      </c>
      <c r="AN40" s="32">
        <v>13944.805497205094</v>
      </c>
      <c r="AO40" s="32">
        <v>13599.024381642395</v>
      </c>
      <c r="AP40" s="32">
        <v>13323.749090068264</v>
      </c>
      <c r="AQ40" s="32">
        <v>13081.498093944878</v>
      </c>
      <c r="AR40" s="32">
        <v>12051.238242126385</v>
      </c>
      <c r="AS40" s="32">
        <v>11702.686569943649</v>
      </c>
      <c r="AT40" s="32">
        <v>11325.50568638927</v>
      </c>
      <c r="AU40" s="32">
        <v>11053.571589335783</v>
      </c>
      <c r="AV40" s="32">
        <v>10738.338364282261</v>
      </c>
      <c r="AW40" s="32">
        <v>10332.520754331361</v>
      </c>
      <c r="AX40" s="32">
        <v>9848.345859417288</v>
      </c>
      <c r="AY40" s="32">
        <v>9359.6203765954997</v>
      </c>
      <c r="AZ40" s="32">
        <v>8904.8930730616103</v>
      </c>
      <c r="BA40" s="32">
        <v>8496.8644995945506</v>
      </c>
      <c r="BB40" s="32">
        <v>7340.0243308323343</v>
      </c>
      <c r="BC40" s="32">
        <v>6985.0326054606685</v>
      </c>
      <c r="BD40" s="32">
        <v>6552.3733493666596</v>
      </c>
      <c r="BE40" s="32">
        <v>6160.3171397801189</v>
      </c>
      <c r="BF40" s="32">
        <v>5765.5535175847226</v>
      </c>
      <c r="BG40" s="32">
        <v>5393.7679654563262</v>
      </c>
      <c r="BH40" s="32">
        <v>5037.2365447496113</v>
      </c>
      <c r="BI40" s="32">
        <v>4766.1557842493521</v>
      </c>
      <c r="BJ40" s="32">
        <v>4480.4063970348825</v>
      </c>
      <c r="BK40" s="32">
        <v>4076.8191807841413</v>
      </c>
      <c r="BL40" s="32">
        <v>3700.9642515558726</v>
      </c>
    </row>
    <row r="41" spans="1:64" x14ac:dyDescent="0.35">
      <c r="C41" t="s">
        <v>41</v>
      </c>
      <c r="D41" s="32">
        <v>3579.9241346438948</v>
      </c>
      <c r="E41" s="32">
        <v>3728.6111222987829</v>
      </c>
      <c r="F41" s="32">
        <v>3374.0926125681876</v>
      </c>
      <c r="G41" s="32">
        <v>3213.4642440055904</v>
      </c>
      <c r="H41" s="32">
        <v>3082.8039477327038</v>
      </c>
      <c r="I41" s="32">
        <v>3174.4319661035479</v>
      </c>
      <c r="J41" s="32">
        <v>3365.5491486420492</v>
      </c>
      <c r="K41" s="32">
        <v>3253.3568142669214</v>
      </c>
      <c r="L41" s="32">
        <v>3237.0127278299415</v>
      </c>
      <c r="M41" s="32">
        <v>3412.9403172224529</v>
      </c>
      <c r="N41" s="32">
        <v>3443.2215068220407</v>
      </c>
      <c r="O41" s="32">
        <v>3558.4810172775565</v>
      </c>
      <c r="P41" s="32">
        <v>3680.4558967406147</v>
      </c>
      <c r="Q41" s="32">
        <v>3916.5350179642096</v>
      </c>
      <c r="R41" s="32">
        <v>3952.997270519284</v>
      </c>
      <c r="S41" s="32">
        <v>4061.6484302342874</v>
      </c>
      <c r="T41" s="32">
        <v>4171.1765319764372</v>
      </c>
      <c r="U41" s="32">
        <v>4431.1900620868064</v>
      </c>
      <c r="V41" s="32">
        <v>4322.4399267639474</v>
      </c>
      <c r="W41" s="32">
        <v>4274.5913164439062</v>
      </c>
      <c r="X41" s="32">
        <v>4591.1325441158442</v>
      </c>
      <c r="Y41" s="32">
        <v>4627.3865476130059</v>
      </c>
      <c r="Z41" s="32">
        <v>4703.1898738720029</v>
      </c>
      <c r="AA41" s="32">
        <v>4836.3461555290796</v>
      </c>
      <c r="AB41" s="32">
        <v>5006.9811906990517</v>
      </c>
      <c r="AC41" s="32">
        <v>5137.3234307296034</v>
      </c>
      <c r="AD41" s="32">
        <v>4883.0727657886491</v>
      </c>
      <c r="AE41" s="32">
        <v>4928.4399302853481</v>
      </c>
      <c r="AF41" s="32">
        <v>4825.0737740304521</v>
      </c>
      <c r="AG41" s="32">
        <v>4861.0458918188215</v>
      </c>
      <c r="AH41" s="32">
        <v>4618.3537995997167</v>
      </c>
      <c r="AI41" s="32">
        <v>4834.0899997077759</v>
      </c>
      <c r="AJ41" s="32">
        <v>4767.245025926115</v>
      </c>
      <c r="AK41" s="32">
        <v>4683.3403693865876</v>
      </c>
      <c r="AL41" s="32">
        <v>4721.069538822986</v>
      </c>
      <c r="AM41" s="32">
        <v>4695.0040584819963</v>
      </c>
      <c r="AN41" s="32">
        <v>4687.4255258953444</v>
      </c>
      <c r="AO41" s="32">
        <v>4647.0998304465547</v>
      </c>
      <c r="AP41" s="32">
        <v>4612.3871530002098</v>
      </c>
      <c r="AQ41" s="32">
        <v>4597.3855116111909</v>
      </c>
      <c r="AR41" s="32">
        <v>4372.2487504603068</v>
      </c>
      <c r="AS41" s="32">
        <v>4339.0689272062982</v>
      </c>
      <c r="AT41" s="32">
        <v>4308.1957437570436</v>
      </c>
      <c r="AU41" s="32">
        <v>4268.0026147706694</v>
      </c>
      <c r="AV41" s="32">
        <v>4234.6353407242532</v>
      </c>
      <c r="AW41" s="32">
        <v>4233.9191107962588</v>
      </c>
      <c r="AX41" s="32">
        <v>4202.2921057735002</v>
      </c>
      <c r="AY41" s="32">
        <v>4186.4569811970341</v>
      </c>
      <c r="AZ41" s="32">
        <v>4172.348055425331</v>
      </c>
      <c r="BA41" s="32">
        <v>4159.9592624855577</v>
      </c>
      <c r="BB41" s="32">
        <v>4093.3183696320239</v>
      </c>
      <c r="BC41" s="32">
        <v>4086.2453342662684</v>
      </c>
      <c r="BD41" s="32">
        <v>4081.7679632509407</v>
      </c>
      <c r="BE41" s="32">
        <v>4082.3113824749371</v>
      </c>
      <c r="BF41" s="32">
        <v>4084.7898646137396</v>
      </c>
      <c r="BG41" s="32">
        <v>4089.7458565635452</v>
      </c>
      <c r="BH41" s="32">
        <v>4097.5624677909891</v>
      </c>
      <c r="BI41" s="32">
        <v>4106.9319330864682</v>
      </c>
      <c r="BJ41" s="32">
        <v>4117.9933002813459</v>
      </c>
      <c r="BK41" s="32">
        <v>4129.9927568220519</v>
      </c>
      <c r="BL41" s="32">
        <v>4144.4726304300912</v>
      </c>
    </row>
    <row r="42" spans="1:64" x14ac:dyDescent="0.35">
      <c r="C42" t="s">
        <v>22</v>
      </c>
      <c r="D42" s="32">
        <v>33792.883792640801</v>
      </c>
      <c r="E42" s="32">
        <v>34022.507497623636</v>
      </c>
      <c r="F42" s="32">
        <v>33570.976096954386</v>
      </c>
      <c r="G42" s="32">
        <v>33956.386055454059</v>
      </c>
      <c r="H42" s="32">
        <v>35133.357696970474</v>
      </c>
      <c r="I42" s="32">
        <v>35734.697114699826</v>
      </c>
      <c r="J42" s="32">
        <v>36038.256988676847</v>
      </c>
      <c r="K42" s="32">
        <v>36893.059160199904</v>
      </c>
      <c r="L42" s="32">
        <v>36287.57602729107</v>
      </c>
      <c r="M42" s="32">
        <v>36468.192719340499</v>
      </c>
      <c r="N42" s="32">
        <v>37614.876691713245</v>
      </c>
      <c r="O42" s="32">
        <v>38445.135385291032</v>
      </c>
      <c r="P42" s="32">
        <v>38452.902957963292</v>
      </c>
      <c r="Q42" s="32">
        <v>39075.42676975514</v>
      </c>
      <c r="R42" s="32">
        <v>39219.068962221187</v>
      </c>
      <c r="S42" s="32">
        <v>39571.899890630833</v>
      </c>
      <c r="T42" s="32">
        <v>39427.397347479411</v>
      </c>
      <c r="U42" s="32">
        <v>38508.095057663355</v>
      </c>
      <c r="V42" s="32">
        <v>37332.251308305429</v>
      </c>
      <c r="W42" s="32">
        <v>37535.958522506568</v>
      </c>
      <c r="X42" s="32">
        <v>37711.495238636984</v>
      </c>
      <c r="Y42" s="32">
        <v>38362.26954703615</v>
      </c>
      <c r="Z42" s="32">
        <v>39203.363521824562</v>
      </c>
      <c r="AA42" s="32">
        <v>39306.762181725338</v>
      </c>
      <c r="AB42" s="32">
        <v>39922.7718055964</v>
      </c>
      <c r="AC42" s="32">
        <v>39415.789030060478</v>
      </c>
      <c r="AD42" s="32">
        <v>39042.960218724664</v>
      </c>
      <c r="AE42" s="32">
        <v>39082.390698957628</v>
      </c>
      <c r="AF42" s="32">
        <v>39368.286753731292</v>
      </c>
      <c r="AG42" s="32">
        <v>39518.641021140895</v>
      </c>
      <c r="AH42" s="32">
        <v>39425.54384512121</v>
      </c>
      <c r="AI42" s="32">
        <v>38620.069282765049</v>
      </c>
      <c r="AJ42" s="32">
        <v>38059.367736017455</v>
      </c>
      <c r="AK42" s="32">
        <v>37597.155744748299</v>
      </c>
      <c r="AL42" s="32">
        <v>37166.639997459206</v>
      </c>
      <c r="AM42" s="32">
        <v>36741.729223219045</v>
      </c>
      <c r="AN42" s="32">
        <v>36408.477389814383</v>
      </c>
      <c r="AO42" s="32">
        <v>36098.292857193119</v>
      </c>
      <c r="AP42" s="32">
        <v>35746.780049539091</v>
      </c>
      <c r="AQ42" s="32">
        <v>35400.588453586643</v>
      </c>
      <c r="AR42" s="32">
        <v>35061.773132274342</v>
      </c>
      <c r="AS42" s="32">
        <v>34793.24592354468</v>
      </c>
      <c r="AT42" s="32">
        <v>34510.547126844482</v>
      </c>
      <c r="AU42" s="32">
        <v>34249.858265887386</v>
      </c>
      <c r="AV42" s="32">
        <v>33980.955578887842</v>
      </c>
      <c r="AW42" s="32">
        <v>33717.921216759358</v>
      </c>
      <c r="AX42" s="32">
        <v>33453.430074660813</v>
      </c>
      <c r="AY42" s="32">
        <v>33205.777654504578</v>
      </c>
      <c r="AZ42" s="32">
        <v>32978.935223224362</v>
      </c>
      <c r="BA42" s="32">
        <v>32748.537943161729</v>
      </c>
      <c r="BB42" s="32">
        <v>32517.708104554509</v>
      </c>
      <c r="BC42" s="32">
        <v>32361.200540003214</v>
      </c>
      <c r="BD42" s="32">
        <v>32218.712461638992</v>
      </c>
      <c r="BE42" s="32">
        <v>32075.219090711718</v>
      </c>
      <c r="BF42" s="32">
        <v>31933.767130565364</v>
      </c>
      <c r="BG42" s="32">
        <v>31830.361460439308</v>
      </c>
      <c r="BH42" s="32">
        <v>31704.61702434843</v>
      </c>
      <c r="BI42" s="32">
        <v>31564.847989234688</v>
      </c>
      <c r="BJ42" s="32">
        <v>31422.381038264371</v>
      </c>
      <c r="BK42" s="32">
        <v>31286.328029751323</v>
      </c>
      <c r="BL42" s="32">
        <v>31165.580004114188</v>
      </c>
    </row>
    <row r="43" spans="1:64" x14ac:dyDescent="0.35">
      <c r="C43" t="s">
        <v>23</v>
      </c>
      <c r="D43" s="32">
        <v>3943.1148437609995</v>
      </c>
      <c r="E43" s="32">
        <v>4053.4902087141354</v>
      </c>
      <c r="F43" s="32">
        <v>4155.4982918697824</v>
      </c>
      <c r="G43" s="32">
        <v>4258.3736048143737</v>
      </c>
      <c r="H43" s="32">
        <v>4142.4834030932479</v>
      </c>
      <c r="I43" s="32">
        <v>4234.5138945425988</v>
      </c>
      <c r="J43" s="32">
        <v>4322.4105568753039</v>
      </c>
      <c r="K43" s="32">
        <v>4383.88162653171</v>
      </c>
      <c r="L43" s="32">
        <v>4382.3146435590279</v>
      </c>
      <c r="M43" s="32">
        <v>4408.2468195561178</v>
      </c>
      <c r="N43" s="32">
        <v>4434.5633502413211</v>
      </c>
      <c r="O43" s="32">
        <v>4457.6683229025284</v>
      </c>
      <c r="P43" s="32">
        <v>4468.9149716222946</v>
      </c>
      <c r="Q43" s="32">
        <v>4375.0104850215394</v>
      </c>
      <c r="R43" s="32">
        <v>4388.9774342791543</v>
      </c>
      <c r="S43" s="32">
        <v>4378.2979179897802</v>
      </c>
      <c r="T43" s="32">
        <v>4181.7615086289525</v>
      </c>
      <c r="U43" s="32">
        <v>4143.9617197080097</v>
      </c>
      <c r="V43" s="32">
        <v>4059.4482204096253</v>
      </c>
      <c r="W43" s="32">
        <v>3927.6535894400477</v>
      </c>
      <c r="X43" s="32">
        <v>3871.670532727172</v>
      </c>
      <c r="Y43" s="32">
        <v>3724.6524301970594</v>
      </c>
      <c r="Z43" s="32">
        <v>3618.6264952923921</v>
      </c>
      <c r="AA43" s="32">
        <v>3569.6605244596872</v>
      </c>
      <c r="AB43" s="32">
        <v>3525.876975920713</v>
      </c>
      <c r="AC43" s="32">
        <v>3487.8272949084953</v>
      </c>
      <c r="AD43" s="32">
        <v>3460.678767352797</v>
      </c>
      <c r="AE43" s="32">
        <v>3422.2815565735123</v>
      </c>
      <c r="AF43" s="32">
        <v>3358.3579591975863</v>
      </c>
      <c r="AG43" s="32">
        <v>3312.6998150132395</v>
      </c>
      <c r="AH43" s="32">
        <v>3268.8701197571045</v>
      </c>
      <c r="AI43" s="32">
        <v>3261.5672554341481</v>
      </c>
      <c r="AJ43" s="32">
        <v>3230.5769522002965</v>
      </c>
      <c r="AK43" s="32">
        <v>3144.2189321601454</v>
      </c>
      <c r="AL43" s="32">
        <v>3057.4939662373476</v>
      </c>
      <c r="AM43" s="32">
        <v>2969.9845330191429</v>
      </c>
      <c r="AN43" s="32">
        <v>2881.0511277844093</v>
      </c>
      <c r="AO43" s="32">
        <v>2791.8435628211755</v>
      </c>
      <c r="AP43" s="32">
        <v>2702.7606563428885</v>
      </c>
      <c r="AQ43" s="32">
        <v>2614.1268608405594</v>
      </c>
      <c r="AR43" s="32">
        <v>2525.9792840995151</v>
      </c>
      <c r="AS43" s="32">
        <v>2452.307921342378</v>
      </c>
      <c r="AT43" s="32">
        <v>2383.4267213058815</v>
      </c>
      <c r="AU43" s="32">
        <v>2317.5166715997166</v>
      </c>
      <c r="AV43" s="32">
        <v>2253.5418685436744</v>
      </c>
      <c r="AW43" s="32">
        <v>2191.1563891873893</v>
      </c>
      <c r="AX43" s="32">
        <v>2130.0334508053265</v>
      </c>
      <c r="AY43" s="32">
        <v>2070.0786829200911</v>
      </c>
      <c r="AZ43" s="32">
        <v>2011.2659088516314</v>
      </c>
      <c r="BA43" s="32">
        <v>1953.4275606070087</v>
      </c>
      <c r="BB43" s="32">
        <v>1896.6644073530022</v>
      </c>
      <c r="BC43" s="32">
        <v>1850.2934492285697</v>
      </c>
      <c r="BD43" s="32">
        <v>1804.8187555182492</v>
      </c>
      <c r="BE43" s="32">
        <v>1760.238637974699</v>
      </c>
      <c r="BF43" s="32">
        <v>1716.4704427428323</v>
      </c>
      <c r="BG43" s="32">
        <v>1673.6110103191695</v>
      </c>
      <c r="BH43" s="32">
        <v>1631.5275839725477</v>
      </c>
      <c r="BI43" s="32">
        <v>1590.1597604933042</v>
      </c>
      <c r="BJ43" s="32">
        <v>1549.6292408034667</v>
      </c>
      <c r="BK43" s="32">
        <v>1509.8556660016086</v>
      </c>
      <c r="BL43" s="32">
        <v>1471.052295688806</v>
      </c>
    </row>
    <row r="44" spans="1:64" x14ac:dyDescent="0.35">
      <c r="C44" t="s">
        <v>190</v>
      </c>
      <c r="D44" s="32">
        <v>819.97524190854506</v>
      </c>
      <c r="E44" s="32">
        <v>828.0017286520922</v>
      </c>
      <c r="F44" s="32">
        <v>1085.1429139052391</v>
      </c>
      <c r="G44" s="32">
        <v>1158.2562175334988</v>
      </c>
      <c r="H44" s="32">
        <v>1294.5870452996453</v>
      </c>
      <c r="I44" s="32">
        <v>850.67438092522423</v>
      </c>
      <c r="J44" s="32">
        <v>38.592400303365025</v>
      </c>
      <c r="K44" s="32">
        <v>-1334.618596753277</v>
      </c>
      <c r="L44" s="32">
        <v>-3370.636542665608</v>
      </c>
      <c r="M44" s="32">
        <v>-5881.7403115761681</v>
      </c>
      <c r="N44" s="32">
        <v>-5840.6097105786448</v>
      </c>
      <c r="O44" s="32">
        <v>-8163.9905713630314</v>
      </c>
      <c r="P44" s="32">
        <v>-10155.899721608017</v>
      </c>
      <c r="Q44" s="32">
        <v>-9621.5624173653105</v>
      </c>
      <c r="R44" s="32">
        <v>-6746.7760646318911</v>
      </c>
      <c r="S44" s="32">
        <v>-909.81870967752047</v>
      </c>
      <c r="T44" s="32">
        <v>1895.2611011701449</v>
      </c>
      <c r="U44" s="32">
        <v>7426.246871923152</v>
      </c>
      <c r="V44" s="32">
        <v>-13411.996596017498</v>
      </c>
      <c r="W44" s="32">
        <v>-11081.405660283805</v>
      </c>
      <c r="X44" s="32">
        <v>-10565.307562466487</v>
      </c>
      <c r="Y44" s="32">
        <v>-12067.105918642314</v>
      </c>
      <c r="Z44" s="32">
        <v>-10202.075435723556</v>
      </c>
      <c r="AA44" s="32">
        <v>-7134.8699893356697</v>
      </c>
      <c r="AB44" s="32">
        <v>-10405.283669066264</v>
      </c>
      <c r="AC44" s="32">
        <v>-11945.163408270339</v>
      </c>
      <c r="AD44" s="32">
        <v>-11969.110093922558</v>
      </c>
      <c r="AE44" s="32">
        <v>-12080.174618702731</v>
      </c>
      <c r="AF44" s="32">
        <v>-11085.271780708874</v>
      </c>
      <c r="AG44" s="32">
        <v>-7702.6878138183429</v>
      </c>
      <c r="AH44" s="32">
        <v>-8060.2252194320736</v>
      </c>
      <c r="AI44" s="32">
        <v>-7272.2101365835315</v>
      </c>
      <c r="AJ44" s="32">
        <v>-6314.9021834546211</v>
      </c>
      <c r="AK44" s="32">
        <v>-6131.5328382768957</v>
      </c>
      <c r="AL44" s="32">
        <v>-6051.1349543647902</v>
      </c>
      <c r="AM44" s="32">
        <v>-6773.1877248114397</v>
      </c>
      <c r="AN44" s="32">
        <v>-8937.3453370162752</v>
      </c>
      <c r="AO44" s="32">
        <v>-10487.726934795148</v>
      </c>
      <c r="AP44" s="32">
        <v>-12435.137644175127</v>
      </c>
      <c r="AQ44" s="32">
        <v>-13576.104714315408</v>
      </c>
      <c r="AR44" s="32">
        <v>-14123.707210970422</v>
      </c>
      <c r="AS44" s="32">
        <v>-15107.454694701952</v>
      </c>
      <c r="AT44" s="32">
        <v>-15932.175982457617</v>
      </c>
      <c r="AU44" s="32">
        <v>-16834.496511115911</v>
      </c>
      <c r="AV44" s="32">
        <v>-17661.539963993455</v>
      </c>
      <c r="AW44" s="32">
        <v>-18547.650187772888</v>
      </c>
      <c r="AX44" s="32">
        <v>-19741.12495822756</v>
      </c>
      <c r="AY44" s="32">
        <v>-21421.519770765881</v>
      </c>
      <c r="AZ44" s="32">
        <v>-22578.453638518247</v>
      </c>
      <c r="BA44" s="32">
        <v>-23731.10441046573</v>
      </c>
      <c r="BB44" s="32">
        <v>-24830.126145336515</v>
      </c>
      <c r="BC44" s="32">
        <v>-25873.847335031074</v>
      </c>
      <c r="BD44" s="32">
        <v>-26458.287318640545</v>
      </c>
      <c r="BE44" s="32">
        <v>-26534.965372242725</v>
      </c>
      <c r="BF44" s="32">
        <v>-26319.688653278172</v>
      </c>
      <c r="BG44" s="32">
        <v>-25837.80599725679</v>
      </c>
      <c r="BH44" s="32">
        <v>-25902.387393477824</v>
      </c>
      <c r="BI44" s="32">
        <v>-25908.979510107845</v>
      </c>
      <c r="BJ44" s="32">
        <v>-25838.15693085147</v>
      </c>
      <c r="BK44" s="32">
        <v>-25615.983274629034</v>
      </c>
      <c r="BL44" s="32">
        <v>-25480.237098294994</v>
      </c>
    </row>
    <row r="45" spans="1:64" x14ac:dyDescent="0.35">
      <c r="C45" t="s">
        <v>46</v>
      </c>
      <c r="D45" s="32">
        <v>66013.549694774047</v>
      </c>
      <c r="E45" s="32">
        <v>67000.03531434646</v>
      </c>
      <c r="F45" s="32">
        <v>68413.896304908907</v>
      </c>
      <c r="G45" s="32">
        <v>68348.901315454816</v>
      </c>
      <c r="H45" s="32">
        <v>69734.489928998417</v>
      </c>
      <c r="I45" s="32">
        <v>69859.967789632065</v>
      </c>
      <c r="J45" s="32">
        <v>71226.588341874609</v>
      </c>
      <c r="K45" s="32">
        <v>72689.514013424938</v>
      </c>
      <c r="L45" s="32">
        <v>68447.832476157957</v>
      </c>
      <c r="M45" s="32">
        <v>67690.396148309839</v>
      </c>
      <c r="N45" s="32">
        <v>69670.423473175659</v>
      </c>
      <c r="O45" s="32">
        <v>70335.72336042051</v>
      </c>
      <c r="P45" s="32">
        <v>68434.956960442272</v>
      </c>
      <c r="Q45" s="32">
        <v>71158.579733341918</v>
      </c>
      <c r="R45" s="32">
        <v>73869.783765277738</v>
      </c>
      <c r="S45" s="32">
        <v>81750.640264180198</v>
      </c>
      <c r="T45" s="32">
        <v>84722.394116468262</v>
      </c>
      <c r="U45" s="32">
        <v>88148.348535380457</v>
      </c>
      <c r="V45" s="32">
        <v>67076.832924770031</v>
      </c>
      <c r="W45" s="32">
        <v>66747.858745911566</v>
      </c>
      <c r="X45" s="32">
        <v>67855.202517093931</v>
      </c>
      <c r="Y45" s="32">
        <v>66217.235295352657</v>
      </c>
      <c r="Z45" s="32">
        <v>70274.628273906899</v>
      </c>
      <c r="AA45" s="32">
        <v>72666.057154983355</v>
      </c>
      <c r="AB45" s="32">
        <v>70208.730729212519</v>
      </c>
      <c r="AC45" s="32">
        <v>68500.360120315541</v>
      </c>
      <c r="AD45" s="32">
        <v>66418.125540765905</v>
      </c>
      <c r="AE45" s="32">
        <v>67805.214738534458</v>
      </c>
      <c r="AF45" s="32">
        <v>68990.041080025607</v>
      </c>
      <c r="AG45" s="32">
        <v>73909.325516940924</v>
      </c>
      <c r="AH45" s="32">
        <v>70712.917208465733</v>
      </c>
      <c r="AI45" s="32">
        <v>72282.287421824833</v>
      </c>
      <c r="AJ45" s="32">
        <v>71952.261014390693</v>
      </c>
      <c r="AK45" s="32">
        <v>70719.289234868003</v>
      </c>
      <c r="AL45" s="32">
        <v>69240.534555790131</v>
      </c>
      <c r="AM45" s="32">
        <v>66863.885937818384</v>
      </c>
      <c r="AN45" s="32">
        <v>63727.182629159608</v>
      </c>
      <c r="AO45" s="32">
        <v>61091.945553689366</v>
      </c>
      <c r="AP45" s="32">
        <v>57970.533297897062</v>
      </c>
      <c r="AQ45" s="32">
        <v>55595.544592191123</v>
      </c>
      <c r="AR45" s="32">
        <v>52705.754426933876</v>
      </c>
      <c r="AS45" s="32">
        <v>50198.521696032505</v>
      </c>
      <c r="AT45" s="32">
        <v>47802.466077736441</v>
      </c>
      <c r="AU45" s="32">
        <v>45422.722644294823</v>
      </c>
      <c r="AV45" s="32">
        <v>43119.651931412693</v>
      </c>
      <c r="AW45" s="32">
        <v>40666.864909199132</v>
      </c>
      <c r="AX45" s="32">
        <v>37862.439409728264</v>
      </c>
      <c r="AY45" s="32">
        <v>34590.592516428856</v>
      </c>
      <c r="AZ45" s="32">
        <v>31991.476179763366</v>
      </c>
      <c r="BA45" s="32">
        <v>29514.48064998048</v>
      </c>
      <c r="BB45" s="32">
        <v>26273.494639100893</v>
      </c>
      <c r="BC45" s="32">
        <v>24151.036457959628</v>
      </c>
      <c r="BD45" s="32">
        <v>22435.699857791045</v>
      </c>
      <c r="BE45" s="32">
        <v>21302.613312305373</v>
      </c>
      <c r="BF45" s="32">
        <v>20484.733104147679</v>
      </c>
      <c r="BG45" s="32">
        <v>19999.932267710636</v>
      </c>
      <c r="BH45" s="32">
        <v>19091.519134407325</v>
      </c>
      <c r="BI45" s="32">
        <v>18320.234001636189</v>
      </c>
      <c r="BJ45" s="32">
        <v>17616.460795314601</v>
      </c>
      <c r="BK45" s="32">
        <v>17038.127294728263</v>
      </c>
      <c r="BL45" s="32">
        <v>16470.224761114085</v>
      </c>
    </row>
    <row r="46" spans="1:64" x14ac:dyDescent="0.35">
      <c r="C46" t="s">
        <v>45</v>
      </c>
      <c r="D46" s="32">
        <v>65193.574452865498</v>
      </c>
      <c r="E46" s="32">
        <v>66172.033585694371</v>
      </c>
      <c r="F46" s="32">
        <v>67328.753391003673</v>
      </c>
      <c r="G46" s="32">
        <v>67190.645097921311</v>
      </c>
      <c r="H46" s="32">
        <v>68439.902883698771</v>
      </c>
      <c r="I46" s="32">
        <v>69009.293408706842</v>
      </c>
      <c r="J46" s="32">
        <v>71187.995941571251</v>
      </c>
      <c r="K46" s="32">
        <v>74024.132610178218</v>
      </c>
      <c r="L46" s="32">
        <v>71818.469018823569</v>
      </c>
      <c r="M46" s="32">
        <v>73572.136459886009</v>
      </c>
      <c r="N46" s="32">
        <v>75511.033183754305</v>
      </c>
      <c r="O46" s="32">
        <v>78499.713931783539</v>
      </c>
      <c r="P46" s="32">
        <v>78590.856682050289</v>
      </c>
      <c r="Q46" s="32">
        <v>80780.142150707223</v>
      </c>
      <c r="R46" s="32">
        <v>80616.559829909631</v>
      </c>
      <c r="S46" s="32">
        <v>82660.45897385772</v>
      </c>
      <c r="T46" s="32">
        <v>82827.13301529811</v>
      </c>
      <c r="U46" s="32">
        <v>80722.101663457302</v>
      </c>
      <c r="V46" s="32">
        <v>80488.829520787534</v>
      </c>
      <c r="W46" s="32">
        <v>77829.264406195376</v>
      </c>
      <c r="X46" s="32">
        <v>78420.510079560423</v>
      </c>
      <c r="Y46" s="32">
        <v>78284.341213994965</v>
      </c>
      <c r="Z46" s="32">
        <v>80476.703709630456</v>
      </c>
      <c r="AA46" s="32">
        <v>79800.927144319023</v>
      </c>
      <c r="AB46" s="32">
        <v>80614.014398278785</v>
      </c>
      <c r="AC46" s="32">
        <v>80445.52352858588</v>
      </c>
      <c r="AD46" s="32">
        <v>78387.235634688463</v>
      </c>
      <c r="AE46" s="32">
        <v>79885.389357237189</v>
      </c>
      <c r="AF46" s="32">
        <v>80075.312860734484</v>
      </c>
      <c r="AG46" s="32">
        <v>81612.013330759262</v>
      </c>
      <c r="AH46" s="32">
        <v>78773.142427897808</v>
      </c>
      <c r="AI46" s="32">
        <v>79554.497558408359</v>
      </c>
      <c r="AJ46" s="32">
        <v>78267.163197845308</v>
      </c>
      <c r="AK46" s="32">
        <v>76850.822073144896</v>
      </c>
      <c r="AL46" s="32">
        <v>75291.669510154927</v>
      </c>
      <c r="AM46" s="32">
        <v>73637.073662629817</v>
      </c>
      <c r="AN46" s="32">
        <v>72664.527966175883</v>
      </c>
      <c r="AO46" s="32">
        <v>71579.672488484517</v>
      </c>
      <c r="AP46" s="32">
        <v>70405.670942072189</v>
      </c>
      <c r="AQ46" s="32">
        <v>69171.64930650653</v>
      </c>
      <c r="AR46" s="32">
        <v>66829.4616379043</v>
      </c>
      <c r="AS46" s="32">
        <v>65305.97639073446</v>
      </c>
      <c r="AT46" s="32">
        <v>63734.642060194055</v>
      </c>
      <c r="AU46" s="32">
        <v>62257.219155410734</v>
      </c>
      <c r="AV46" s="32">
        <v>60781.191895406148</v>
      </c>
      <c r="AW46" s="32">
        <v>59214.51509697202</v>
      </c>
      <c r="AX46" s="32">
        <v>57603.56436795582</v>
      </c>
      <c r="AY46" s="32">
        <v>56012.112287194737</v>
      </c>
      <c r="AZ46" s="32">
        <v>54569.929818281613</v>
      </c>
      <c r="BA46" s="32">
        <v>53245.58506044621</v>
      </c>
      <c r="BB46" s="32">
        <v>51103.620784437408</v>
      </c>
      <c r="BC46" s="32">
        <v>50024.883792990702</v>
      </c>
      <c r="BD46" s="32">
        <v>48893.98717643159</v>
      </c>
      <c r="BE46" s="32">
        <v>47837.578684548098</v>
      </c>
      <c r="BF46" s="32">
        <v>46804.421757425851</v>
      </c>
      <c r="BG46" s="32">
        <v>45837.738264967425</v>
      </c>
      <c r="BH46" s="32">
        <v>44993.906527885149</v>
      </c>
      <c r="BI46" s="32">
        <v>44229.213511744034</v>
      </c>
      <c r="BJ46" s="32">
        <v>43454.61772616607</v>
      </c>
      <c r="BK46" s="32">
        <v>42654.110569357297</v>
      </c>
      <c r="BL46" s="32">
        <v>41950.461859409079</v>
      </c>
    </row>
    <row r="48" spans="1:64" x14ac:dyDescent="0.35">
      <c r="B48" s="1" t="s">
        <v>206</v>
      </c>
    </row>
    <row r="49" spans="2:64" x14ac:dyDescent="0.35">
      <c r="B49" s="9" t="s">
        <v>207</v>
      </c>
      <c r="C49" t="s">
        <v>208</v>
      </c>
      <c r="D49" s="33">
        <v>7936.4519923625339</v>
      </c>
      <c r="E49" s="33">
        <v>7915.2400768344296</v>
      </c>
      <c r="F49" s="33">
        <v>8271.9670866086362</v>
      </c>
      <c r="G49" s="33">
        <v>8720.4036366341952</v>
      </c>
      <c r="H49" s="33">
        <v>9373.6607571457498</v>
      </c>
      <c r="I49" s="33">
        <v>10029.855538148871</v>
      </c>
      <c r="J49" s="33">
        <v>10161.48201972811</v>
      </c>
      <c r="K49" s="33">
        <v>10383.51008208942</v>
      </c>
      <c r="L49" s="33">
        <v>10587.775390176601</v>
      </c>
      <c r="M49" s="33">
        <v>10868.588364366557</v>
      </c>
      <c r="N49" s="33">
        <v>11410.883603204908</v>
      </c>
      <c r="O49" s="33">
        <v>11473.859569671025</v>
      </c>
      <c r="P49" s="33">
        <v>11925.65915449601</v>
      </c>
      <c r="Q49" s="33">
        <v>12453.654510825265</v>
      </c>
      <c r="R49" s="33">
        <v>12742.478818994343</v>
      </c>
      <c r="S49" s="33">
        <v>12817.902091308622</v>
      </c>
      <c r="T49" s="33">
        <v>12944.514454651089</v>
      </c>
      <c r="U49" s="33">
        <v>13053.077943993681</v>
      </c>
      <c r="V49" s="33">
        <v>13073.537726958531</v>
      </c>
      <c r="W49" s="33">
        <v>12886.83695541684</v>
      </c>
      <c r="X49" s="33">
        <v>13144.981504109392</v>
      </c>
      <c r="Y49" s="33">
        <v>13136.569401589086</v>
      </c>
      <c r="Z49" s="33">
        <v>12820.096319621582</v>
      </c>
      <c r="AA49" s="33">
        <v>12899.199072133002</v>
      </c>
      <c r="AB49" s="33">
        <v>13163.397966357803</v>
      </c>
      <c r="AC49" s="33">
        <v>13633.9503819733</v>
      </c>
      <c r="AD49" s="33">
        <v>13739.538672436074</v>
      </c>
      <c r="AE49" s="33">
        <v>14658.300228448785</v>
      </c>
      <c r="AF49" s="33">
        <v>14985.763453404979</v>
      </c>
      <c r="AG49" s="33">
        <v>14517.302553626343</v>
      </c>
      <c r="AH49" s="33">
        <v>13077.931253317818</v>
      </c>
      <c r="AI49" s="33">
        <v>14292.078348256287</v>
      </c>
      <c r="AJ49" s="33">
        <v>15035.097341482393</v>
      </c>
      <c r="AK49" s="33">
        <v>15166.382458575645</v>
      </c>
      <c r="AL49" s="33">
        <v>15048.675180469334</v>
      </c>
      <c r="AM49" s="33">
        <v>14895.936492517962</v>
      </c>
      <c r="AN49" s="33">
        <v>14647.580017865463</v>
      </c>
      <c r="AO49" s="33">
        <v>14349.406257504896</v>
      </c>
      <c r="AP49" s="33">
        <v>13927.469567958005</v>
      </c>
      <c r="AQ49" s="33">
        <v>13387.265910875478</v>
      </c>
      <c r="AR49" s="33">
        <v>12733.972575485703</v>
      </c>
      <c r="AS49" s="33">
        <v>11937.252100354133</v>
      </c>
      <c r="AT49" s="33">
        <v>11128.548384657612</v>
      </c>
      <c r="AU49" s="33">
        <v>10292.66671316228</v>
      </c>
      <c r="AV49" s="33">
        <v>9500.8778221486882</v>
      </c>
      <c r="AW49" s="33">
        <v>8669.2653861878189</v>
      </c>
      <c r="AX49" s="33">
        <v>7903.1173482642589</v>
      </c>
      <c r="AY49" s="33">
        <v>7127.2748478954936</v>
      </c>
      <c r="AZ49" s="33">
        <v>6442.6570289495094</v>
      </c>
      <c r="BA49" s="33">
        <v>5829.7187854106087</v>
      </c>
      <c r="BB49" s="33">
        <v>5205.9800076953097</v>
      </c>
      <c r="BC49" s="33">
        <v>4694.5610783353986</v>
      </c>
      <c r="BD49" s="33">
        <v>4191.3655878087684</v>
      </c>
      <c r="BE49" s="33">
        <v>3716.9238636942227</v>
      </c>
      <c r="BF49" s="33">
        <v>3263.4633944279044</v>
      </c>
      <c r="BG49" s="33">
        <v>2812.0653631085747</v>
      </c>
      <c r="BH49" s="33">
        <v>2486.5311868835952</v>
      </c>
      <c r="BI49" s="33">
        <v>2166.2955742203576</v>
      </c>
      <c r="BJ49" s="33">
        <v>1851.0176322355783</v>
      </c>
      <c r="BK49" s="33">
        <v>1619.5384767613118</v>
      </c>
      <c r="BL49" s="33">
        <v>1438.2524989141493</v>
      </c>
    </row>
    <row r="50" spans="2:64" x14ac:dyDescent="0.35">
      <c r="C50" t="s">
        <v>209</v>
      </c>
      <c r="D50" s="33">
        <v>3.1708663193209801</v>
      </c>
      <c r="E50" s="33">
        <v>3.0663103601685999</v>
      </c>
      <c r="F50" s="33">
        <v>3.0002577473681198</v>
      </c>
      <c r="G50" s="33">
        <v>2.9159336912653702</v>
      </c>
      <c r="H50" s="33">
        <v>2.8692408755091101</v>
      </c>
      <c r="I50" s="33">
        <v>2.8248952284873701</v>
      </c>
      <c r="J50" s="33">
        <v>2.6950225833844899</v>
      </c>
      <c r="K50" s="33">
        <v>2.6211561724973098</v>
      </c>
      <c r="L50" s="33">
        <v>2.5117652272979201</v>
      </c>
      <c r="M50" s="33">
        <v>2.40850249551728</v>
      </c>
      <c r="N50" s="33">
        <v>2.2833551456871102</v>
      </c>
      <c r="O50" s="33">
        <v>2.1766764218630499</v>
      </c>
      <c r="P50" s="33">
        <v>2.1202654466977999</v>
      </c>
      <c r="Q50" s="33">
        <v>2.0447488026715899</v>
      </c>
      <c r="R50" s="33">
        <v>1.9554843707465801</v>
      </c>
      <c r="S50" s="33">
        <v>1.8434861122090502</v>
      </c>
      <c r="T50" s="33">
        <v>1.7142325557895399</v>
      </c>
      <c r="U50" s="33">
        <v>1.6354205207540999</v>
      </c>
      <c r="V50" s="33">
        <v>1.51723097476102</v>
      </c>
      <c r="W50" s="33">
        <v>1.4441045339946199</v>
      </c>
      <c r="X50" s="33">
        <v>1.3738009454905302</v>
      </c>
      <c r="Y50" s="33">
        <v>1.2868833021543</v>
      </c>
      <c r="Z50" s="33">
        <v>1.2197899932079601</v>
      </c>
      <c r="AA50" s="33">
        <v>1.1906744712561601</v>
      </c>
      <c r="AB50" s="33">
        <v>1.1493045596067599</v>
      </c>
      <c r="AC50" s="33">
        <v>1.10843973361673</v>
      </c>
      <c r="AD50" s="33">
        <v>1.06954514378592</v>
      </c>
      <c r="AE50" s="33">
        <v>0.89513402722861002</v>
      </c>
      <c r="AF50" s="33">
        <v>0.83199233835184006</v>
      </c>
      <c r="AG50" s="33">
        <v>0.77385198552219014</v>
      </c>
      <c r="AH50" s="33">
        <v>0.61604912779851995</v>
      </c>
      <c r="AI50" s="33">
        <v>0.67310304460326209</v>
      </c>
      <c r="AJ50" s="33">
        <v>0.7083754929900502</v>
      </c>
      <c r="AK50" s="33">
        <v>0.71461241962213062</v>
      </c>
      <c r="AL50" s="33">
        <v>0.70894129966505948</v>
      </c>
      <c r="AM50" s="33">
        <v>0.70168226703989811</v>
      </c>
      <c r="AN50" s="33">
        <v>0.69238530970605328</v>
      </c>
      <c r="AO50" s="33">
        <v>0.68068247743425669</v>
      </c>
      <c r="AP50" s="33">
        <v>0.66308798629283583</v>
      </c>
      <c r="AQ50" s="33">
        <v>0.6398406660064524</v>
      </c>
      <c r="AR50" s="33">
        <v>0.6109719622454598</v>
      </c>
      <c r="AS50" s="33">
        <v>0.57543525966735931</v>
      </c>
      <c r="AT50" s="33">
        <v>0.53923173594284846</v>
      </c>
      <c r="AU50" s="33">
        <v>0.50168131464739052</v>
      </c>
      <c r="AV50" s="33">
        <v>0.46622793556746878</v>
      </c>
      <c r="AW50" s="33">
        <v>0.42883856948850285</v>
      </c>
      <c r="AX50" s="33">
        <v>0.39242848062671692</v>
      </c>
      <c r="AY50" s="33">
        <v>0.35549735688517536</v>
      </c>
      <c r="AZ50" s="33">
        <v>0.3229598646550732</v>
      </c>
      <c r="BA50" s="33">
        <v>0.29397758993697792</v>
      </c>
      <c r="BB50" s="33">
        <v>0.26415905267365714</v>
      </c>
      <c r="BC50" s="33">
        <v>0.23989910065825687</v>
      </c>
      <c r="BD50" s="33">
        <v>0.21598765868812556</v>
      </c>
      <c r="BE50" s="33">
        <v>0.19349440242026777</v>
      </c>
      <c r="BF50" s="33">
        <v>0.17201837133164621</v>
      </c>
      <c r="BG50" s="33">
        <v>0.15051956819771045</v>
      </c>
      <c r="BH50" s="33">
        <v>0.13508874660441125</v>
      </c>
      <c r="BI50" s="33">
        <v>0.11977211694652036</v>
      </c>
      <c r="BJ50" s="33">
        <v>0.10459255906054764</v>
      </c>
      <c r="BK50" s="33">
        <v>9.3469741296189443E-2</v>
      </c>
      <c r="BL50" s="33">
        <v>8.4792389722445322E-2</v>
      </c>
    </row>
    <row r="51" spans="2:64" x14ac:dyDescent="0.35">
      <c r="C51" t="s">
        <v>210</v>
      </c>
      <c r="D51" s="33">
        <v>0.37070775681814</v>
      </c>
      <c r="E51" s="33">
        <v>0.38511169810255003</v>
      </c>
      <c r="F51" s="33">
        <v>0.41282860505676999</v>
      </c>
      <c r="G51" s="33">
        <v>0.43418323345160997</v>
      </c>
      <c r="H51" s="33">
        <v>0.46445795072623997</v>
      </c>
      <c r="I51" s="33">
        <v>0.49357987222170002</v>
      </c>
      <c r="J51" s="33">
        <v>0.50290877395619005</v>
      </c>
      <c r="K51" s="33">
        <v>0.52447953763731003</v>
      </c>
      <c r="L51" s="33">
        <v>0.53653966407246001</v>
      </c>
      <c r="M51" s="33">
        <v>0.56310245628642996</v>
      </c>
      <c r="N51" s="33">
        <v>0.60517738739447002</v>
      </c>
      <c r="O51" s="33">
        <v>0.59595551295251004</v>
      </c>
      <c r="P51" s="33">
        <v>0.61528671337272001</v>
      </c>
      <c r="Q51" s="33">
        <v>0.64773261325125997</v>
      </c>
      <c r="R51" s="33">
        <v>0.67450078746852005</v>
      </c>
      <c r="S51" s="33">
        <v>0.66930073346659003</v>
      </c>
      <c r="T51" s="33">
        <v>0.6537860256818</v>
      </c>
      <c r="U51" s="33">
        <v>0.64041393485891995</v>
      </c>
      <c r="V51" s="33">
        <v>0.61238659399787998</v>
      </c>
      <c r="W51" s="33">
        <v>0.59780753492468997</v>
      </c>
      <c r="X51" s="33">
        <v>0.56916445547337002</v>
      </c>
      <c r="Y51" s="33">
        <v>0.54726891562986002</v>
      </c>
      <c r="Z51" s="33">
        <v>0.52314311787736001</v>
      </c>
      <c r="AA51" s="33">
        <v>0.51139002320280003</v>
      </c>
      <c r="AB51" s="33">
        <v>0.49502024402289996</v>
      </c>
      <c r="AC51" s="33">
        <v>0.48108702614701004</v>
      </c>
      <c r="AD51" s="33">
        <v>0.47061580060716002</v>
      </c>
      <c r="AE51" s="33">
        <v>0.41283355632496999</v>
      </c>
      <c r="AF51" s="33">
        <v>0.40121312123884001</v>
      </c>
      <c r="AG51" s="33">
        <v>0.39616049318230001</v>
      </c>
      <c r="AH51" s="33">
        <v>0.27628671333741001</v>
      </c>
      <c r="AI51" s="33">
        <v>0.28037780602780527</v>
      </c>
      <c r="AJ51" s="33">
        <v>0.27938498003230328</v>
      </c>
      <c r="AK51" s="33">
        <v>0.27613532796660989</v>
      </c>
      <c r="AL51" s="33">
        <v>0.26997914460321687</v>
      </c>
      <c r="AM51" s="33">
        <v>0.26359778829020486</v>
      </c>
      <c r="AN51" s="33">
        <v>0.26133817069980009</v>
      </c>
      <c r="AO51" s="33">
        <v>0.25835079510242903</v>
      </c>
      <c r="AP51" s="33">
        <v>0.25485646143093049</v>
      </c>
      <c r="AQ51" s="33">
        <v>0.25096798321345543</v>
      </c>
      <c r="AR51" s="33">
        <v>0.23146092081177283</v>
      </c>
      <c r="AS51" s="33">
        <v>0.2249297545356975</v>
      </c>
      <c r="AT51" s="33">
        <v>0.21791142228588736</v>
      </c>
      <c r="AU51" s="33">
        <v>0.21161499257957392</v>
      </c>
      <c r="AV51" s="33">
        <v>0.20532624976591346</v>
      </c>
      <c r="AW51" s="33">
        <v>0.19802441433765816</v>
      </c>
      <c r="AX51" s="33">
        <v>0.18971415107034223</v>
      </c>
      <c r="AY51" s="33">
        <v>0.18126278577152552</v>
      </c>
      <c r="AZ51" s="33">
        <v>0.17367963809661591</v>
      </c>
      <c r="BA51" s="33">
        <v>0.16687103838367662</v>
      </c>
      <c r="BB51" s="33">
        <v>0.14537445655498402</v>
      </c>
      <c r="BC51" s="33">
        <v>0.13944063147694052</v>
      </c>
      <c r="BD51" s="33">
        <v>0.1327159979220727</v>
      </c>
      <c r="BE51" s="33">
        <v>0.12661479816071983</v>
      </c>
      <c r="BF51" s="33">
        <v>0.12106358459059866</v>
      </c>
      <c r="BG51" s="33">
        <v>0.11551550293812562</v>
      </c>
      <c r="BH51" s="33">
        <v>0.1109211458888044</v>
      </c>
      <c r="BI51" s="33">
        <v>0.10680593132952355</v>
      </c>
      <c r="BJ51" s="33">
        <v>0.1026016898319346</v>
      </c>
      <c r="BK51" s="33">
        <v>9.8119851357233556E-2</v>
      </c>
      <c r="BL51" s="33">
        <v>9.4028083768160312E-2</v>
      </c>
    </row>
    <row r="52" spans="2:64" x14ac:dyDescent="0.35">
      <c r="B52" s="9" t="s">
        <v>189</v>
      </c>
      <c r="C52" t="s">
        <v>208</v>
      </c>
      <c r="D52" s="33">
        <v>14550.030981098405</v>
      </c>
      <c r="E52" s="33">
        <v>15076.659352919838</v>
      </c>
      <c r="F52" s="33">
        <v>16584.937570404265</v>
      </c>
      <c r="G52" s="33">
        <v>15589.82198645115</v>
      </c>
      <c r="H52" s="33">
        <v>15160.983373310251</v>
      </c>
      <c r="I52" s="33">
        <v>14439.353225445664</v>
      </c>
      <c r="J52" s="33">
        <v>15642.858394408015</v>
      </c>
      <c r="K52" s="33">
        <v>17453.650580070611</v>
      </c>
      <c r="L52" s="33">
        <v>15683.361737245015</v>
      </c>
      <c r="M52" s="33">
        <v>16750.700998567205</v>
      </c>
      <c r="N52" s="33">
        <v>16970.08454184356</v>
      </c>
      <c r="O52" s="33">
        <v>18876.142823578786</v>
      </c>
      <c r="P52" s="33">
        <v>18464.425597000558</v>
      </c>
      <c r="Q52" s="33">
        <v>19507.673279696097</v>
      </c>
      <c r="R52" s="33">
        <v>18828.439162033264</v>
      </c>
      <c r="S52" s="33">
        <v>20210.388636212108</v>
      </c>
      <c r="T52" s="33">
        <v>20153.024722444945</v>
      </c>
      <c r="U52" s="33">
        <v>18866.722346131399</v>
      </c>
      <c r="V52" s="33">
        <v>20221.039610528373</v>
      </c>
      <c r="W52" s="33">
        <v>17634.861462762692</v>
      </c>
      <c r="X52" s="33">
        <v>17273.632418391448</v>
      </c>
      <c r="Y52" s="33">
        <v>16706.090118246539</v>
      </c>
      <c r="Z52" s="33">
        <v>18703.932285745428</v>
      </c>
      <c r="AA52" s="33">
        <v>17950.838087133321</v>
      </c>
      <c r="AB52" s="33">
        <v>17774.78771430354</v>
      </c>
      <c r="AC52" s="33">
        <v>17516.328404938708</v>
      </c>
      <c r="AD52" s="33">
        <v>16098.215374762001</v>
      </c>
      <c r="AE52" s="33">
        <v>16751.328994174273</v>
      </c>
      <c r="AF52" s="33">
        <v>16522.351521439505</v>
      </c>
      <c r="AG52" s="33">
        <v>18404.234200695155</v>
      </c>
      <c r="AH52" s="33">
        <v>17470.408108272961</v>
      </c>
      <c r="AI52" s="33">
        <v>17599.858672860657</v>
      </c>
      <c r="AJ52" s="33">
        <v>16221.526580682345</v>
      </c>
      <c r="AK52" s="33">
        <v>15302.387099581018</v>
      </c>
      <c r="AL52" s="33">
        <v>14348.086856126336</v>
      </c>
      <c r="AM52" s="33">
        <v>13402.53066710414</v>
      </c>
      <c r="AN52" s="33">
        <v>13116.213654409965</v>
      </c>
      <c r="AO52" s="33">
        <v>12779.616747553398</v>
      </c>
      <c r="AP52" s="33">
        <v>12513.641412128554</v>
      </c>
      <c r="AQ52" s="33">
        <v>12280.961646690897</v>
      </c>
      <c r="AR52" s="33">
        <v>11294.783435491689</v>
      </c>
      <c r="AS52" s="33">
        <v>10959.707995867617</v>
      </c>
      <c r="AT52" s="33">
        <v>10596.56868357932</v>
      </c>
      <c r="AU52" s="33">
        <v>10336.791293038385</v>
      </c>
      <c r="AV52" s="33">
        <v>10033.759948494391</v>
      </c>
      <c r="AW52" s="33">
        <v>9641.1093570918474</v>
      </c>
      <c r="AX52" s="33">
        <v>9172.9147123364128</v>
      </c>
      <c r="AY52" s="33">
        <v>8700.3901012447132</v>
      </c>
      <c r="AZ52" s="33">
        <v>8261.2639513261493</v>
      </c>
      <c r="BA52" s="33">
        <v>7868.048118671637</v>
      </c>
      <c r="BB52" s="33">
        <v>6759.773909171603</v>
      </c>
      <c r="BC52" s="33">
        <v>6418.8532190539909</v>
      </c>
      <c r="BD52" s="33">
        <v>6002.7735664316351</v>
      </c>
      <c r="BE52" s="33">
        <v>5627.6206410236682</v>
      </c>
      <c r="BF52" s="33">
        <v>5251.7592021589353</v>
      </c>
      <c r="BG52" s="33">
        <v>4896.173120996059</v>
      </c>
      <c r="BH52" s="33">
        <v>4554.9625946142542</v>
      </c>
      <c r="BI52" s="33">
        <v>4296.263920466733</v>
      </c>
      <c r="BJ52" s="33">
        <v>4023.4181361517603</v>
      </c>
      <c r="BK52" s="33">
        <v>3636.6171474408038</v>
      </c>
      <c r="BL52" s="33">
        <v>3275.2616784979255</v>
      </c>
    </row>
    <row r="53" spans="2:64" x14ac:dyDescent="0.35">
      <c r="C53" t="s">
        <v>209</v>
      </c>
      <c r="D53" s="33">
        <v>43.689236384759724</v>
      </c>
      <c r="E53" s="33">
        <v>43.136028196882343</v>
      </c>
      <c r="F53" s="33">
        <v>42.370784734338343</v>
      </c>
      <c r="G53" s="33">
        <v>45.490729829929059</v>
      </c>
      <c r="H53" s="33">
        <v>48.642951699257466</v>
      </c>
      <c r="I53" s="33">
        <v>42.384378795374694</v>
      </c>
      <c r="J53" s="33">
        <v>52.975807448633716</v>
      </c>
      <c r="K53" s="33">
        <v>52.726042493037973</v>
      </c>
      <c r="L53" s="33">
        <v>52.213941142234461</v>
      </c>
      <c r="M53" s="33">
        <v>52.645758927624009</v>
      </c>
      <c r="N53" s="33">
        <v>51.169607018712021</v>
      </c>
      <c r="O53" s="33">
        <v>53.210947160023942</v>
      </c>
      <c r="P53" s="33">
        <v>49.223035859385497</v>
      </c>
      <c r="Q53" s="33">
        <v>42.629892983466895</v>
      </c>
      <c r="R53" s="33">
        <v>43.497866912277935</v>
      </c>
      <c r="S53" s="33">
        <v>48.84280066748827</v>
      </c>
      <c r="T53" s="33">
        <v>62.354420394438485</v>
      </c>
      <c r="U53" s="33">
        <v>53.764544482946079</v>
      </c>
      <c r="V53" s="33">
        <v>44.563290394249982</v>
      </c>
      <c r="W53" s="33">
        <v>48.938864799909169</v>
      </c>
      <c r="X53" s="33">
        <v>59.857136871476563</v>
      </c>
      <c r="Y53" s="33">
        <v>56.071906861362102</v>
      </c>
      <c r="Z53" s="33">
        <v>44.0716600682399</v>
      </c>
      <c r="AA53" s="33">
        <v>36.700152189000079</v>
      </c>
      <c r="AB53" s="33">
        <v>36.459637394592001</v>
      </c>
      <c r="AC53" s="33">
        <v>37.99776773365582</v>
      </c>
      <c r="AD53" s="33">
        <v>34.565581810417513</v>
      </c>
      <c r="AE53" s="33">
        <v>30.690946761958138</v>
      </c>
      <c r="AF53" s="33">
        <v>29.694716701258521</v>
      </c>
      <c r="AG53" s="33">
        <v>28.676851670989468</v>
      </c>
      <c r="AH53" s="33">
        <v>27.039251325087321</v>
      </c>
      <c r="AI53" s="33">
        <v>28.243453391594272</v>
      </c>
      <c r="AJ53" s="33">
        <v>28.500519732083681</v>
      </c>
      <c r="AK53" s="33">
        <v>28.757610786136848</v>
      </c>
      <c r="AL53" s="33">
        <v>28.654604231242534</v>
      </c>
      <c r="AM53" s="33">
        <v>28.153107442982154</v>
      </c>
      <c r="AN53" s="33">
        <v>27.910251453160477</v>
      </c>
      <c r="AO53" s="33">
        <v>27.602706734599042</v>
      </c>
      <c r="AP53" s="33">
        <v>27.300684196985046</v>
      </c>
      <c r="AQ53" s="33">
        <v>26.995703611557406</v>
      </c>
      <c r="AR53" s="33">
        <v>25.623076270892671</v>
      </c>
      <c r="AS53" s="33">
        <v>25.214816706886442</v>
      </c>
      <c r="AT53" s="33">
        <v>24.793699326950108</v>
      </c>
      <c r="AU53" s="33">
        <v>24.433520092351738</v>
      </c>
      <c r="AV53" s="33">
        <v>24.071379964160915</v>
      </c>
      <c r="AW53" s="33">
        <v>23.690921980107127</v>
      </c>
      <c r="AX53" s="33">
        <v>23.218128982964341</v>
      </c>
      <c r="AY53" s="33">
        <v>22.739336758845255</v>
      </c>
      <c r="AZ53" s="33">
        <v>22.267146784826103</v>
      </c>
      <c r="BA53" s="33">
        <v>21.810982628350366</v>
      </c>
      <c r="BB53" s="33">
        <v>20.298823623069584</v>
      </c>
      <c r="BC53" s="33">
        <v>19.85480990715191</v>
      </c>
      <c r="BD53" s="33">
        <v>19.326289781709551</v>
      </c>
      <c r="BE53" s="33">
        <v>18.772337867151062</v>
      </c>
      <c r="BF53" s="33">
        <v>18.127416249145391</v>
      </c>
      <c r="BG53" s="33">
        <v>17.590540407591817</v>
      </c>
      <c r="BH53" s="33">
        <v>17.069708838886406</v>
      </c>
      <c r="BI53" s="33">
        <v>16.656834530811611</v>
      </c>
      <c r="BJ53" s="33">
        <v>16.224882368021216</v>
      </c>
      <c r="BK53" s="33">
        <v>15.643184232277449</v>
      </c>
      <c r="BL53" s="33">
        <v>15.14514543006826</v>
      </c>
    </row>
    <row r="54" spans="2:64" x14ac:dyDescent="0.35">
      <c r="C54" t="s">
        <v>210</v>
      </c>
      <c r="D54" s="33">
        <v>0.36642694370815998</v>
      </c>
      <c r="E54" s="33">
        <v>0.35470999108293</v>
      </c>
      <c r="F54" s="33">
        <v>0.38249243707663999</v>
      </c>
      <c r="G54" s="33">
        <v>0.37799456028020001</v>
      </c>
      <c r="H54" s="33">
        <v>0.40402826094213001</v>
      </c>
      <c r="I54" s="33">
        <v>0.39974166861652</v>
      </c>
      <c r="J54" s="33">
        <v>0.38859485839440999</v>
      </c>
      <c r="K54" s="33">
        <v>0.39160898713207004</v>
      </c>
      <c r="L54" s="33">
        <v>0.37717118654362003</v>
      </c>
      <c r="M54" s="33">
        <v>0.40035628617881996</v>
      </c>
      <c r="N54" s="33">
        <v>0.40515628985136004</v>
      </c>
      <c r="O54" s="33">
        <v>0.42329355924693995</v>
      </c>
      <c r="P54" s="33">
        <v>0.44147694963213002</v>
      </c>
      <c r="Q54" s="33">
        <v>0.47634806725715001</v>
      </c>
      <c r="R54" s="33">
        <v>0.49417169503745995</v>
      </c>
      <c r="S54" s="33">
        <v>0.51581617253897005</v>
      </c>
      <c r="T54" s="33">
        <v>0.51246272049793995</v>
      </c>
      <c r="U54" s="33">
        <v>0.48057736977717996</v>
      </c>
      <c r="V54" s="33">
        <v>0.48861908921137004</v>
      </c>
      <c r="W54" s="33">
        <v>0.44175060694691992</v>
      </c>
      <c r="X54" s="33">
        <v>0.42689056518231999</v>
      </c>
      <c r="Y54" s="33">
        <v>0.43730630324666991</v>
      </c>
      <c r="Z54" s="33">
        <v>0.46749098191557997</v>
      </c>
      <c r="AA54" s="33">
        <v>0.46461822120052004</v>
      </c>
      <c r="AB54" s="33">
        <v>0.44449383834728001</v>
      </c>
      <c r="AC54" s="33">
        <v>0.44726800503922004</v>
      </c>
      <c r="AD54" s="33">
        <v>0.44177232613505996</v>
      </c>
      <c r="AE54" s="33">
        <v>0.43614607141988998</v>
      </c>
      <c r="AF54" s="33">
        <v>0.44547034500414007</v>
      </c>
      <c r="AG54" s="33">
        <v>0.48243768484458999</v>
      </c>
      <c r="AH54" s="33">
        <v>0.46415889239030006</v>
      </c>
      <c r="AI54" s="33">
        <v>0.47103188685645403</v>
      </c>
      <c r="AJ54" s="33">
        <v>0.46936394919545726</v>
      </c>
      <c r="AK54" s="33">
        <v>0.46390456649389372</v>
      </c>
      <c r="AL54" s="33">
        <v>0.45356224052103938</v>
      </c>
      <c r="AM54" s="33">
        <v>0.44284162626342105</v>
      </c>
      <c r="AN54" s="33">
        <v>0.43904549149704508</v>
      </c>
      <c r="AO54" s="33">
        <v>0.43402673061752289</v>
      </c>
      <c r="AP54" s="33">
        <v>0.42815628528552402</v>
      </c>
      <c r="AQ54" s="33">
        <v>0.42162368109075471</v>
      </c>
      <c r="AR54" s="33">
        <v>0.3888520129610028</v>
      </c>
      <c r="AS54" s="33">
        <v>0.37787971947609006</v>
      </c>
      <c r="AT54" s="33">
        <v>0.36608899206778117</v>
      </c>
      <c r="AU54" s="33">
        <v>0.3555110536530347</v>
      </c>
      <c r="AV54" s="33">
        <v>0.34494602914043232</v>
      </c>
      <c r="AW54" s="33">
        <v>0.33267901925112137</v>
      </c>
      <c r="AX54" s="33">
        <v>0.31871786076096076</v>
      </c>
      <c r="AY54" s="33">
        <v>0.30451965228072175</v>
      </c>
      <c r="AZ54" s="33">
        <v>0.29178004065372454</v>
      </c>
      <c r="BA54" s="33">
        <v>0.28034166179246017</v>
      </c>
      <c r="BB54" s="33">
        <v>0.24422762108722307</v>
      </c>
      <c r="BC54" s="33">
        <v>0.2342588547915421</v>
      </c>
      <c r="BD54" s="33">
        <v>0.22296153822914092</v>
      </c>
      <c r="BE54" s="33">
        <v>0.21271158415327091</v>
      </c>
      <c r="BF54" s="33">
        <v>0.20338560133272621</v>
      </c>
      <c r="BG54" s="33">
        <v>0.19406488010224876</v>
      </c>
      <c r="BH54" s="33">
        <v>0.18634640658790999</v>
      </c>
      <c r="BI54" s="33">
        <v>0.17943288762526791</v>
      </c>
      <c r="BJ54" s="33">
        <v>0.17236980430399698</v>
      </c>
      <c r="BK54" s="33">
        <v>0.16484036086040671</v>
      </c>
      <c r="BL54" s="33">
        <v>0.15796623257127915</v>
      </c>
    </row>
    <row r="55" spans="2:64" x14ac:dyDescent="0.35">
      <c r="B55" s="9" t="s">
        <v>211</v>
      </c>
      <c r="C55" t="s">
        <v>208</v>
      </c>
      <c r="D55" s="33">
        <v>2519.9565575373808</v>
      </c>
      <c r="E55" s="33">
        <v>2659.4860926475949</v>
      </c>
      <c r="F55" s="33">
        <v>2757.6030127995591</v>
      </c>
      <c r="G55" s="33">
        <v>2847.573039225395</v>
      </c>
      <c r="H55" s="33">
        <v>2725.6161551550372</v>
      </c>
      <c r="I55" s="33">
        <v>2813.8337178611105</v>
      </c>
      <c r="J55" s="33">
        <v>2826.0859206680966</v>
      </c>
      <c r="K55" s="33">
        <v>2732.1930435050358</v>
      </c>
      <c r="L55" s="33">
        <v>2792.1921973718781</v>
      </c>
      <c r="M55" s="33">
        <v>2944.2874457034563</v>
      </c>
      <c r="N55" s="33">
        <v>2922.4829407837447</v>
      </c>
      <c r="O55" s="33">
        <v>2986.8974577091049</v>
      </c>
      <c r="P55" s="33">
        <v>2984.8085614413958</v>
      </c>
      <c r="Q55" s="33">
        <v>3152.9626677903907</v>
      </c>
      <c r="R55" s="33">
        <v>3131.4872800634166</v>
      </c>
      <c r="S55" s="33">
        <v>3208.6354189567705</v>
      </c>
      <c r="T55" s="33">
        <v>3180.8810962824796</v>
      </c>
      <c r="U55" s="33">
        <v>3376.8667499328376</v>
      </c>
      <c r="V55" s="33">
        <v>3158.9914137622636</v>
      </c>
      <c r="W55" s="33">
        <v>3022.3787157649267</v>
      </c>
      <c r="X55" s="33">
        <v>3319.0049733416399</v>
      </c>
      <c r="Y55" s="33">
        <v>3294.4141985105807</v>
      </c>
      <c r="Z55" s="33">
        <v>3254.9237020985429</v>
      </c>
      <c r="AA55" s="33">
        <v>3319.3619782430392</v>
      </c>
      <c r="AB55" s="33">
        <v>3396.5353679654536</v>
      </c>
      <c r="AC55" s="33">
        <v>3509.692940089657</v>
      </c>
      <c r="AD55" s="33">
        <v>3213.6045926507077</v>
      </c>
      <c r="AE55" s="33">
        <v>3213.8824154864624</v>
      </c>
      <c r="AF55" s="33">
        <v>3085.4485327591519</v>
      </c>
      <c r="AG55" s="33">
        <v>3085.5223067679485</v>
      </c>
      <c r="AH55" s="33">
        <v>2863.6712337629397</v>
      </c>
      <c r="AI55" s="33">
        <v>3067.8368620937472</v>
      </c>
      <c r="AJ55" s="33">
        <v>2967.7371824271186</v>
      </c>
      <c r="AK55" s="33">
        <v>2936.2053523736913</v>
      </c>
      <c r="AL55" s="33">
        <v>2937.2946227475331</v>
      </c>
      <c r="AM55" s="33">
        <v>2938.524599225671</v>
      </c>
      <c r="AN55" s="33">
        <v>2939.7432714829411</v>
      </c>
      <c r="AO55" s="33">
        <v>2941.0374074563942</v>
      </c>
      <c r="AP55" s="33">
        <v>2942.2902098291006</v>
      </c>
      <c r="AQ55" s="33">
        <v>2943.5443329045265</v>
      </c>
      <c r="AR55" s="33">
        <v>2944.7487002360685</v>
      </c>
      <c r="AS55" s="33">
        <v>2945.9588804829336</v>
      </c>
      <c r="AT55" s="33">
        <v>2947.1465169308231</v>
      </c>
      <c r="AU55" s="33">
        <v>2948.3561197790359</v>
      </c>
      <c r="AV55" s="33">
        <v>2949.5909719164847</v>
      </c>
      <c r="AW55" s="33">
        <v>2950.9332505729662</v>
      </c>
      <c r="AX55" s="33">
        <v>2952.4419825981754</v>
      </c>
      <c r="AY55" s="33">
        <v>2953.976180150793</v>
      </c>
      <c r="AZ55" s="33">
        <v>2955.4715193236134</v>
      </c>
      <c r="BA55" s="33">
        <v>2956.8836297711832</v>
      </c>
      <c r="BB55" s="33">
        <v>2958.2776553446133</v>
      </c>
      <c r="BC55" s="33">
        <v>2959.5830225180621</v>
      </c>
      <c r="BD55" s="33">
        <v>2960.9429996231802</v>
      </c>
      <c r="BE55" s="33">
        <v>2962.4785041329178</v>
      </c>
      <c r="BF55" s="33">
        <v>2963.8227068400161</v>
      </c>
      <c r="BG55" s="33">
        <v>2965.2273557206508</v>
      </c>
      <c r="BH55" s="33">
        <v>2966.6287815106152</v>
      </c>
      <c r="BI55" s="33">
        <v>2967.5783170713862</v>
      </c>
      <c r="BJ55" s="33">
        <v>2968.4988923973715</v>
      </c>
      <c r="BK55" s="33">
        <v>2969.3899912369925</v>
      </c>
      <c r="BL55" s="33">
        <v>2970.2504557889929</v>
      </c>
    </row>
    <row r="56" spans="2:64" x14ac:dyDescent="0.35">
      <c r="C56" t="s">
        <v>209</v>
      </c>
      <c r="D56" s="33">
        <v>1.1040000000000001</v>
      </c>
      <c r="E56" s="33">
        <v>1.8859999999999999</v>
      </c>
      <c r="F56" s="33">
        <v>1.5985</v>
      </c>
      <c r="G56" s="33">
        <v>1.794</v>
      </c>
      <c r="H56" s="33">
        <v>2.2494000000000001</v>
      </c>
      <c r="I56" s="33">
        <v>3.1649932000000001</v>
      </c>
      <c r="J56" s="33">
        <v>4.2472927</v>
      </c>
      <c r="K56" s="33">
        <v>4.3812746000000002</v>
      </c>
      <c r="L56" s="33">
        <v>4.1248360999999996</v>
      </c>
      <c r="M56" s="33">
        <v>4.7440306000000003</v>
      </c>
      <c r="N56" s="33">
        <v>5.5445272000000001</v>
      </c>
      <c r="O56" s="33">
        <v>4.9043567000000001</v>
      </c>
      <c r="P56" s="33">
        <v>5.2471694000000006</v>
      </c>
      <c r="Q56" s="33">
        <v>2.2257490999999998</v>
      </c>
      <c r="R56" s="33">
        <v>2.5019607000000001</v>
      </c>
      <c r="S56" s="33">
        <v>0.78939449999999989</v>
      </c>
      <c r="T56" s="33">
        <v>0.92968300000000004</v>
      </c>
      <c r="U56" s="33">
        <v>0.9997663</v>
      </c>
      <c r="V56" s="33">
        <v>1.3117314</v>
      </c>
      <c r="W56" s="33">
        <v>1.8914280000000003</v>
      </c>
      <c r="X56" s="33">
        <v>1.9061802000000001</v>
      </c>
      <c r="Y56" s="33">
        <v>1.9159529</v>
      </c>
      <c r="Z56" s="33">
        <v>2.5473925999999998</v>
      </c>
      <c r="AA56" s="33">
        <v>3.2659701000000001</v>
      </c>
      <c r="AB56" s="33">
        <v>5.0592594000000002</v>
      </c>
      <c r="AC56" s="33">
        <v>4.2680433000000004</v>
      </c>
      <c r="AD56" s="33">
        <v>5.01110799875506</v>
      </c>
      <c r="AE56" s="33">
        <v>4.4807196999999999</v>
      </c>
      <c r="AF56" s="33">
        <v>3.6906674000000006</v>
      </c>
      <c r="AG56" s="33">
        <v>4.2892700000000001</v>
      </c>
      <c r="AH56" s="33">
        <v>3.8459956000000002</v>
      </c>
      <c r="AI56" s="33">
        <v>3.1382012340873802</v>
      </c>
      <c r="AJ56" s="33">
        <v>3.294464632839424</v>
      </c>
      <c r="AK56" s="33">
        <v>3.4678575082520253</v>
      </c>
      <c r="AL56" s="33">
        <v>3.4678575082520253</v>
      </c>
      <c r="AM56" s="33">
        <v>3.4678575082520253</v>
      </c>
      <c r="AN56" s="33">
        <v>3.4678575082520253</v>
      </c>
      <c r="AO56" s="33">
        <v>3.4678575082520253</v>
      </c>
      <c r="AP56" s="33">
        <v>3.4678575082520253</v>
      </c>
      <c r="AQ56" s="33">
        <v>3.4678575082520253</v>
      </c>
      <c r="AR56" s="33">
        <v>1.7339287541260127</v>
      </c>
      <c r="AS56" s="33">
        <v>1.7339287541260127</v>
      </c>
      <c r="AT56" s="33">
        <v>1.7339287541260127</v>
      </c>
      <c r="AU56" s="33">
        <v>1.7339287541260127</v>
      </c>
      <c r="AV56" s="33">
        <v>1.7339287541260127</v>
      </c>
      <c r="AW56" s="33">
        <v>1.7339287541260127</v>
      </c>
      <c r="AX56" s="33">
        <v>1.7339287541260127</v>
      </c>
      <c r="AY56" s="33">
        <v>1.7339287541260127</v>
      </c>
      <c r="AZ56" s="33">
        <v>1.7339287541260127</v>
      </c>
      <c r="BA56" s="33">
        <v>1.7339287541260127</v>
      </c>
      <c r="BB56" s="33">
        <v>0</v>
      </c>
      <c r="BC56" s="33">
        <v>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</row>
    <row r="57" spans="2:64" x14ac:dyDescent="0.35">
      <c r="C57" t="s">
        <v>210</v>
      </c>
      <c r="D57" s="33">
        <v>0.34377660773997987</v>
      </c>
      <c r="E57" s="33">
        <v>0.32658777735298</v>
      </c>
      <c r="F57" s="33">
        <v>0.31025838848532999</v>
      </c>
      <c r="G57" s="33">
        <v>0.29474546906105997</v>
      </c>
      <c r="H57" s="33">
        <v>0.28000819560800999</v>
      </c>
      <c r="I57" s="33">
        <v>0.26600778582760998</v>
      </c>
      <c r="J57" s="33">
        <v>0.25270739653622998</v>
      </c>
      <c r="K57" s="33">
        <v>0.24007202670941999</v>
      </c>
      <c r="L57" s="33">
        <v>0.22806842537395</v>
      </c>
      <c r="M57" s="33">
        <v>0.21666500410525003</v>
      </c>
      <c r="N57" s="33">
        <v>0.20583175389999001</v>
      </c>
      <c r="O57" s="33">
        <v>0.19554016620499001</v>
      </c>
      <c r="P57" s="33">
        <v>0.18576315789473999</v>
      </c>
      <c r="Q57" s="33">
        <v>0.17499999999999999</v>
      </c>
      <c r="R57" s="33">
        <v>0.16250000000000001</v>
      </c>
      <c r="S57" s="33">
        <v>0.14949999999999999</v>
      </c>
      <c r="T57" s="33">
        <v>0.13650000000000001</v>
      </c>
      <c r="U57" s="33">
        <v>0.14785000000000001</v>
      </c>
      <c r="V57" s="33">
        <v>0.1767</v>
      </c>
      <c r="W57" s="33">
        <v>0.17805000000000001</v>
      </c>
      <c r="X57" s="33">
        <v>0.17924999999999999</v>
      </c>
      <c r="Y57" s="33">
        <v>0.1789</v>
      </c>
      <c r="Z57" s="33">
        <v>0.18140000000000001</v>
      </c>
      <c r="AA57" s="33">
        <v>0.19520000000000001</v>
      </c>
      <c r="AB57" s="33">
        <v>0.19520000000000001</v>
      </c>
      <c r="AC57" s="33">
        <v>0.2011</v>
      </c>
      <c r="AD57" s="33">
        <v>0.19739999999999999</v>
      </c>
      <c r="AE57" s="33">
        <v>0.20655000000000001</v>
      </c>
      <c r="AF57" s="33">
        <v>0.27334999999999998</v>
      </c>
      <c r="AG57" s="33">
        <v>0.27655000000000002</v>
      </c>
      <c r="AH57" s="33">
        <v>0.24790000000000001</v>
      </c>
      <c r="AI57" s="33">
        <v>0.28576046721849663</v>
      </c>
      <c r="AJ57" s="33">
        <v>0.29019186074526043</v>
      </c>
      <c r="AK57" s="33">
        <v>0.2988920843732179</v>
      </c>
      <c r="AL57" s="33">
        <v>0.30532265145717064</v>
      </c>
      <c r="AM57" s="33">
        <v>0.31258388470494086</v>
      </c>
      <c r="AN57" s="33">
        <v>0.319778382868041</v>
      </c>
      <c r="AO57" s="33">
        <v>0.32741838519703004</v>
      </c>
      <c r="AP57" s="33">
        <v>0.3348143723587963</v>
      </c>
      <c r="AQ57" s="33">
        <v>0.34221815636112363</v>
      </c>
      <c r="AR57" s="33">
        <v>0.34932820461469521</v>
      </c>
      <c r="AS57" s="33">
        <v>0.35647256973104569</v>
      </c>
      <c r="AT57" s="33">
        <v>0.36348384630011765</v>
      </c>
      <c r="AU57" s="33">
        <v>0.37062480271200415</v>
      </c>
      <c r="AV57" s="33">
        <v>0.3779148196805423</v>
      </c>
      <c r="AW57" s="33">
        <v>0.38583903496551231</v>
      </c>
      <c r="AX57" s="33">
        <v>0.39474591679467164</v>
      </c>
      <c r="AY57" s="33">
        <v>0.40380313575432247</v>
      </c>
      <c r="AZ57" s="33">
        <v>0.41263095214867712</v>
      </c>
      <c r="BA57" s="33">
        <v>0.4209674232224464</v>
      </c>
      <c r="BB57" s="33">
        <v>0.4291971292549972</v>
      </c>
      <c r="BC57" s="33">
        <v>0.43690343558594796</v>
      </c>
      <c r="BD57" s="33">
        <v>0.44493213462809356</v>
      </c>
      <c r="BE57" s="33">
        <v>0.45399706928040795</v>
      </c>
      <c r="BF57" s="33">
        <v>0.46193264330317413</v>
      </c>
      <c r="BG57" s="33">
        <v>0.47022506460943503</v>
      </c>
      <c r="BH57" s="33">
        <v>0.47849845822406306</v>
      </c>
      <c r="BI57" s="33">
        <v>0.4841040932149408</v>
      </c>
      <c r="BJ57" s="33">
        <v>0.48953875987966028</v>
      </c>
      <c r="BK57" s="33">
        <v>0.4947994104988504</v>
      </c>
      <c r="BL57" s="33">
        <v>0.49987920992962404</v>
      </c>
    </row>
    <row r="58" spans="2:64" x14ac:dyDescent="0.35">
      <c r="B58" s="9" t="s">
        <v>22</v>
      </c>
      <c r="C58" t="s">
        <v>208</v>
      </c>
      <c r="D58" s="33">
        <v>335.67906394986551</v>
      </c>
      <c r="E58" s="33">
        <v>371.90615144539862</v>
      </c>
      <c r="F58" s="33">
        <v>394.76661751230108</v>
      </c>
      <c r="G58" s="33">
        <v>442.64120143539054</v>
      </c>
      <c r="H58" s="33">
        <v>500.41393488597515</v>
      </c>
      <c r="I58" s="33">
        <v>582.37680129054763</v>
      </c>
      <c r="J58" s="33">
        <v>541.38352744044118</v>
      </c>
      <c r="K58" s="33">
        <v>568.00528006658749</v>
      </c>
      <c r="L58" s="33">
        <v>644.77509589686201</v>
      </c>
      <c r="M58" s="33">
        <v>743.18277005521338</v>
      </c>
      <c r="N58" s="33">
        <v>790.77977686270037</v>
      </c>
      <c r="O58" s="33">
        <v>901.74608397623422</v>
      </c>
      <c r="P58" s="33">
        <v>1033.9005688849297</v>
      </c>
      <c r="Q58" s="33">
        <v>1001.7259659101927</v>
      </c>
      <c r="R58" s="33">
        <v>1006.9082663458823</v>
      </c>
      <c r="S58" s="33">
        <v>1064.1014054721436</v>
      </c>
      <c r="T58" s="33">
        <v>929.82371529257409</v>
      </c>
      <c r="U58" s="33">
        <v>995.82021578551576</v>
      </c>
      <c r="V58" s="33">
        <v>942.63769463709173</v>
      </c>
      <c r="W58" s="33">
        <v>965.77074526788181</v>
      </c>
      <c r="X58" s="33">
        <v>961.19529071648606</v>
      </c>
      <c r="Y58" s="33">
        <v>1019.7067219571727</v>
      </c>
      <c r="Z58" s="33">
        <v>1056.7803060078841</v>
      </c>
      <c r="AA58" s="33">
        <v>965.93459048107616</v>
      </c>
      <c r="AB58" s="33">
        <v>998.76015646956523</v>
      </c>
      <c r="AC58" s="33">
        <v>1050.2374492579709</v>
      </c>
      <c r="AD58" s="33">
        <v>998.14629608115945</v>
      </c>
      <c r="AE58" s="33">
        <v>967.08786414964322</v>
      </c>
      <c r="AF58" s="33">
        <v>1016.1405826729523</v>
      </c>
      <c r="AG58" s="33">
        <v>1020.5033795478262</v>
      </c>
      <c r="AH58" s="33">
        <v>951.50682644057974</v>
      </c>
      <c r="AI58" s="33">
        <v>1024.7056539762423</v>
      </c>
      <c r="AJ58" s="33">
        <v>1021.8346734704432</v>
      </c>
      <c r="AK58" s="33">
        <v>1018.9886085397159</v>
      </c>
      <c r="AL58" s="33">
        <v>1016.3033533157014</v>
      </c>
      <c r="AM58" s="33">
        <v>1013.777497315897</v>
      </c>
      <c r="AN58" s="33">
        <v>1008.8433424784419</v>
      </c>
      <c r="AO58" s="33">
        <v>1004.3923660569934</v>
      </c>
      <c r="AP58" s="33">
        <v>993.35560602887392</v>
      </c>
      <c r="AQ58" s="33">
        <v>980.54828365557341</v>
      </c>
      <c r="AR58" s="33">
        <v>967.8742907662579</v>
      </c>
      <c r="AS58" s="33">
        <v>959.11743332617448</v>
      </c>
      <c r="AT58" s="33">
        <v>949.98530232886458</v>
      </c>
      <c r="AU58" s="33">
        <v>941.1949498578324</v>
      </c>
      <c r="AV58" s="33">
        <v>932.12727346047734</v>
      </c>
      <c r="AW58" s="33">
        <v>923.12492421425782</v>
      </c>
      <c r="AX58" s="33">
        <v>916.17670182010033</v>
      </c>
      <c r="AY58" s="33">
        <v>909.56881449145044</v>
      </c>
      <c r="AZ58" s="33">
        <v>903.28482240294682</v>
      </c>
      <c r="BA58" s="33">
        <v>896.83998919697251</v>
      </c>
      <c r="BB58" s="33">
        <v>890.31313959009935</v>
      </c>
      <c r="BC58" s="33">
        <v>888.57052052336098</v>
      </c>
      <c r="BD58" s="33">
        <v>886.97512647849499</v>
      </c>
      <c r="BE58" s="33">
        <v>885.2797067115165</v>
      </c>
      <c r="BF58" s="33">
        <v>883.55442671106323</v>
      </c>
      <c r="BG58" s="33">
        <v>882.56450598156607</v>
      </c>
      <c r="BH58" s="33">
        <v>881.05796564486275</v>
      </c>
      <c r="BI58" s="33">
        <v>879.11820615729914</v>
      </c>
      <c r="BJ58" s="33">
        <v>877.05284524703654</v>
      </c>
      <c r="BK58" s="33">
        <v>875.03083039325747</v>
      </c>
      <c r="BL58" s="33">
        <v>873.17939810784969</v>
      </c>
    </row>
    <row r="59" spans="2:64" x14ac:dyDescent="0.35">
      <c r="C59" t="s">
        <v>209</v>
      </c>
      <c r="D59" s="33">
        <v>1124.0323944711226</v>
      </c>
      <c r="E59" s="33">
        <v>1128.9729801915744</v>
      </c>
      <c r="F59" s="33">
        <v>1109.409858197685</v>
      </c>
      <c r="G59" s="33">
        <v>1114.153030123332</v>
      </c>
      <c r="H59" s="33">
        <v>1150.2557948244678</v>
      </c>
      <c r="I59" s="33">
        <v>1161.7941454379124</v>
      </c>
      <c r="J59" s="33">
        <v>1172.3073513050249</v>
      </c>
      <c r="K59" s="33">
        <v>1202.2978184512447</v>
      </c>
      <c r="L59" s="33">
        <v>1177.6460056346693</v>
      </c>
      <c r="M59" s="33">
        <v>1180.2957302601314</v>
      </c>
      <c r="N59" s="33">
        <v>1212.7593290552397</v>
      </c>
      <c r="O59" s="33">
        <v>1226.9104389816055</v>
      </c>
      <c r="P59" s="33">
        <v>1218.0231584301353</v>
      </c>
      <c r="Q59" s="33">
        <v>1234.3820870006064</v>
      </c>
      <c r="R59" s="33">
        <v>1235.0267222505195</v>
      </c>
      <c r="S59" s="33">
        <v>1244.0513706633783</v>
      </c>
      <c r="T59" s="33">
        <v>1251.4714353181407</v>
      </c>
      <c r="U59" s="33">
        <v>1219.2192171961103</v>
      </c>
      <c r="V59" s="33">
        <v>1174.4171331029038</v>
      </c>
      <c r="W59" s="33">
        <v>1180.8735542598756</v>
      </c>
      <c r="X59" s="33">
        <v>1182.080527686546</v>
      </c>
      <c r="Y59" s="33">
        <v>1198.506947382406</v>
      </c>
      <c r="Z59" s="33">
        <v>1226.5024960821286</v>
      </c>
      <c r="AA59" s="33">
        <v>1233.1197375786612</v>
      </c>
      <c r="AB59" s="33">
        <v>1245.505022944317</v>
      </c>
      <c r="AC59" s="33">
        <v>1226.5112558874318</v>
      </c>
      <c r="AD59" s="33">
        <v>1212.5347332470756</v>
      </c>
      <c r="AE59" s="33">
        <v>1213.6780109474446</v>
      </c>
      <c r="AF59" s="33">
        <v>1219.3143475064498</v>
      </c>
      <c r="AG59" s="33">
        <v>1224.2961396757501</v>
      </c>
      <c r="AH59" s="33">
        <v>1218.8801349496384</v>
      </c>
      <c r="AI59" s="33">
        <v>1193.0224827631187</v>
      </c>
      <c r="AJ59" s="33">
        <v>1174.1702901847543</v>
      </c>
      <c r="AK59" s="33">
        <v>1158.7639363981461</v>
      </c>
      <c r="AL59" s="33">
        <v>1144.4209672896709</v>
      </c>
      <c r="AM59" s="33">
        <v>1130.281103362609</v>
      </c>
      <c r="AN59" s="33">
        <v>1119.5019764036131</v>
      </c>
      <c r="AO59" s="33">
        <v>1109.4234178181177</v>
      </c>
      <c r="AP59" s="33">
        <v>1098.8522705709681</v>
      </c>
      <c r="AQ59" s="33">
        <v>1088.6766076526255</v>
      </c>
      <c r="AR59" s="33">
        <v>1078.7360187501538</v>
      </c>
      <c r="AS59" s="33">
        <v>1071.4684601355959</v>
      </c>
      <c r="AT59" s="33">
        <v>1063.775052735391</v>
      </c>
      <c r="AU59" s="33">
        <v>1056.7732671918823</v>
      </c>
      <c r="AV59" s="33">
        <v>1049.5289826153294</v>
      </c>
      <c r="AW59" s="33">
        <v>1042.4681051760558</v>
      </c>
      <c r="AX59" s="33">
        <v>1035.0491859760302</v>
      </c>
      <c r="AY59" s="33">
        <v>1028.1492271582631</v>
      </c>
      <c r="AZ59" s="33">
        <v>1021.9114589212228</v>
      </c>
      <c r="BA59" s="33">
        <v>1015.58170054919</v>
      </c>
      <c r="BB59" s="33">
        <v>1009.2455492769991</v>
      </c>
      <c r="BC59" s="33">
        <v>1004.8089092869473</v>
      </c>
      <c r="BD59" s="33">
        <v>1000.8151674660492</v>
      </c>
      <c r="BE59" s="33">
        <v>996.8001719075578</v>
      </c>
      <c r="BF59" s="33">
        <v>992.84445837064675</v>
      </c>
      <c r="BG59" s="33">
        <v>990.08514146974665</v>
      </c>
      <c r="BH59" s="33">
        <v>986.65949466044094</v>
      </c>
      <c r="BI59" s="33">
        <v>982.81210489884791</v>
      </c>
      <c r="BJ59" s="33">
        <v>978.87607173373431</v>
      </c>
      <c r="BK59" s="33">
        <v>975.13453081203352</v>
      </c>
      <c r="BL59" s="33">
        <v>971.86915971980648</v>
      </c>
    </row>
    <row r="60" spans="2:64" x14ac:dyDescent="0.35">
      <c r="C60" t="s">
        <v>210</v>
      </c>
      <c r="D60" s="33">
        <v>17.974479419170716</v>
      </c>
      <c r="E60" s="33">
        <v>18.208982689224438</v>
      </c>
      <c r="F60" s="33">
        <v>18.258265182885783</v>
      </c>
      <c r="G60" s="33">
        <v>18.993017117232782</v>
      </c>
      <c r="H60" s="33">
        <v>19.71996272306308</v>
      </c>
      <c r="I60" s="33">
        <v>20.494854622353913</v>
      </c>
      <c r="J60" s="33">
        <v>20.76909288124423</v>
      </c>
      <c r="K60" s="33">
        <v>21.032243016282543</v>
      </c>
      <c r="L60" s="33">
        <v>20.810908693045217</v>
      </c>
      <c r="M60" s="33">
        <v>20.864485546248325</v>
      </c>
      <c r="N60" s="33">
        <v>21.829240565334064</v>
      </c>
      <c r="O60" s="33">
        <v>23.055799754277373</v>
      </c>
      <c r="P60" s="33">
        <v>23.383971235989868</v>
      </c>
      <c r="Q60" s="33">
        <v>24.208552445737563</v>
      </c>
      <c r="R60" s="33">
        <v>24.619102817491001</v>
      </c>
      <c r="S60" s="33">
        <v>24.854074558973934</v>
      </c>
      <c r="T60" s="33">
        <v>24.197274326286305</v>
      </c>
      <c r="U60" s="33">
        <v>23.596625543540551</v>
      </c>
      <c r="V60" s="33">
        <v>23.587870087569605</v>
      </c>
      <c r="W60" s="33">
        <v>23.652177586381878</v>
      </c>
      <c r="X60" s="33">
        <v>24.155324683747807</v>
      </c>
      <c r="Y60" s="33">
        <v>24.76472865945918</v>
      </c>
      <c r="Z60" s="33">
        <v>25.114163804575355</v>
      </c>
      <c r="AA60" s="33">
        <v>25.210852858314524</v>
      </c>
      <c r="AB60" s="33">
        <v>26.12881233395608</v>
      </c>
      <c r="AC60" s="33">
        <v>25.848222092673527</v>
      </c>
      <c r="AD60" s="33">
        <v>25.944448293512139</v>
      </c>
      <c r="AE60" s="33">
        <v>26.08507570846265</v>
      </c>
      <c r="AF60" s="33">
        <v>26.4070049778426</v>
      </c>
      <c r="AG60" s="33">
        <v>26.478973656709112</v>
      </c>
      <c r="AH60" s="33">
        <v>26.852461895770688</v>
      </c>
      <c r="AI60" s="33">
        <v>26.073159596345093</v>
      </c>
      <c r="AJ60" s="33">
        <v>25.782804724591106</v>
      </c>
      <c r="AK60" s="33">
        <v>25.533787671996411</v>
      </c>
      <c r="AL60" s="33">
        <v>25.301384100341384</v>
      </c>
      <c r="AM60" s="33">
        <v>25.070215241066858</v>
      </c>
      <c r="AN60" s="33">
        <v>24.872767239079241</v>
      </c>
      <c r="AO60" s="33">
        <v>24.692332368064367</v>
      </c>
      <c r="AP60" s="33">
        <v>24.436636507503398</v>
      </c>
      <c r="AQ60" s="33">
        <v>24.171560330924272</v>
      </c>
      <c r="AR60" s="33">
        <v>23.911068364947099</v>
      </c>
      <c r="AS60" s="33">
        <v>23.649050291371172</v>
      </c>
      <c r="AT60" s="33">
        <v>23.376461429969293</v>
      </c>
      <c r="AU60" s="33">
        <v>23.118562537692942</v>
      </c>
      <c r="AV60" s="33">
        <v>22.854374966591063</v>
      </c>
      <c r="AW60" s="33">
        <v>22.594274037394971</v>
      </c>
      <c r="AX60" s="33">
        <v>22.352428602147512</v>
      </c>
      <c r="AY60" s="33">
        <v>22.122409936431382</v>
      </c>
      <c r="AZ60" s="33">
        <v>21.905583650304845</v>
      </c>
      <c r="BA60" s="33">
        <v>21.685085369916134</v>
      </c>
      <c r="BB60" s="33">
        <v>21.463947090736351</v>
      </c>
      <c r="BC60" s="33">
        <v>21.316802977537478</v>
      </c>
      <c r="BD60" s="33">
        <v>21.179054189628424</v>
      </c>
      <c r="BE60" s="33">
        <v>21.040050625205552</v>
      </c>
      <c r="BF60" s="33">
        <v>20.90302431069842</v>
      </c>
      <c r="BG60" s="33">
        <v>20.790833616490186</v>
      </c>
      <c r="BH60" s="33">
        <v>20.661314403330678</v>
      </c>
      <c r="BI60" s="33">
        <v>20.521567653040911</v>
      </c>
      <c r="BJ60" s="33">
        <v>20.380625502261669</v>
      </c>
      <c r="BK60" s="33">
        <v>20.24474472837996</v>
      </c>
      <c r="BL60" s="33">
        <v>20.119703399366362</v>
      </c>
    </row>
    <row r="61" spans="2:64" x14ac:dyDescent="0.35">
      <c r="B61" s="9" t="s">
        <v>23</v>
      </c>
      <c r="C61" t="s">
        <v>208</v>
      </c>
      <c r="D61" s="33">
        <v>158.91153335176486</v>
      </c>
      <c r="E61" s="33">
        <v>157.84269804433487</v>
      </c>
      <c r="F61" s="33">
        <v>156.15086181862185</v>
      </c>
      <c r="G61" s="33">
        <v>158.91997621842884</v>
      </c>
      <c r="H61" s="33">
        <v>137.63316223492487</v>
      </c>
      <c r="I61" s="33">
        <v>136.25791438122386</v>
      </c>
      <c r="J61" s="33">
        <v>131.03051961481086</v>
      </c>
      <c r="K61" s="33">
        <v>139.86940948429088</v>
      </c>
      <c r="L61" s="33">
        <v>148.51381935377188</v>
      </c>
      <c r="M61" s="33">
        <v>156.71778922325288</v>
      </c>
      <c r="N61" s="33">
        <v>149.72520220531686</v>
      </c>
      <c r="O61" s="33">
        <v>138.52126518738186</v>
      </c>
      <c r="P61" s="33">
        <v>131.59817616944687</v>
      </c>
      <c r="Q61" s="33">
        <v>123.41705949555485</v>
      </c>
      <c r="R61" s="33">
        <v>124.25222665061285</v>
      </c>
      <c r="S61" s="33">
        <v>119.46081042446386</v>
      </c>
      <c r="T61" s="33">
        <v>118.53337957942854</v>
      </c>
      <c r="U61" s="33">
        <v>114.87540625707396</v>
      </c>
      <c r="V61" s="33">
        <v>109.90963351185434</v>
      </c>
      <c r="W61" s="33">
        <v>107.65432130150933</v>
      </c>
      <c r="X61" s="33">
        <v>108.66302434272133</v>
      </c>
      <c r="Y61" s="33">
        <v>105.30612135168033</v>
      </c>
      <c r="Z61" s="33">
        <v>105.56505373488633</v>
      </c>
      <c r="AA61" s="33">
        <v>102.90891644192334</v>
      </c>
      <c r="AB61" s="33">
        <v>102.98225190491632</v>
      </c>
      <c r="AC61" s="33">
        <v>100.33785234521093</v>
      </c>
      <c r="AD61" s="33">
        <v>100.77986838161853</v>
      </c>
      <c r="AE61" s="33">
        <v>95.215403330625037</v>
      </c>
      <c r="AF61" s="33">
        <v>92.420990082961737</v>
      </c>
      <c r="AG61" s="33">
        <v>90.261880340591432</v>
      </c>
      <c r="AH61" s="33">
        <v>89.80009559783403</v>
      </c>
      <c r="AI61" s="33">
        <v>97.967181342533991</v>
      </c>
      <c r="AJ61" s="33">
        <v>95.579839569891632</v>
      </c>
      <c r="AK61" s="33">
        <v>93.245011314492274</v>
      </c>
      <c r="AL61" s="33">
        <v>90.959085391225997</v>
      </c>
      <c r="AM61" s="33">
        <v>88.718888022198001</v>
      </c>
      <c r="AN61" s="33">
        <v>86.521613174252707</v>
      </c>
      <c r="AO61" s="33">
        <v>84.364766360559898</v>
      </c>
      <c r="AP61" s="33">
        <v>82.246118885789286</v>
      </c>
      <c r="AQ61" s="33">
        <v>80.163670278451733</v>
      </c>
      <c r="AR61" s="33">
        <v>78.115617204506052</v>
      </c>
      <c r="AS61" s="33">
        <v>76.559406343312844</v>
      </c>
      <c r="AT61" s="33">
        <v>75.023535059304891</v>
      </c>
      <c r="AU61" s="33">
        <v>73.506902986750802</v>
      </c>
      <c r="AV61" s="33">
        <v>72.008506406573019</v>
      </c>
      <c r="AW61" s="33">
        <v>70.527426993145852</v>
      </c>
      <c r="AX61" s="33">
        <v>69.062822167526264</v>
      </c>
      <c r="AY61" s="33">
        <v>67.613916788304493</v>
      </c>
      <c r="AZ61" s="33">
        <v>66.179995962457255</v>
      </c>
      <c r="BA61" s="33">
        <v>64.760398798910828</v>
      </c>
      <c r="BB61" s="33">
        <v>63.354512959517315</v>
      </c>
      <c r="BC61" s="33">
        <v>62.060253654017025</v>
      </c>
      <c r="BD61" s="33">
        <v>60.780721816654641</v>
      </c>
      <c r="BE61" s="33">
        <v>59.515421918156399</v>
      </c>
      <c r="BF61" s="33">
        <v>58.263890831245355</v>
      </c>
      <c r="BG61" s="33">
        <v>57.025694958441498</v>
      </c>
      <c r="BH61" s="33">
        <v>55.800427675627546</v>
      </c>
      <c r="BI61" s="33">
        <v>54.587707050336199</v>
      </c>
      <c r="BJ61" s="33">
        <v>53.387173799831956</v>
      </c>
      <c r="BK61" s="33">
        <v>52.198489459153549</v>
      </c>
      <c r="BL61" s="33">
        <v>51.021334733542531</v>
      </c>
    </row>
    <row r="62" spans="2:64" x14ac:dyDescent="0.35">
      <c r="C62" t="s">
        <v>209</v>
      </c>
      <c r="D62" s="33">
        <v>146.83240038291498</v>
      </c>
      <c r="E62" s="33">
        <v>151.18774900965423</v>
      </c>
      <c r="F62" s="33">
        <v>155.30193074796165</v>
      </c>
      <c r="G62" s="33">
        <v>159.24702420150098</v>
      </c>
      <c r="H62" s="33">
        <v>155.57070050467266</v>
      </c>
      <c r="I62" s="33">
        <v>159.25152753281748</v>
      </c>
      <c r="J62" s="33">
        <v>162.95329485884318</v>
      </c>
      <c r="K62" s="33">
        <v>164.94866388248357</v>
      </c>
      <c r="L62" s="33">
        <v>164.37947477693319</v>
      </c>
      <c r="M62" s="33">
        <v>164.9487519389516</v>
      </c>
      <c r="N62" s="33">
        <v>166.22884836943823</v>
      </c>
      <c r="O62" s="33">
        <v>167.54257899359308</v>
      </c>
      <c r="P62" s="33">
        <v>168.50053054165949</v>
      </c>
      <c r="Q62" s="33">
        <v>165.06515594229609</v>
      </c>
      <c r="R62" s="33">
        <v>165.54501449290157</v>
      </c>
      <c r="S62" s="33">
        <v>165.31303279235962</v>
      </c>
      <c r="T62" s="33">
        <v>157.46010681098588</v>
      </c>
      <c r="U62" s="33">
        <v>156.08143928607927</v>
      </c>
      <c r="V62" s="33">
        <v>152.89949553304521</v>
      </c>
      <c r="W62" s="33">
        <v>147.66532001687833</v>
      </c>
      <c r="X62" s="33">
        <v>145.28393742183624</v>
      </c>
      <c r="Y62" s="33">
        <v>139.4552952544955</v>
      </c>
      <c r="Z62" s="33">
        <v>135.11062754515868</v>
      </c>
      <c r="AA62" s="33">
        <v>133.13241065264089</v>
      </c>
      <c r="AB62" s="33">
        <v>131.20971696888637</v>
      </c>
      <c r="AC62" s="33">
        <v>129.61670565159892</v>
      </c>
      <c r="AD62" s="33">
        <v>128.29942101540766</v>
      </c>
      <c r="AE62" s="33">
        <v>126.83037329321982</v>
      </c>
      <c r="AF62" s="33">
        <v>124.24261898370941</v>
      </c>
      <c r="AG62" s="33">
        <v>122.32184695064457</v>
      </c>
      <c r="AH62" s="33">
        <v>120.47725170171125</v>
      </c>
      <c r="AI62" s="33">
        <v>119.78258119360257</v>
      </c>
      <c r="AJ62" s="33">
        <v>118.52481016985786</v>
      </c>
      <c r="AK62" s="33">
        <v>115.0499707122613</v>
      </c>
      <c r="AL62" s="33">
        <v>111.56101397117246</v>
      </c>
      <c r="AM62" s="33">
        <v>108.03939952143178</v>
      </c>
      <c r="AN62" s="33">
        <v>104.46173411581528</v>
      </c>
      <c r="AO62" s="33">
        <v>100.87294965804263</v>
      </c>
      <c r="AP62" s="33">
        <v>97.289580853141857</v>
      </c>
      <c r="AQ62" s="33">
        <v>93.725397418553712</v>
      </c>
      <c r="AR62" s="33">
        <v>90.181933354921554</v>
      </c>
      <c r="AS62" s="33">
        <v>87.240438990454209</v>
      </c>
      <c r="AT62" s="33">
        <v>84.491900245005951</v>
      </c>
      <c r="AU62" s="33">
        <v>81.864119797301299</v>
      </c>
      <c r="AV62" s="33">
        <v>79.315784260820323</v>
      </c>
      <c r="AW62" s="33">
        <v>76.832789039947386</v>
      </c>
      <c r="AX62" s="33">
        <v>74.40069447840996</v>
      </c>
      <c r="AY62" s="33">
        <v>72.015481085790086</v>
      </c>
      <c r="AZ62" s="33">
        <v>69.675973980256174</v>
      </c>
      <c r="BA62" s="33">
        <v>67.375526746811261</v>
      </c>
      <c r="BB62" s="33">
        <v>65.118140902328136</v>
      </c>
      <c r="BC62" s="33">
        <v>63.276260686322118</v>
      </c>
      <c r="BD62" s="33">
        <v>61.470242334215712</v>
      </c>
      <c r="BE62" s="33">
        <v>59.699935659961305</v>
      </c>
      <c r="BF62" s="33">
        <v>57.962192657969702</v>
      </c>
      <c r="BG62" s="33">
        <v>56.260799905746246</v>
      </c>
      <c r="BH62" s="33">
        <v>54.590570717499034</v>
      </c>
      <c r="BI62" s="33">
        <v>52.949261452312925</v>
      </c>
      <c r="BJ62" s="33">
        <v>51.341283118104073</v>
      </c>
      <c r="BK62" s="33">
        <v>49.763845064562545</v>
      </c>
      <c r="BL62" s="33">
        <v>48.22505886183874</v>
      </c>
    </row>
    <row r="63" spans="2:64" x14ac:dyDescent="0.35">
      <c r="C63" t="s">
        <v>210</v>
      </c>
      <c r="D63" s="33">
        <v>0.38051443233678001</v>
      </c>
      <c r="E63" s="33">
        <v>0.38910666251156001</v>
      </c>
      <c r="F63" s="33">
        <v>0.39194349447019999</v>
      </c>
      <c r="G63" s="33">
        <v>0.39690611932356001</v>
      </c>
      <c r="H63" s="33">
        <v>0.38786150416613002</v>
      </c>
      <c r="I63" s="33">
        <v>0.39250936859375002</v>
      </c>
      <c r="J63" s="33">
        <v>0.39445525432688999</v>
      </c>
      <c r="K63" s="33">
        <v>0.40367657713198002</v>
      </c>
      <c r="L63" s="33">
        <v>0.41716092208700001</v>
      </c>
      <c r="M63" s="33">
        <v>0.42889339550025002</v>
      </c>
      <c r="N63" s="33">
        <v>0.43327831812097001</v>
      </c>
      <c r="O63" s="33">
        <v>0.43819658682992996</v>
      </c>
      <c r="P63" s="33">
        <v>0.41880379836026999</v>
      </c>
      <c r="Q63" s="33">
        <v>0.41934405023013999</v>
      </c>
      <c r="R63" s="33">
        <v>0.42315384330873002</v>
      </c>
      <c r="S63" s="33">
        <v>0.42285667032323998</v>
      </c>
      <c r="T63" s="33">
        <v>0.42525321736535998</v>
      </c>
      <c r="U63" s="33">
        <v>0.42634339362064999</v>
      </c>
      <c r="V63" s="33">
        <v>0.42634630393167999</v>
      </c>
      <c r="W63" s="33">
        <v>0.43075928763952998</v>
      </c>
      <c r="X63" s="33">
        <v>0.43929219073337</v>
      </c>
      <c r="Y63" s="33">
        <v>0.44618767611742</v>
      </c>
      <c r="Z63" s="33">
        <v>0.45401259371993002</v>
      </c>
      <c r="AA63" s="33">
        <v>0.46456826074410001</v>
      </c>
      <c r="AB63" s="33">
        <v>0.47869731474375005</v>
      </c>
      <c r="AC63" s="33">
        <v>0.49352953447419995</v>
      </c>
      <c r="AD63" s="33">
        <v>0.51145427377847996</v>
      </c>
      <c r="AE63" s="33">
        <v>0.52451953326306</v>
      </c>
      <c r="AF63" s="33">
        <v>0.53648152524124004</v>
      </c>
      <c r="AG63" s="33">
        <v>0.55165020438433998</v>
      </c>
      <c r="AH63" s="33">
        <v>0.56086822690097005</v>
      </c>
      <c r="AI63" s="33">
        <v>0.56723336997164475</v>
      </c>
      <c r="AJ63" s="33">
        <v>0.57676798115422212</v>
      </c>
      <c r="AK63" s="33">
        <v>0.58632433905745218</v>
      </c>
      <c r="AL63" s="33">
        <v>0.59566956901614243</v>
      </c>
      <c r="AM63" s="33">
        <v>0.60496864752063928</v>
      </c>
      <c r="AN63" s="33">
        <v>0.61404752253280215</v>
      </c>
      <c r="AO63" s="33">
        <v>0.62300354030050364</v>
      </c>
      <c r="AP63" s="33">
        <v>0.63179535613608406</v>
      </c>
      <c r="AQ63" s="33">
        <v>0.64036327214182909</v>
      </c>
      <c r="AR63" s="33">
        <v>0.64870917121466465</v>
      </c>
      <c r="AS63" s="33">
        <v>0.65348167865003381</v>
      </c>
      <c r="AT63" s="33">
        <v>0.65807275208532889</v>
      </c>
      <c r="AU63" s="33">
        <v>0.66243883785380331</v>
      </c>
      <c r="AV63" s="33">
        <v>0.6665730054248088</v>
      </c>
      <c r="AW63" s="33">
        <v>0.67050079260254714</v>
      </c>
      <c r="AX63" s="33">
        <v>0.67433982106560786</v>
      </c>
      <c r="AY63" s="33">
        <v>0.67811321807729641</v>
      </c>
      <c r="AZ63" s="33">
        <v>0.68183410531130784</v>
      </c>
      <c r="BA63" s="33">
        <v>0.68549997697253806</v>
      </c>
      <c r="BB63" s="33">
        <v>0.6891153417291328</v>
      </c>
      <c r="BC63" s="33">
        <v>0.6923714040822132</v>
      </c>
      <c r="BD63" s="33">
        <v>0.69557709847718685</v>
      </c>
      <c r="BE63" s="33">
        <v>0.6987410220050676</v>
      </c>
      <c r="BF63" s="33">
        <v>0.70185146128303488</v>
      </c>
      <c r="BG63" s="33">
        <v>0.70491717354722061</v>
      </c>
      <c r="BH63" s="33">
        <v>0.70792915556860514</v>
      </c>
      <c r="BI63" s="33">
        <v>0.71087421857431221</v>
      </c>
      <c r="BJ63" s="33">
        <v>0.71379190956722427</v>
      </c>
      <c r="BK63" s="33">
        <v>0.71664781855164905</v>
      </c>
      <c r="BL63" s="33">
        <v>0.71947815238018409</v>
      </c>
    </row>
    <row r="64" spans="2:64" x14ac:dyDescent="0.35">
      <c r="B64" s="9" t="s">
        <v>212</v>
      </c>
      <c r="C64" t="s">
        <v>213</v>
      </c>
      <c r="D64" s="33">
        <v>929.92214799999999</v>
      </c>
      <c r="E64" s="33">
        <v>924.65187199999991</v>
      </c>
      <c r="F64" s="33">
        <v>484.07010000000002</v>
      </c>
      <c r="G64" s="33">
        <v>233.207055</v>
      </c>
      <c r="H64" s="33">
        <v>217.51035028647948</v>
      </c>
      <c r="I64" s="33">
        <v>202.20309806580977</v>
      </c>
      <c r="J64" s="33">
        <v>357.9741063061561</v>
      </c>
      <c r="K64" s="33">
        <v>340.09044180247832</v>
      </c>
      <c r="L64" s="33">
        <v>273.73523719662614</v>
      </c>
      <c r="M64" s="33">
        <v>285.48593529563186</v>
      </c>
      <c r="N64" s="33">
        <v>320.78752337609922</v>
      </c>
      <c r="O64" s="33">
        <v>390.70367253936473</v>
      </c>
      <c r="P64" s="33">
        <v>509.11067924658619</v>
      </c>
      <c r="Q64" s="33">
        <v>655.77862267381875</v>
      </c>
      <c r="R64" s="33">
        <v>710.53597295586712</v>
      </c>
      <c r="S64" s="33">
        <v>788.72714877751685</v>
      </c>
      <c r="T64" s="33">
        <v>926.37636069395774</v>
      </c>
      <c r="U64" s="33">
        <v>985.26985465396876</v>
      </c>
      <c r="V64" s="33">
        <v>1077.998628001684</v>
      </c>
      <c r="W64" s="33">
        <v>1151.8680006789793</v>
      </c>
      <c r="X64" s="33">
        <v>1171.0565657742036</v>
      </c>
      <c r="Y64" s="33">
        <v>1231.7613266024246</v>
      </c>
      <c r="Z64" s="33">
        <v>1330.5241567734602</v>
      </c>
      <c r="AA64" s="33">
        <v>1377.1653247860399</v>
      </c>
      <c r="AB64" s="33">
        <v>1425.7947377335977</v>
      </c>
      <c r="AC64" s="33">
        <v>1461.0016081399463</v>
      </c>
      <c r="AD64" s="33">
        <v>1485.3652731690643</v>
      </c>
      <c r="AE64" s="33">
        <v>1540.9876222988848</v>
      </c>
      <c r="AF64" s="33">
        <v>1565.9002562713001</v>
      </c>
      <c r="AG64" s="33">
        <v>1585.879935050873</v>
      </c>
      <c r="AH64" s="33">
        <v>1584.6584758367771</v>
      </c>
      <c r="AI64" s="33">
        <v>1602.6414875307321</v>
      </c>
      <c r="AJ64" s="33">
        <v>1630.669053175923</v>
      </c>
      <c r="AK64" s="33">
        <v>1571.368738163377</v>
      </c>
      <c r="AL64" s="33">
        <v>1606.0923282349156</v>
      </c>
      <c r="AM64" s="33">
        <v>1576.6330239079521</v>
      </c>
      <c r="AN64" s="33">
        <v>1565.6918586114273</v>
      </c>
      <c r="AO64" s="33">
        <v>1521.7953064951453</v>
      </c>
      <c r="AP64" s="33">
        <v>1483.6258225018876</v>
      </c>
      <c r="AQ64" s="33">
        <v>1465.163730404749</v>
      </c>
      <c r="AR64" s="33">
        <v>1280.0520263959086</v>
      </c>
      <c r="AS64" s="33">
        <v>1243.5330020903618</v>
      </c>
      <c r="AT64" s="33">
        <v>1209.3828217756345</v>
      </c>
      <c r="AU64" s="33">
        <v>1165.8520849303061</v>
      </c>
      <c r="AV64" s="33">
        <v>1129.0775336898162</v>
      </c>
      <c r="AW64" s="33">
        <v>1124.657608950419</v>
      </c>
      <c r="AX64" s="33">
        <v>1088.867621117362</v>
      </c>
      <c r="AY64" s="33">
        <v>1068.7992477383025</v>
      </c>
      <c r="AZ64" s="33">
        <v>1050.5642935082608</v>
      </c>
      <c r="BA64" s="33">
        <v>1034.2791217409351</v>
      </c>
      <c r="BB64" s="33">
        <v>1007.1399697694216</v>
      </c>
      <c r="BC64" s="33">
        <v>996.46508794359397</v>
      </c>
      <c r="BD64" s="33">
        <v>988.23518750858875</v>
      </c>
      <c r="BE64" s="33">
        <v>984.54175169645782</v>
      </c>
      <c r="BF64" s="33">
        <v>983.31123006937787</v>
      </c>
      <c r="BG64" s="33">
        <v>984.39143158928277</v>
      </c>
      <c r="BH64" s="33">
        <v>988.34114572960277</v>
      </c>
      <c r="BI64" s="33">
        <v>995.09059623702979</v>
      </c>
      <c r="BJ64" s="33">
        <v>1003.6118574398358</v>
      </c>
      <c r="BK64" s="33">
        <v>1013.1525412564018</v>
      </c>
      <c r="BL64" s="33">
        <v>1025.2581700820701</v>
      </c>
    </row>
    <row r="65" spans="2:64" x14ac:dyDescent="0.35">
      <c r="B65" s="9" t="s">
        <v>214</v>
      </c>
      <c r="C65" t="s">
        <v>208</v>
      </c>
      <c r="D65" s="33">
        <v>25501.03012829995</v>
      </c>
      <c r="E65" s="33">
        <v>26181.134371891596</v>
      </c>
      <c r="F65" s="33">
        <v>28165.425149143382</v>
      </c>
      <c r="G65" s="33">
        <v>27759.35983996456</v>
      </c>
      <c r="H65" s="33">
        <v>27898.307382731935</v>
      </c>
      <c r="I65" s="33">
        <v>28001.677197127421</v>
      </c>
      <c r="J65" s="33">
        <v>29302.840381859474</v>
      </c>
      <c r="K65" s="33">
        <v>31277.228395215941</v>
      </c>
      <c r="L65" s="33">
        <v>29856.618240044125</v>
      </c>
      <c r="M65" s="33">
        <v>31463.477367915686</v>
      </c>
      <c r="N65" s="33">
        <v>32243.956064900231</v>
      </c>
      <c r="O65" s="33">
        <v>34377.167200122531</v>
      </c>
      <c r="P65" s="33">
        <v>34540.392057992343</v>
      </c>
      <c r="Q65" s="33">
        <v>36239.433483717497</v>
      </c>
      <c r="R65" s="33">
        <v>35833.565754087518</v>
      </c>
      <c r="S65" s="33">
        <v>37420.488362374112</v>
      </c>
      <c r="T65" s="33">
        <v>37326.777368250514</v>
      </c>
      <c r="U65" s="33">
        <v>36407.362662100502</v>
      </c>
      <c r="V65" s="33">
        <v>37506.116079398111</v>
      </c>
      <c r="W65" s="33">
        <v>34617.502200513853</v>
      </c>
      <c r="X65" s="33">
        <v>34807.477210901685</v>
      </c>
      <c r="Y65" s="33">
        <v>34262.086561655058</v>
      </c>
      <c r="Z65" s="33">
        <v>35941.297667208317</v>
      </c>
      <c r="AA65" s="33">
        <v>35238.242644432357</v>
      </c>
      <c r="AB65" s="33">
        <v>35436.463457001279</v>
      </c>
      <c r="AC65" s="33">
        <v>35810.547028604844</v>
      </c>
      <c r="AD65" s="33">
        <v>34150.284804311566</v>
      </c>
      <c r="AE65" s="33">
        <v>35685.814905589788</v>
      </c>
      <c r="AF65" s="33">
        <v>35702.125080359547</v>
      </c>
      <c r="AG65" s="33">
        <v>37117.824320977859</v>
      </c>
      <c r="AH65" s="33">
        <v>34453.317517392126</v>
      </c>
      <c r="AI65" s="33">
        <v>36082.446718529471</v>
      </c>
      <c r="AJ65" s="33">
        <v>35341.7756176322</v>
      </c>
      <c r="AK65" s="33">
        <v>34517.208530384567</v>
      </c>
      <c r="AL65" s="33">
        <v>33441.319098050124</v>
      </c>
      <c r="AM65" s="33">
        <v>32339.488144185867</v>
      </c>
      <c r="AN65" s="33">
        <v>31798.901899411063</v>
      </c>
      <c r="AO65" s="33">
        <v>31158.817544932241</v>
      </c>
      <c r="AP65" s="33">
        <v>30459.002914830326</v>
      </c>
      <c r="AQ65" s="33">
        <v>29672.483844404927</v>
      </c>
      <c r="AR65" s="33">
        <v>28019.494619184221</v>
      </c>
      <c r="AS65" s="33">
        <v>26878.595816374171</v>
      </c>
      <c r="AT65" s="33">
        <v>25697.272422555925</v>
      </c>
      <c r="AU65" s="33">
        <v>24592.515978824285</v>
      </c>
      <c r="AV65" s="33">
        <v>23488.364522426615</v>
      </c>
      <c r="AW65" s="33">
        <v>22254.960345060037</v>
      </c>
      <c r="AX65" s="33">
        <v>21013.713567186471</v>
      </c>
      <c r="AY65" s="33">
        <v>19758.823860570752</v>
      </c>
      <c r="AZ65" s="33">
        <v>18628.857317964677</v>
      </c>
      <c r="BA65" s="33">
        <v>17616.250921849311</v>
      </c>
      <c r="BB65" s="33">
        <v>15877.699224761143</v>
      </c>
      <c r="BC65" s="33">
        <v>15023.62809408483</v>
      </c>
      <c r="BD65" s="33">
        <v>14102.838002158733</v>
      </c>
      <c r="BE65" s="33">
        <v>13251.818137480483</v>
      </c>
      <c r="BF65" s="33">
        <v>12420.863620969165</v>
      </c>
      <c r="BG65" s="33">
        <v>11613.05604076529</v>
      </c>
      <c r="BH65" s="33">
        <v>10944.980956328955</v>
      </c>
      <c r="BI65" s="33">
        <v>10363.843724966113</v>
      </c>
      <c r="BJ65" s="33">
        <v>9773.3746798315806</v>
      </c>
      <c r="BK65" s="33">
        <v>9152.7749352915198</v>
      </c>
      <c r="BL65" s="33">
        <v>8607.965366042461</v>
      </c>
    </row>
    <row r="66" spans="2:64" x14ac:dyDescent="0.35">
      <c r="C66" t="s">
        <v>209</v>
      </c>
      <c r="D66" s="33">
        <v>1318.8288975581183</v>
      </c>
      <c r="E66" s="33">
        <v>1328.2490677582796</v>
      </c>
      <c r="F66" s="33">
        <v>1311.6813314273531</v>
      </c>
      <c r="G66" s="33">
        <v>1323.6007178460275</v>
      </c>
      <c r="H66" s="33">
        <v>1359.5880879039071</v>
      </c>
      <c r="I66" s="33">
        <v>1369.4199401945921</v>
      </c>
      <c r="J66" s="33">
        <v>1395.1787688958864</v>
      </c>
      <c r="K66" s="33">
        <v>1426.9749555992635</v>
      </c>
      <c r="L66" s="33">
        <v>1400.876022881135</v>
      </c>
      <c r="M66" s="33">
        <v>1405.0427742222244</v>
      </c>
      <c r="N66" s="33">
        <v>1437.9856667890772</v>
      </c>
      <c r="O66" s="33">
        <v>1454.7449982570854</v>
      </c>
      <c r="P66" s="33">
        <v>1443.114159677878</v>
      </c>
      <c r="Q66" s="33">
        <v>1446.3476338290409</v>
      </c>
      <c r="R66" s="33">
        <v>1448.5270487264456</v>
      </c>
      <c r="S66" s="33">
        <v>1460.8400847354351</v>
      </c>
      <c r="T66" s="33">
        <v>1473.9298780793547</v>
      </c>
      <c r="U66" s="33">
        <v>1431.7003877858899</v>
      </c>
      <c r="V66" s="33">
        <v>1374.70888140496</v>
      </c>
      <c r="W66" s="33">
        <v>1380.8132716106577</v>
      </c>
      <c r="X66" s="33">
        <v>1390.5015831253495</v>
      </c>
      <c r="Y66" s="33">
        <v>1397.2369857004178</v>
      </c>
      <c r="Z66" s="33">
        <v>1409.4519662887351</v>
      </c>
      <c r="AA66" s="33">
        <v>1407.4089449915582</v>
      </c>
      <c r="AB66" s="33">
        <v>1419.3829412674022</v>
      </c>
      <c r="AC66" s="33">
        <v>1399.5022123063034</v>
      </c>
      <c r="AD66" s="33">
        <v>1381.4803892154418</v>
      </c>
      <c r="AE66" s="33">
        <v>1376.5751847298511</v>
      </c>
      <c r="AF66" s="33">
        <v>1377.7743429297698</v>
      </c>
      <c r="AG66" s="33">
        <v>1380.3579602829063</v>
      </c>
      <c r="AH66" s="33">
        <v>1370.8586827042357</v>
      </c>
      <c r="AI66" s="33">
        <v>1344.8598216270061</v>
      </c>
      <c r="AJ66" s="33">
        <v>1325.1984602125253</v>
      </c>
      <c r="AK66" s="33">
        <v>1306.7539878244183</v>
      </c>
      <c r="AL66" s="33">
        <v>1288.813384300003</v>
      </c>
      <c r="AM66" s="33">
        <v>1270.6431501023148</v>
      </c>
      <c r="AN66" s="33">
        <v>1256.0342047905469</v>
      </c>
      <c r="AO66" s="33">
        <v>1242.0476141964457</v>
      </c>
      <c r="AP66" s="33">
        <v>1227.5734811156399</v>
      </c>
      <c r="AQ66" s="33">
        <v>1213.505406856995</v>
      </c>
      <c r="AR66" s="33">
        <v>1196.8859290923394</v>
      </c>
      <c r="AS66" s="33">
        <v>1186.2330798467301</v>
      </c>
      <c r="AT66" s="33">
        <v>1175.3338127974159</v>
      </c>
      <c r="AU66" s="33">
        <v>1165.3065171503088</v>
      </c>
      <c r="AV66" s="33">
        <v>1155.116303530004</v>
      </c>
      <c r="AW66" s="33">
        <v>1145.1545835197248</v>
      </c>
      <c r="AX66" s="33">
        <v>1134.7943666721574</v>
      </c>
      <c r="AY66" s="33">
        <v>1124.9934711139097</v>
      </c>
      <c r="AZ66" s="33">
        <v>1115.9114683050861</v>
      </c>
      <c r="BA66" s="33">
        <v>1106.7961162684146</v>
      </c>
      <c r="BB66" s="33">
        <v>1094.9266728550706</v>
      </c>
      <c r="BC66" s="33">
        <v>1088.1798789810796</v>
      </c>
      <c r="BD66" s="33">
        <v>1081.8276872406625</v>
      </c>
      <c r="BE66" s="33">
        <v>1075.4659398370904</v>
      </c>
      <c r="BF66" s="33">
        <v>1069.1060856490935</v>
      </c>
      <c r="BG66" s="33">
        <v>1064.0870013512824</v>
      </c>
      <c r="BH66" s="33">
        <v>1058.4548629634307</v>
      </c>
      <c r="BI66" s="33">
        <v>1052.537972998919</v>
      </c>
      <c r="BJ66" s="33">
        <v>1046.54682977892</v>
      </c>
      <c r="BK66" s="33">
        <v>1040.6350298501698</v>
      </c>
      <c r="BL66" s="33">
        <v>1035.3241564014359</v>
      </c>
    </row>
    <row r="67" spans="2:64" x14ac:dyDescent="0.35">
      <c r="C67" t="s">
        <v>210</v>
      </c>
      <c r="D67" s="33">
        <v>19.435905159773778</v>
      </c>
      <c r="E67" s="33">
        <v>19.664498818274456</v>
      </c>
      <c r="F67" s="33">
        <v>19.755788107974723</v>
      </c>
      <c r="G67" s="33">
        <v>20.496846499349211</v>
      </c>
      <c r="H67" s="33">
        <v>21.25631863450559</v>
      </c>
      <c r="I67" s="33">
        <v>22.046693317613492</v>
      </c>
      <c r="J67" s="33">
        <v>22.307759164457948</v>
      </c>
      <c r="K67" s="33">
        <v>22.59208014489332</v>
      </c>
      <c r="L67" s="33">
        <v>22.369848891122246</v>
      </c>
      <c r="M67" s="33">
        <v>22.473502688319076</v>
      </c>
      <c r="N67" s="33">
        <v>23.478684314600855</v>
      </c>
      <c r="O67" s="33">
        <v>24.708785579511741</v>
      </c>
      <c r="P67" s="33">
        <v>25.045301855249729</v>
      </c>
      <c r="Q67" s="33">
        <v>25.926977176476115</v>
      </c>
      <c r="R67" s="33">
        <v>26.37342914330571</v>
      </c>
      <c r="S67" s="33">
        <v>26.611548135302737</v>
      </c>
      <c r="T67" s="33">
        <v>25.925276289831405</v>
      </c>
      <c r="U67" s="33">
        <v>25.2918102417973</v>
      </c>
      <c r="V67" s="33">
        <v>25.291922074710534</v>
      </c>
      <c r="W67" s="33">
        <v>25.300545015893018</v>
      </c>
      <c r="X67" s="33">
        <v>25.769921895136864</v>
      </c>
      <c r="Y67" s="33">
        <v>26.374391554453133</v>
      </c>
      <c r="Z67" s="33">
        <v>26.740210498088224</v>
      </c>
      <c r="AA67" s="33">
        <v>26.846629363461947</v>
      </c>
      <c r="AB67" s="33">
        <v>27.742223731070013</v>
      </c>
      <c r="AC67" s="33">
        <v>27.471206658333955</v>
      </c>
      <c r="AD67" s="33">
        <v>27.565690694032838</v>
      </c>
      <c r="AE67" s="33">
        <v>27.665124869470571</v>
      </c>
      <c r="AF67" s="33">
        <v>28.063519969326819</v>
      </c>
      <c r="AG67" s="33">
        <v>28.185772039120344</v>
      </c>
      <c r="AH67" s="33">
        <v>28.401675728399365</v>
      </c>
      <c r="AI67" s="33">
        <v>27.677563126419496</v>
      </c>
      <c r="AJ67" s="33">
        <v>27.398513495718351</v>
      </c>
      <c r="AK67" s="33">
        <v>27.159043989887582</v>
      </c>
      <c r="AL67" s="33">
        <v>26.925917705938954</v>
      </c>
      <c r="AM67" s="33">
        <v>26.694207187846064</v>
      </c>
      <c r="AN67" s="33">
        <v>26.506976806676931</v>
      </c>
      <c r="AO67" s="33">
        <v>26.335131819281855</v>
      </c>
      <c r="AP67" s="33">
        <v>26.086258982714732</v>
      </c>
      <c r="AQ67" s="33">
        <v>25.826733423731437</v>
      </c>
      <c r="AR67" s="33">
        <v>25.529418674549234</v>
      </c>
      <c r="AS67" s="33">
        <v>25.261814013764038</v>
      </c>
      <c r="AT67" s="33">
        <v>24.982018442708409</v>
      </c>
      <c r="AU67" s="33">
        <v>24.718752224491357</v>
      </c>
      <c r="AV67" s="33">
        <v>24.449135070602761</v>
      </c>
      <c r="AW67" s="33">
        <v>24.181317298551807</v>
      </c>
      <c r="AX67" s="33">
        <v>23.929946351839096</v>
      </c>
      <c r="AY67" s="33">
        <v>23.690108728315248</v>
      </c>
      <c r="AZ67" s="33">
        <v>23.465508386515168</v>
      </c>
      <c r="BA67" s="33">
        <v>23.238765470287255</v>
      </c>
      <c r="BB67" s="33">
        <v>22.971861639362686</v>
      </c>
      <c r="BC67" s="33">
        <v>22.819777303474122</v>
      </c>
      <c r="BD67" s="33">
        <v>22.675240958884917</v>
      </c>
      <c r="BE67" s="33">
        <v>22.532115098805019</v>
      </c>
      <c r="BF67" s="33">
        <v>22.391257601207954</v>
      </c>
      <c r="BG67" s="33">
        <v>22.275556237687216</v>
      </c>
      <c r="BH67" s="33">
        <v>22.145009569600063</v>
      </c>
      <c r="BI67" s="33">
        <v>22.002784783784954</v>
      </c>
      <c r="BJ67" s="33">
        <v>21.858927665844483</v>
      </c>
      <c r="BK67" s="33">
        <v>21.719152169648101</v>
      </c>
      <c r="BL67" s="33">
        <v>21.591055078015607</v>
      </c>
    </row>
    <row r="68" spans="2:64" x14ac:dyDescent="0.35">
      <c r="AL68" s="34"/>
    </row>
    <row r="69" spans="2:64" ht="43.5" x14ac:dyDescent="0.35">
      <c r="B69" s="251" t="s">
        <v>300</v>
      </c>
      <c r="C69" t="s">
        <v>296</v>
      </c>
      <c r="AJ69" s="32">
        <v>-4013.1860889020945</v>
      </c>
      <c r="AK69" s="32">
        <v>-3952.304506775045</v>
      </c>
      <c r="AL69" s="32">
        <v>-4100.9890840210792</v>
      </c>
      <c r="AM69" s="32">
        <v>-5303.109030565096</v>
      </c>
      <c r="AN69" s="32">
        <v>-7236.4263708620356</v>
      </c>
      <c r="AO69" s="32">
        <v>-9012.3379084604421</v>
      </c>
      <c r="AP69" s="32">
        <v>-11052.712440683512</v>
      </c>
      <c r="AQ69" s="32">
        <v>-12312.181123108905</v>
      </c>
      <c r="AR69" s="32">
        <v>-12928.095043433561</v>
      </c>
      <c r="AS69" s="32">
        <v>-13999.542819584482</v>
      </c>
      <c r="AT69" s="32">
        <v>-15021.664972115161</v>
      </c>
      <c r="AU69" s="32">
        <v>-16129.565644429522</v>
      </c>
      <c r="AV69" s="32">
        <v>-17099.466060411469</v>
      </c>
      <c r="AW69" s="32">
        <v>-17996.334704105608</v>
      </c>
      <c r="AX69" s="32">
        <v>-19216.573120256508</v>
      </c>
      <c r="AY69" s="32">
        <v>-20570.466131833567</v>
      </c>
      <c r="AZ69" s="32">
        <v>-21778.354178617439</v>
      </c>
      <c r="BA69" s="32">
        <v>-23041.114271113984</v>
      </c>
      <c r="BB69" s="32">
        <v>-24274.60293845088</v>
      </c>
      <c r="BC69" s="32">
        <v>-25484.109909525803</v>
      </c>
      <c r="BD69" s="32">
        <v>-26098.953922638018</v>
      </c>
      <c r="BE69" s="32">
        <v>-26198.535425230741</v>
      </c>
      <c r="BF69" s="32">
        <v>-26008.249320185801</v>
      </c>
      <c r="BG69" s="32">
        <v>-25552.114395652377</v>
      </c>
      <c r="BH69" s="32">
        <v>-25632.688221930617</v>
      </c>
      <c r="BI69" s="32">
        <v>-25650.532552907014</v>
      </c>
      <c r="BJ69" s="32">
        <v>-25591.594567036536</v>
      </c>
      <c r="BK69" s="32">
        <v>-25379.665000587862</v>
      </c>
      <c r="BL69" s="32">
        <v>-25253.771833836072</v>
      </c>
    </row>
    <row r="70" spans="2:64" x14ac:dyDescent="0.35">
      <c r="C70" t="s">
        <v>297</v>
      </c>
      <c r="AJ70" s="32">
        <v>-2301.7160945525266</v>
      </c>
      <c r="AK70" s="32">
        <v>-2179.2283315018508</v>
      </c>
      <c r="AL70" s="32">
        <v>-1950.1458703437111</v>
      </c>
      <c r="AM70" s="32">
        <v>-1470.0786942463437</v>
      </c>
      <c r="AN70" s="32">
        <v>-1700.9189661542396</v>
      </c>
      <c r="AO70" s="32">
        <v>-1475.3890263347057</v>
      </c>
      <c r="AP70" s="32">
        <v>-1382.4252034916153</v>
      </c>
      <c r="AQ70" s="32">
        <v>-1263.9235912065033</v>
      </c>
      <c r="AR70" s="32">
        <v>-1195.6121675368613</v>
      </c>
      <c r="AS70" s="32">
        <v>-1107.9118751174701</v>
      </c>
      <c r="AT70" s="32">
        <v>-910.51101034245585</v>
      </c>
      <c r="AU70" s="32">
        <v>-704.93086668638898</v>
      </c>
      <c r="AV70" s="32">
        <v>-562.07390358198609</v>
      </c>
      <c r="AW70" s="32">
        <v>-551.3154836672802</v>
      </c>
      <c r="AX70" s="32">
        <v>-524.55183797105201</v>
      </c>
      <c r="AY70" s="32">
        <v>-851.05363893231333</v>
      </c>
      <c r="AZ70" s="32">
        <v>-800.09945990080814</v>
      </c>
      <c r="BA70" s="32">
        <v>-689.99013935174662</v>
      </c>
      <c r="BB70" s="32">
        <v>-555.52320688563486</v>
      </c>
      <c r="BC70" s="32">
        <v>-389.73742550527095</v>
      </c>
      <c r="BD70" s="32">
        <v>-359.33339600252657</v>
      </c>
      <c r="BE70" s="32">
        <v>-336.42994701198404</v>
      </c>
      <c r="BF70" s="32">
        <v>-311.43933309237036</v>
      </c>
      <c r="BG70" s="32">
        <v>-285.69160160441243</v>
      </c>
      <c r="BH70" s="32">
        <v>-269.69917154720679</v>
      </c>
      <c r="BI70" s="32">
        <v>-258.44695720083109</v>
      </c>
      <c r="BJ70" s="32">
        <v>-246.56236381493363</v>
      </c>
      <c r="BK70" s="32">
        <v>-236.31827404117212</v>
      </c>
      <c r="BL70" s="32">
        <v>-226.46526445892232</v>
      </c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8EE6-9081-4990-AA85-D6A0ABF56027}">
  <sheetPr>
    <tabColor theme="6" tint="0.79998168889431442"/>
  </sheetPr>
  <dimension ref="A1:BL68"/>
  <sheetViews>
    <sheetView zoomScale="90" zoomScaleNormal="90" workbookViewId="0">
      <pane xSplit="3" ySplit="1" topLeftCell="Z2" activePane="bottomRight" state="frozen"/>
      <selection pane="topRight" activeCell="AM20" sqref="AM20"/>
      <selection pane="bottomLeft" activeCell="AM20" sqref="AM20"/>
      <selection pane="bottomRight" activeCell="AI1" sqref="AH1:AI1048576"/>
    </sheetView>
  </sheetViews>
  <sheetFormatPr defaultColWidth="9.1796875" defaultRowHeight="14.5" x14ac:dyDescent="0.35"/>
  <cols>
    <col min="1" max="1" width="9.1796875" customWidth="1"/>
    <col min="2" max="2" width="27.26953125" style="9" customWidth="1"/>
    <col min="3" max="3" width="22.7265625" customWidth="1"/>
    <col min="4" max="35" width="9.1796875" hidden="1" customWidth="1"/>
    <col min="36" max="36" width="9.1796875" customWidth="1"/>
    <col min="37" max="40" width="9.54296875" bestFit="1" customWidth="1"/>
    <col min="41" max="64" width="10.54296875" bestFit="1" customWidth="1"/>
  </cols>
  <sheetData>
    <row r="1" spans="1:64" x14ac:dyDescent="0.35">
      <c r="A1" t="s">
        <v>185</v>
      </c>
      <c r="D1">
        <v>1990</v>
      </c>
      <c r="E1">
        <v>1991</v>
      </c>
      <c r="F1">
        <v>1992</v>
      </c>
      <c r="G1">
        <v>1993</v>
      </c>
      <c r="H1">
        <v>1994</v>
      </c>
      <c r="I1">
        <v>1995</v>
      </c>
      <c r="J1">
        <v>1996</v>
      </c>
      <c r="K1">
        <v>1997</v>
      </c>
      <c r="L1">
        <v>1998</v>
      </c>
      <c r="M1">
        <v>1999</v>
      </c>
      <c r="N1">
        <v>2000</v>
      </c>
      <c r="O1">
        <v>2001</v>
      </c>
      <c r="P1">
        <v>2002</v>
      </c>
      <c r="Q1">
        <v>2003</v>
      </c>
      <c r="R1">
        <v>2004</v>
      </c>
      <c r="S1">
        <v>2005</v>
      </c>
      <c r="T1">
        <v>2006</v>
      </c>
      <c r="U1">
        <v>2007</v>
      </c>
      <c r="V1">
        <v>2008</v>
      </c>
      <c r="W1">
        <v>2009</v>
      </c>
      <c r="X1">
        <v>2010</v>
      </c>
      <c r="Y1">
        <v>2011</v>
      </c>
      <c r="Z1">
        <v>2012</v>
      </c>
      <c r="AA1">
        <v>2013</v>
      </c>
      <c r="AB1">
        <v>2014</v>
      </c>
      <c r="AC1">
        <v>2015</v>
      </c>
      <c r="AD1">
        <v>2016</v>
      </c>
      <c r="AE1">
        <v>2017</v>
      </c>
      <c r="AF1">
        <v>2018</v>
      </c>
      <c r="AG1">
        <v>2019</v>
      </c>
      <c r="AH1">
        <v>2020</v>
      </c>
      <c r="AI1">
        <v>2021</v>
      </c>
      <c r="AJ1">
        <v>2022</v>
      </c>
      <c r="AK1">
        <v>2023</v>
      </c>
      <c r="AL1">
        <v>2024</v>
      </c>
      <c r="AM1">
        <v>2025</v>
      </c>
      <c r="AN1">
        <v>2026</v>
      </c>
      <c r="AO1">
        <v>2027</v>
      </c>
      <c r="AP1">
        <v>2028</v>
      </c>
      <c r="AQ1">
        <v>2029</v>
      </c>
      <c r="AR1">
        <v>2030</v>
      </c>
      <c r="AS1">
        <v>2031</v>
      </c>
      <c r="AT1">
        <v>2032</v>
      </c>
      <c r="AU1">
        <v>2033</v>
      </c>
      <c r="AV1">
        <v>2034</v>
      </c>
      <c r="AW1">
        <v>2035</v>
      </c>
      <c r="AX1">
        <v>2036</v>
      </c>
      <c r="AY1">
        <v>2037</v>
      </c>
      <c r="AZ1">
        <v>2038</v>
      </c>
      <c r="BA1">
        <v>2039</v>
      </c>
      <c r="BB1">
        <v>2040</v>
      </c>
      <c r="BC1">
        <v>2041</v>
      </c>
      <c r="BD1">
        <v>2042</v>
      </c>
      <c r="BE1">
        <v>2043</v>
      </c>
      <c r="BF1">
        <v>2044</v>
      </c>
      <c r="BG1">
        <v>2045</v>
      </c>
      <c r="BH1">
        <v>2046</v>
      </c>
      <c r="BI1">
        <v>2047</v>
      </c>
      <c r="BJ1">
        <v>2048</v>
      </c>
      <c r="BK1">
        <v>2049</v>
      </c>
      <c r="BL1">
        <v>2050</v>
      </c>
    </row>
    <row r="3" spans="1:64" s="39" customFormat="1" x14ac:dyDescent="0.35">
      <c r="A3" s="38" t="s">
        <v>186</v>
      </c>
    </row>
    <row r="4" spans="1:64" x14ac:dyDescent="0.35">
      <c r="A4" s="1"/>
      <c r="B4"/>
    </row>
    <row r="5" spans="1:64" x14ac:dyDescent="0.35">
      <c r="A5" s="1"/>
      <c r="B5" s="1" t="s">
        <v>187</v>
      </c>
    </row>
    <row r="6" spans="1:64" x14ac:dyDescent="0.35">
      <c r="B6"/>
      <c r="C6" t="s">
        <v>188</v>
      </c>
      <c r="D6" s="32">
        <v>8123.4738048603285</v>
      </c>
      <c r="E6" s="32">
        <v>8103.151366916326</v>
      </c>
      <c r="F6" s="32">
        <v>8465.3738838749887</v>
      </c>
      <c r="G6" s="32">
        <v>8917.1083368543023</v>
      </c>
      <c r="H6" s="32">
        <v>9577.0808586024577</v>
      </c>
      <c r="I6" s="32">
        <v>10239.751270685269</v>
      </c>
      <c r="J6" s="32">
        <v>10370.213477161265</v>
      </c>
      <c r="K6" s="32">
        <v>10595.889532393232</v>
      </c>
      <c r="L6" s="32">
        <v>10800.287827520146</v>
      </c>
      <c r="M6" s="32">
        <v>11085.248585156945</v>
      </c>
      <c r="N6" s="32">
        <v>11635.189554943681</v>
      </c>
      <c r="O6" s="32">
        <v>11692.734720415607</v>
      </c>
      <c r="P6" s="32">
        <v>12148.077566047319</v>
      </c>
      <c r="Q6" s="32">
        <v>12682.556619811654</v>
      </c>
      <c r="R6" s="32">
        <v>12975.975090054404</v>
      </c>
      <c r="S6" s="32">
        <v>13046.884396819123</v>
      </c>
      <c r="T6" s="32">
        <v>13165.766263018873</v>
      </c>
      <c r="U6" s="32">
        <v>13268.57941131241</v>
      </c>
      <c r="V6" s="32">
        <v>13278.302641661277</v>
      </c>
      <c r="W6" s="32">
        <v>13085.690879123733</v>
      </c>
      <c r="X6" s="32">
        <v>13334.27651128357</v>
      </c>
      <c r="Y6" s="32">
        <v>13317.62839669132</v>
      </c>
      <c r="Z6" s="32">
        <v>12992.883365668904</v>
      </c>
      <c r="AA6" s="32">
        <v>13068.056313476918</v>
      </c>
      <c r="AB6" s="32">
        <v>13326.758858692861</v>
      </c>
      <c r="AC6" s="32">
        <v>13792.474756443526</v>
      </c>
      <c r="AD6" s="32">
        <v>13894.199123622979</v>
      </c>
      <c r="AE6" s="32">
        <v>14792.764873637303</v>
      </c>
      <c r="AF6" s="32">
        <v>15115.380716007123</v>
      </c>
      <c r="AG6" s="32">
        <v>14643.952939914274</v>
      </c>
      <c r="AH6" s="32">
        <v>13168.39660793059</v>
      </c>
      <c r="AI6" s="32">
        <v>14387.531213514181</v>
      </c>
      <c r="AJ6" s="32">
        <v>15133.101756865974</v>
      </c>
      <c r="AK6" s="32">
        <v>15355.536001992956</v>
      </c>
      <c r="AL6" s="32">
        <v>15404.851843742043</v>
      </c>
      <c r="AM6" s="32">
        <v>15432.994282860785</v>
      </c>
      <c r="AN6" s="32">
        <v>15457.470352914428</v>
      </c>
      <c r="AO6" s="32">
        <v>15452.51099232506</v>
      </c>
      <c r="AP6" s="32">
        <v>15401.672901745314</v>
      </c>
      <c r="AQ6" s="32">
        <v>15301.66067842068</v>
      </c>
      <c r="AR6" s="32">
        <v>15197.663750373837</v>
      </c>
      <c r="AS6" s="32">
        <v>15045.799375504484</v>
      </c>
      <c r="AT6" s="32">
        <v>14852.973610492676</v>
      </c>
      <c r="AU6" s="32">
        <v>14602.181457337809</v>
      </c>
      <c r="AV6" s="32">
        <v>14301.508945212734</v>
      </c>
      <c r="AW6" s="32">
        <v>13973.404125152059</v>
      </c>
      <c r="AX6" s="32">
        <v>13564.724833482376</v>
      </c>
      <c r="AY6" s="32">
        <v>13187.165322259498</v>
      </c>
      <c r="AZ6" s="32">
        <v>12720.951658254309</v>
      </c>
      <c r="BA6" s="32">
        <v>12261.852353347002</v>
      </c>
      <c r="BB6" s="32">
        <v>11754.636953640369</v>
      </c>
      <c r="BC6" s="32">
        <v>11207.54017377773</v>
      </c>
      <c r="BD6" s="32">
        <v>10676.239522460246</v>
      </c>
      <c r="BE6" s="32">
        <v>10086.057302035671</v>
      </c>
      <c r="BF6" s="32">
        <v>9579.2116205054554</v>
      </c>
      <c r="BG6" s="32">
        <v>9014.905000817238</v>
      </c>
      <c r="BH6" s="32">
        <v>8384.8458359278375</v>
      </c>
      <c r="BI6" s="32">
        <v>7774.3493299805095</v>
      </c>
      <c r="BJ6" s="32">
        <v>7181.1204750307861</v>
      </c>
      <c r="BK6" s="32">
        <v>6533.6092492980624</v>
      </c>
      <c r="BL6" s="32">
        <v>6007.6604079021472</v>
      </c>
    </row>
    <row r="7" spans="1:64" x14ac:dyDescent="0.35">
      <c r="C7" t="s">
        <v>189</v>
      </c>
      <c r="D7" s="32">
        <v>15870.432739954342</v>
      </c>
      <c r="E7" s="32">
        <v>16378.466290069518</v>
      </c>
      <c r="F7" s="32">
        <v>17872.680038791048</v>
      </c>
      <c r="G7" s="32">
        <v>16963.730980163415</v>
      </c>
      <c r="H7" s="32">
        <v>16630.053510039124</v>
      </c>
      <c r="I7" s="32">
        <v>15732.047373899533</v>
      </c>
      <c r="J7" s="32">
        <v>17229.158640444279</v>
      </c>
      <c r="K7" s="32">
        <v>19033.756151465674</v>
      </c>
      <c r="L7" s="32">
        <v>17245.302453661639</v>
      </c>
      <c r="M7" s="32">
        <v>18330.876664378062</v>
      </c>
      <c r="N7" s="32">
        <v>18510.199955178108</v>
      </c>
      <c r="O7" s="32">
        <v>20478.222137259898</v>
      </c>
      <c r="P7" s="32">
        <v>19959.661992715868</v>
      </c>
      <c r="Q7" s="32">
        <v>20827.542521056315</v>
      </c>
      <c r="R7" s="32">
        <v>20177.334934761973</v>
      </c>
      <c r="S7" s="32">
        <v>21714.678340624607</v>
      </c>
      <c r="T7" s="32">
        <v>22034.751114421178</v>
      </c>
      <c r="U7" s="32">
        <v>20499.48259464484</v>
      </c>
      <c r="V7" s="32">
        <v>21598.295800208387</v>
      </c>
      <c r="W7" s="32">
        <v>19122.213588001083</v>
      </c>
      <c r="X7" s="32">
        <v>19062.758250566105</v>
      </c>
      <c r="Y7" s="32">
        <v>18391.989680725048</v>
      </c>
      <c r="Z7" s="32">
        <v>20061.823877863775</v>
      </c>
      <c r="AA7" s="32">
        <v>19101.56617704346</v>
      </c>
      <c r="AB7" s="32">
        <v>18913.448428514144</v>
      </c>
      <c r="AC7" s="32">
        <v>18698.791922816465</v>
      </c>
      <c r="AD7" s="32">
        <v>17183.121331879483</v>
      </c>
      <c r="AE7" s="32">
        <v>17726.254212435371</v>
      </c>
      <c r="AF7" s="32">
        <v>17471.853230500838</v>
      </c>
      <c r="AG7" s="32">
        <v>19335.032033966676</v>
      </c>
      <c r="AH7" s="32">
        <v>18350.509251858835</v>
      </c>
      <c r="AI7" s="32">
        <v>18668.644741585093</v>
      </c>
      <c r="AJ7" s="32">
        <v>17611.243714664372</v>
      </c>
      <c r="AK7" s="32">
        <v>17009.008224794583</v>
      </c>
      <c r="AL7" s="32">
        <v>16445.754470945099</v>
      </c>
      <c r="AM7" s="32">
        <v>16068.393383785449</v>
      </c>
      <c r="AN7" s="32">
        <v>15927.411639815748</v>
      </c>
      <c r="AO7" s="32">
        <v>15828.863688555815</v>
      </c>
      <c r="AP7" s="32">
        <v>15761.059196753122</v>
      </c>
      <c r="AQ7" s="32">
        <v>15943.797588817712</v>
      </c>
      <c r="AR7" s="32">
        <v>15337.472006063766</v>
      </c>
      <c r="AS7" s="32">
        <v>15524.113857776456</v>
      </c>
      <c r="AT7" s="32">
        <v>15082.086254718064</v>
      </c>
      <c r="AU7" s="32">
        <v>15085.535753946142</v>
      </c>
      <c r="AV7" s="32">
        <v>15081.547501767815</v>
      </c>
      <c r="AW7" s="32">
        <v>15072.046799866946</v>
      </c>
      <c r="AX7" s="32">
        <v>15063.305389647741</v>
      </c>
      <c r="AY7" s="32">
        <v>15049.194667129081</v>
      </c>
      <c r="AZ7" s="32">
        <v>15027.81885039915</v>
      </c>
      <c r="BA7" s="32">
        <v>14996.343387856779</v>
      </c>
      <c r="BB7" s="32">
        <v>14188.681191533702</v>
      </c>
      <c r="BC7" s="32">
        <v>14152.850456673079</v>
      </c>
      <c r="BD7" s="32">
        <v>14099.655143455544</v>
      </c>
      <c r="BE7" s="32">
        <v>14030.257740650814</v>
      </c>
      <c r="BF7" s="32">
        <v>13950.090027336906</v>
      </c>
      <c r="BG7" s="32">
        <v>13856.203310161975</v>
      </c>
      <c r="BH7" s="32">
        <v>13736.932448583855</v>
      </c>
      <c r="BI7" s="32">
        <v>13590.563606873042</v>
      </c>
      <c r="BJ7" s="32">
        <v>13422.915693393032</v>
      </c>
      <c r="BK7" s="32">
        <v>13256.617499592174</v>
      </c>
      <c r="BL7" s="32">
        <v>13096.184416031037</v>
      </c>
    </row>
    <row r="8" spans="1:64" x14ac:dyDescent="0.35">
      <c r="C8" t="s">
        <v>41</v>
      </c>
      <c r="D8" s="32">
        <v>3516.0961777084749</v>
      </c>
      <c r="E8" s="32">
        <v>3668.0126133261347</v>
      </c>
      <c r="F8" s="32">
        <v>3339.6053797481713</v>
      </c>
      <c r="G8" s="32">
        <v>3195.1272202265759</v>
      </c>
      <c r="H8" s="32">
        <v>3067.2612562604504</v>
      </c>
      <c r="I8" s="32">
        <v>3163.0165028872884</v>
      </c>
      <c r="J8" s="32">
        <v>3348.4732362779841</v>
      </c>
      <c r="K8" s="32">
        <v>3238.1728346773621</v>
      </c>
      <c r="L8" s="32">
        <v>3225.4368638608034</v>
      </c>
      <c r="M8" s="32">
        <v>3402.8933077692418</v>
      </c>
      <c r="N8" s="32">
        <v>3433.8153891407756</v>
      </c>
      <c r="O8" s="32">
        <v>3543.2990415404297</v>
      </c>
      <c r="P8" s="32">
        <v>3659.5205799752925</v>
      </c>
      <c r="Q8" s="32">
        <v>3878.0905479037801</v>
      </c>
      <c r="R8" s="32">
        <v>3912.5084942419317</v>
      </c>
      <c r="S8" s="32">
        <v>4011.7594848076365</v>
      </c>
      <c r="T8" s="32">
        <v>4113.8784993347999</v>
      </c>
      <c r="U8" s="32">
        <v>4370.1941197075685</v>
      </c>
      <c r="V8" s="32">
        <v>4255.8641032838468</v>
      </c>
      <c r="W8" s="32">
        <v>4205.2778704031671</v>
      </c>
      <c r="X8" s="32">
        <v>4520.672440769391</v>
      </c>
      <c r="Y8" s="32">
        <v>4553.3250267168596</v>
      </c>
      <c r="Z8" s="32">
        <v>4625.014402265595</v>
      </c>
      <c r="AA8" s="32">
        <v>4757.0725463419167</v>
      </c>
      <c r="AB8" s="32">
        <v>4930.1696846350351</v>
      </c>
      <c r="AC8" s="32">
        <v>5055.8311641412056</v>
      </c>
      <c r="AD8" s="32">
        <v>4802.46997339477</v>
      </c>
      <c r="AE8" s="32">
        <v>4842.6066820474134</v>
      </c>
      <c r="AF8" s="32">
        <v>4733.1712108541742</v>
      </c>
      <c r="AG8" s="32">
        <v>4769.6347557157696</v>
      </c>
      <c r="AH8" s="32">
        <v>4526.63157784951</v>
      </c>
      <c r="AI8" s="32">
        <v>4737.8059422385177</v>
      </c>
      <c r="AJ8" s="32">
        <v>4668.8718965622265</v>
      </c>
      <c r="AK8" s="32">
        <v>4682.5184423404007</v>
      </c>
      <c r="AL8" s="32">
        <v>4717.9933514507529</v>
      </c>
      <c r="AM8" s="32">
        <v>4690.7458137750764</v>
      </c>
      <c r="AN8" s="32">
        <v>4682.486300411616</v>
      </c>
      <c r="AO8" s="32">
        <v>4642.36312526656</v>
      </c>
      <c r="AP8" s="32">
        <v>4607.3417301314466</v>
      </c>
      <c r="AQ8" s="32">
        <v>4591.0275348352116</v>
      </c>
      <c r="AR8" s="32">
        <v>4516.9298943057056</v>
      </c>
      <c r="AS8" s="32">
        <v>4480.7801209653981</v>
      </c>
      <c r="AT8" s="32">
        <v>4446.3563732702696</v>
      </c>
      <c r="AU8" s="32">
        <v>4401.5810307647935</v>
      </c>
      <c r="AV8" s="32">
        <v>4364.2449143455697</v>
      </c>
      <c r="AW8" s="32">
        <v>4341.718456622446</v>
      </c>
      <c r="AX8" s="32">
        <v>4310.7516262286581</v>
      </c>
      <c r="AY8" s="32">
        <v>4290.4084887432045</v>
      </c>
      <c r="AZ8" s="32">
        <v>4272.0089050878951</v>
      </c>
      <c r="BA8" s="32">
        <v>4255.6430760539015</v>
      </c>
      <c r="BB8" s="32">
        <v>4192.8235742774059</v>
      </c>
      <c r="BC8" s="32">
        <v>4182.3117424252769</v>
      </c>
      <c r="BD8" s="32">
        <v>4174.5281451544197</v>
      </c>
      <c r="BE8" s="32">
        <v>4171.8784304495366</v>
      </c>
      <c r="BF8" s="32">
        <v>4172.167221350408</v>
      </c>
      <c r="BG8" s="32">
        <v>4175.0770434944352</v>
      </c>
      <c r="BH8" s="32">
        <v>4181.3595283108807</v>
      </c>
      <c r="BI8" s="32">
        <v>4191.1347911093562</v>
      </c>
      <c r="BJ8" s="32">
        <v>4203.0346325019427</v>
      </c>
      <c r="BK8" s="32">
        <v>4216.0812699692979</v>
      </c>
      <c r="BL8" s="32">
        <v>4232.031439184655</v>
      </c>
    </row>
    <row r="9" spans="1:64" x14ac:dyDescent="0.35">
      <c r="C9" t="s">
        <v>22</v>
      </c>
      <c r="D9" s="32">
        <v>36571.823155221537</v>
      </c>
      <c r="E9" s="32">
        <v>36808.530009453956</v>
      </c>
      <c r="F9" s="32">
        <v>36296.682920512212</v>
      </c>
      <c r="G9" s="32">
        <v>36672.075580955374</v>
      </c>
      <c r="H9" s="32">
        <v>37933.366311582788</v>
      </c>
      <c r="I9" s="32">
        <v>38543.749348475882</v>
      </c>
      <c r="J9" s="32">
        <v>38869.798977510858</v>
      </c>
      <c r="K9" s="32">
        <v>39805.88859601631</v>
      </c>
      <c r="L9" s="32">
        <v>39133.754057324586</v>
      </c>
      <c r="M9" s="32">
        <v>39320.551887094705</v>
      </c>
      <c r="N9" s="32">
        <v>40532.789740222943</v>
      </c>
      <c r="O9" s="32">
        <v>41365.025310344688</v>
      </c>
      <c r="P9" s="32">
        <v>41335.30138246603</v>
      </c>
      <c r="Q9" s="32">
        <v>41979.690800047625</v>
      </c>
      <c r="R9" s="32">
        <v>42111.718735995542</v>
      </c>
      <c r="S9" s="32">
        <v>42483.869542174827</v>
      </c>
      <c r="T9" s="32">
        <v>42383.301600666382</v>
      </c>
      <c r="U9" s="32">
        <v>41387.064066314852</v>
      </c>
      <c r="V9" s="32">
        <v>40077.102994724351</v>
      </c>
      <c r="W9" s="32">
        <v>40298.057324935595</v>
      </c>
      <c r="X9" s="32">
        <v>40460.611107132943</v>
      </c>
      <c r="Y9" s="32">
        <v>41140.554343421216</v>
      </c>
      <c r="Z9" s="32">
        <v>42054.103604519951</v>
      </c>
      <c r="AA9" s="32">
        <v>42174.163250136939</v>
      </c>
      <c r="AB9" s="32">
        <v>42797.036067408801</v>
      </c>
      <c r="AC9" s="32">
        <v>42242.331468664546</v>
      </c>
      <c r="AD9" s="32">
        <v>41824.397624779995</v>
      </c>
      <c r="AE9" s="32">
        <v>41862.6172334207</v>
      </c>
      <c r="AF9" s="32">
        <v>42154.798631981837</v>
      </c>
      <c r="AG9" s="32">
        <v>42317.723309496745</v>
      </c>
      <c r="AH9" s="32">
        <v>42196.053007409682</v>
      </c>
      <c r="AI9" s="32">
        <v>41347.331742577095</v>
      </c>
      <c r="AJ9" s="32">
        <v>41016.659333916927</v>
      </c>
      <c r="AK9" s="32">
        <v>40722.240152774648</v>
      </c>
      <c r="AL9" s="32">
        <v>40430.083051772308</v>
      </c>
      <c r="AM9" s="32">
        <v>40152.514409759344</v>
      </c>
      <c r="AN9" s="32">
        <v>39973.640407629078</v>
      </c>
      <c r="AO9" s="32">
        <v>39821.359384887648</v>
      </c>
      <c r="AP9" s="32">
        <v>39662.386093551919</v>
      </c>
      <c r="AQ9" s="32">
        <v>39518.005615673348</v>
      </c>
      <c r="AR9" s="32">
        <v>39375.860901335145</v>
      </c>
      <c r="AS9" s="32">
        <v>39238.847378401049</v>
      </c>
      <c r="AT9" s="32">
        <v>39079.94962695201</v>
      </c>
      <c r="AU9" s="32">
        <v>38932.095200487893</v>
      </c>
      <c r="AV9" s="32">
        <v>38776.492183785493</v>
      </c>
      <c r="AW9" s="32">
        <v>38641.797965086429</v>
      </c>
      <c r="AX9" s="32">
        <v>38609.16171095251</v>
      </c>
      <c r="AY9" s="32">
        <v>38590.27214762455</v>
      </c>
      <c r="AZ9" s="32">
        <v>38589.621853417804</v>
      </c>
      <c r="BA9" s="32">
        <v>38585.479570351301</v>
      </c>
      <c r="BB9" s="32">
        <v>38574.681057716269</v>
      </c>
      <c r="BC9" s="32">
        <v>38538.97578894614</v>
      </c>
      <c r="BD9" s="32">
        <v>38514.358438467418</v>
      </c>
      <c r="BE9" s="32">
        <v>38487.997610205435</v>
      </c>
      <c r="BF9" s="32">
        <v>38461.893192497068</v>
      </c>
      <c r="BG9" s="32">
        <v>38479.017268036725</v>
      </c>
      <c r="BH9" s="32">
        <v>38468.006775355469</v>
      </c>
      <c r="BI9" s="32">
        <v>38436.271121032696</v>
      </c>
      <c r="BJ9" s="32">
        <v>38396.04632103927</v>
      </c>
      <c r="BK9" s="32">
        <v>38367.16055523292</v>
      </c>
      <c r="BL9" s="32">
        <v>38347.614736861273</v>
      </c>
    </row>
    <row r="10" spans="1:64" x14ac:dyDescent="0.35">
      <c r="C10" t="s">
        <v>23</v>
      </c>
      <c r="D10" s="32">
        <v>4371.0550686426304</v>
      </c>
      <c r="E10" s="32">
        <v>4494.2129358802167</v>
      </c>
      <c r="F10" s="32">
        <v>4608.4699487961507</v>
      </c>
      <c r="G10" s="32">
        <v>4723.0167754811991</v>
      </c>
      <c r="H10" s="32">
        <v>4596.3960749697844</v>
      </c>
      <c r="I10" s="32">
        <v>4699.3156679774575</v>
      </c>
      <c r="J10" s="32">
        <v>4798.2534180590455</v>
      </c>
      <c r="K10" s="32">
        <v>4865.406291133806</v>
      </c>
      <c r="L10" s="32">
        <v>4861.6867574609569</v>
      </c>
      <c r="M10" s="32">
        <v>4888.9395933214646</v>
      </c>
      <c r="N10" s="32">
        <v>4918.9517108516438</v>
      </c>
      <c r="O10" s="32">
        <v>4945.8355725179199</v>
      </c>
      <c r="P10" s="32">
        <v>4960.5960379013841</v>
      </c>
      <c r="Q10" s="32">
        <v>4856.3675991908322</v>
      </c>
      <c r="R10" s="32">
        <v>4871.6484009286705</v>
      </c>
      <c r="S10" s="32">
        <v>4860.2827462461919</v>
      </c>
      <c r="T10" s="32">
        <v>4640.1084728888536</v>
      </c>
      <c r="U10" s="32">
        <v>4598.136705576766</v>
      </c>
      <c r="V10" s="32">
        <v>4504.0772789790162</v>
      </c>
      <c r="W10" s="32">
        <v>4356.4344929985782</v>
      </c>
      <c r="X10" s="32">
        <v>4293.0257026984791</v>
      </c>
      <c r="Y10" s="32">
        <v>4128.294122648671</v>
      </c>
      <c r="Z10" s="32">
        <v>4008.975962335111</v>
      </c>
      <c r="AA10" s="32">
        <v>3953.727003813055</v>
      </c>
      <c r="AB10" s="32">
        <v>3903.7091154408281</v>
      </c>
      <c r="AC10" s="32">
        <v>3860.3909372256435</v>
      </c>
      <c r="AD10" s="32">
        <v>3828.69903936433</v>
      </c>
      <c r="AE10" s="32">
        <v>3785.4635318554911</v>
      </c>
      <c r="AF10" s="32">
        <v>3713.3819258157537</v>
      </c>
      <c r="AG10" s="32">
        <v>3661.4608991204891</v>
      </c>
      <c r="AH10" s="32">
        <v>3611.7932233745064</v>
      </c>
      <c r="AI10" s="32">
        <v>3602.1962978058914</v>
      </c>
      <c r="AJ10" s="32">
        <v>3571.8459707930574</v>
      </c>
      <c r="AK10" s="32">
        <v>3550.5585021934444</v>
      </c>
      <c r="AL10" s="32">
        <v>3535.3069284770118</v>
      </c>
      <c r="AM10" s="32">
        <v>3523.311952704245</v>
      </c>
      <c r="AN10" s="32">
        <v>3512.387446166219</v>
      </c>
      <c r="AO10" s="32">
        <v>3502.9983722968705</v>
      </c>
      <c r="AP10" s="32">
        <v>3494.9935320829809</v>
      </c>
      <c r="AQ10" s="32">
        <v>3488.2837422002285</v>
      </c>
      <c r="AR10" s="32">
        <v>3482.5325237043953</v>
      </c>
      <c r="AS10" s="32">
        <v>3477.279567479356</v>
      </c>
      <c r="AT10" s="32">
        <v>3472.7323215971815</v>
      </c>
      <c r="AU10" s="32">
        <v>3468.9194217808054</v>
      </c>
      <c r="AV10" s="32">
        <v>3465.6760947985617</v>
      </c>
      <c r="AW10" s="32">
        <v>3463.2912587676242</v>
      </c>
      <c r="AX10" s="32">
        <v>3461.4087906057293</v>
      </c>
      <c r="AY10" s="32">
        <v>3460.1141029099786</v>
      </c>
      <c r="AZ10" s="32">
        <v>3459.4840856244709</v>
      </c>
      <c r="BA10" s="32">
        <v>3459.3034041655092</v>
      </c>
      <c r="BB10" s="32">
        <v>3459.9493471570258</v>
      </c>
      <c r="BC10" s="32">
        <v>3461.2114690573785</v>
      </c>
      <c r="BD10" s="32">
        <v>3463.0008789762924</v>
      </c>
      <c r="BE10" s="32">
        <v>3465.3606496599355</v>
      </c>
      <c r="BF10" s="32">
        <v>3468.1308709598279</v>
      </c>
      <c r="BG10" s="32">
        <v>3471.5997212431084</v>
      </c>
      <c r="BH10" s="32">
        <v>3475.4015117217241</v>
      </c>
      <c r="BI10" s="32">
        <v>3479.1694414486151</v>
      </c>
      <c r="BJ10" s="32">
        <v>3483.1950816629733</v>
      </c>
      <c r="BK10" s="32">
        <v>3487.4706739942803</v>
      </c>
      <c r="BL10" s="32">
        <v>3492.2694858736199</v>
      </c>
    </row>
    <row r="11" spans="1:64" x14ac:dyDescent="0.35">
      <c r="C11" t="s">
        <v>190</v>
      </c>
      <c r="D11" s="32">
        <v>819.97524190854506</v>
      </c>
      <c r="E11" s="32">
        <v>828.0017286520922</v>
      </c>
      <c r="F11" s="32">
        <v>1085.1429139052391</v>
      </c>
      <c r="G11" s="32">
        <v>1158.2562175334988</v>
      </c>
      <c r="H11" s="32">
        <v>1294.5870452996453</v>
      </c>
      <c r="I11" s="32">
        <v>850.67438092522423</v>
      </c>
      <c r="J11" s="32">
        <v>38.592400303365025</v>
      </c>
      <c r="K11" s="32">
        <v>-1334.618596753277</v>
      </c>
      <c r="L11" s="32">
        <v>-3370.636542665608</v>
      </c>
      <c r="M11" s="32">
        <v>-5881.7403115761681</v>
      </c>
      <c r="N11" s="32">
        <v>-5840.6097105786448</v>
      </c>
      <c r="O11" s="32">
        <v>-8163.9905713630314</v>
      </c>
      <c r="P11" s="32">
        <v>-10155.899721608017</v>
      </c>
      <c r="Q11" s="32">
        <v>-9621.5624173653105</v>
      </c>
      <c r="R11" s="32">
        <v>-6746.7760646318911</v>
      </c>
      <c r="S11" s="32">
        <v>-909.81870967752047</v>
      </c>
      <c r="T11" s="32">
        <v>1895.2611011701449</v>
      </c>
      <c r="U11" s="32">
        <v>7426.246871923152</v>
      </c>
      <c r="V11" s="32">
        <v>-13411.996596017498</v>
      </c>
      <c r="W11" s="32">
        <v>-11081.405660283805</v>
      </c>
      <c r="X11" s="32">
        <v>-10565.307562466487</v>
      </c>
      <c r="Y11" s="32">
        <v>-12067.105918642314</v>
      </c>
      <c r="Z11" s="32">
        <v>-10202.075435723556</v>
      </c>
      <c r="AA11" s="32">
        <v>-7134.8699893356697</v>
      </c>
      <c r="AB11" s="32">
        <v>-10405.283669066264</v>
      </c>
      <c r="AC11" s="32">
        <v>-11945.163408270339</v>
      </c>
      <c r="AD11" s="32">
        <v>-11969.110093922558</v>
      </c>
      <c r="AE11" s="32">
        <v>-12080.174618702731</v>
      </c>
      <c r="AF11" s="32">
        <v>-11085.271780708874</v>
      </c>
      <c r="AG11" s="32">
        <v>-7702.6878138183429</v>
      </c>
      <c r="AH11" s="32">
        <v>-8060.2252194320736</v>
      </c>
      <c r="AI11" s="32">
        <v>-7272.2101365835315</v>
      </c>
      <c r="AJ11" s="32">
        <v>-6158.2627444233731</v>
      </c>
      <c r="AK11" s="32">
        <v>-5945.255575406456</v>
      </c>
      <c r="AL11" s="32">
        <v>-5828.0718917514505</v>
      </c>
      <c r="AM11" s="32">
        <v>-6501.7193448547678</v>
      </c>
      <c r="AN11" s="32">
        <v>-7772.1466438324751</v>
      </c>
      <c r="AO11" s="32">
        <v>-9247.6451246572178</v>
      </c>
      <c r="AP11" s="32">
        <v>-11105.090045810215</v>
      </c>
      <c r="AQ11" s="32">
        <v>-12139.872895882418</v>
      </c>
      <c r="AR11" s="32">
        <v>-12564.420730209811</v>
      </c>
      <c r="AS11" s="32">
        <v>-13396.545103778648</v>
      </c>
      <c r="AT11" s="32">
        <v>-14059.423836219863</v>
      </c>
      <c r="AU11" s="32">
        <v>-14786.973476131952</v>
      </c>
      <c r="AV11" s="32">
        <v>-15431.172337977376</v>
      </c>
      <c r="AW11" s="32">
        <v>-16136.067149584611</v>
      </c>
      <c r="AX11" s="32">
        <v>-17155.204484539496</v>
      </c>
      <c r="AY11" s="32">
        <v>-19171.528046329615</v>
      </c>
      <c r="AZ11" s="32">
        <v>-20241.160565364524</v>
      </c>
      <c r="BA11" s="32">
        <v>-21340.171025371139</v>
      </c>
      <c r="BB11" s="32">
        <v>-22420.284116223473</v>
      </c>
      <c r="BC11" s="32">
        <v>-23477.193794301162</v>
      </c>
      <c r="BD11" s="32">
        <v>-24095.870736024517</v>
      </c>
      <c r="BE11" s="32">
        <v>-24234.996848450483</v>
      </c>
      <c r="BF11" s="32">
        <v>-24116.802177332149</v>
      </c>
      <c r="BG11" s="32">
        <v>-23770.582076991908</v>
      </c>
      <c r="BH11" s="32">
        <v>-24009.156631367528</v>
      </c>
      <c r="BI11" s="32">
        <v>-24232.474690778723</v>
      </c>
      <c r="BJ11" s="32">
        <v>-24423.56028890927</v>
      </c>
      <c r="BK11" s="32">
        <v>-24510.45425915868</v>
      </c>
      <c r="BL11" s="32">
        <v>-24732.32112286058</v>
      </c>
    </row>
    <row r="12" spans="1:64" x14ac:dyDescent="0.35">
      <c r="C12" t="s">
        <v>46</v>
      </c>
      <c r="D12" s="32">
        <v>69272.85618829586</v>
      </c>
      <c r="E12" s="32">
        <v>70280.374944298237</v>
      </c>
      <c r="F12" s="32">
        <v>71667.955085627807</v>
      </c>
      <c r="G12" s="32">
        <v>71629.315111214368</v>
      </c>
      <c r="H12" s="32">
        <v>73098.745056754255</v>
      </c>
      <c r="I12" s="32">
        <v>73228.554544850645</v>
      </c>
      <c r="J12" s="32">
        <v>74654.490149756792</v>
      </c>
      <c r="K12" s="32">
        <v>76204.494808933116</v>
      </c>
      <c r="L12" s="32">
        <v>71895.83141716251</v>
      </c>
      <c r="M12" s="32">
        <v>71146.769726144252</v>
      </c>
      <c r="N12" s="32">
        <v>73190.336639758505</v>
      </c>
      <c r="O12" s="32">
        <v>73861.126210715505</v>
      </c>
      <c r="P12" s="32">
        <v>71907.257837497877</v>
      </c>
      <c r="Q12" s="32">
        <v>74602.685670644918</v>
      </c>
      <c r="R12" s="32">
        <v>77302.409591350617</v>
      </c>
      <c r="S12" s="32">
        <v>85207.655800994849</v>
      </c>
      <c r="T12" s="32">
        <v>88233.067051500242</v>
      </c>
      <c r="U12" s="32">
        <v>91549.703769479587</v>
      </c>
      <c r="V12" s="32">
        <v>70301.646222839379</v>
      </c>
      <c r="W12" s="32">
        <v>69986.268495178345</v>
      </c>
      <c r="X12" s="32">
        <v>71106.036449983992</v>
      </c>
      <c r="Y12" s="32">
        <v>69464.685651560809</v>
      </c>
      <c r="Z12" s="32">
        <v>73540.725776929772</v>
      </c>
      <c r="AA12" s="32">
        <v>75919.715301476608</v>
      </c>
      <c r="AB12" s="32">
        <v>73465.838485625398</v>
      </c>
      <c r="AC12" s="32">
        <v>71704.656841021046</v>
      </c>
      <c r="AD12" s="32">
        <v>69563.776999119014</v>
      </c>
      <c r="AE12" s="32">
        <v>70929.531914693551</v>
      </c>
      <c r="AF12" s="32">
        <v>72103.313934450853</v>
      </c>
      <c r="AG12" s="32">
        <v>77025.116124395616</v>
      </c>
      <c r="AH12" s="32">
        <v>73793.158448991046</v>
      </c>
      <c r="AI12" s="32">
        <v>75471.29980113724</v>
      </c>
      <c r="AJ12" s="32">
        <v>75843.45992837919</v>
      </c>
      <c r="AK12" s="32">
        <v>75374.605748689573</v>
      </c>
      <c r="AL12" s="32">
        <v>74705.917754635782</v>
      </c>
      <c r="AM12" s="32">
        <v>73366.240498030136</v>
      </c>
      <c r="AN12" s="32">
        <v>71781.249503104613</v>
      </c>
      <c r="AO12" s="32">
        <v>70000.450438674743</v>
      </c>
      <c r="AP12" s="32">
        <v>67822.363408454563</v>
      </c>
      <c r="AQ12" s="32">
        <v>66702.90226406476</v>
      </c>
      <c r="AR12" s="32">
        <v>65346.038345573048</v>
      </c>
      <c r="AS12" s="32">
        <v>64370.275196348091</v>
      </c>
      <c r="AT12" s="32">
        <v>62874.674350810339</v>
      </c>
      <c r="AU12" s="32">
        <v>61703.339388185501</v>
      </c>
      <c r="AV12" s="32">
        <v>60558.297301932791</v>
      </c>
      <c r="AW12" s="32">
        <v>59356.191455910892</v>
      </c>
      <c r="AX12" s="32">
        <v>57854.147866377505</v>
      </c>
      <c r="AY12" s="32">
        <v>55405.626682336697</v>
      </c>
      <c r="AZ12" s="32">
        <v>53828.724787419109</v>
      </c>
      <c r="BA12" s="32">
        <v>52218.450766403344</v>
      </c>
      <c r="BB12" s="32">
        <v>49750.488008101311</v>
      </c>
      <c r="BC12" s="32">
        <v>48065.695836578452</v>
      </c>
      <c r="BD12" s="32">
        <v>46831.911392489405</v>
      </c>
      <c r="BE12" s="32">
        <v>46006.554884550918</v>
      </c>
      <c r="BF12" s="32">
        <v>45514.690755317512</v>
      </c>
      <c r="BG12" s="32">
        <v>45226.220266761578</v>
      </c>
      <c r="BH12" s="32">
        <v>44237.38946853223</v>
      </c>
      <c r="BI12" s="32">
        <v>43239.013599665501</v>
      </c>
      <c r="BJ12" s="32">
        <v>42262.751914718727</v>
      </c>
      <c r="BK12" s="32">
        <v>41350.484988928059</v>
      </c>
      <c r="BL12" s="32">
        <v>40443.439362992154</v>
      </c>
    </row>
    <row r="13" spans="1:64" x14ac:dyDescent="0.35">
      <c r="C13" t="s">
        <v>45</v>
      </c>
      <c r="D13" s="32">
        <v>68452.880946387319</v>
      </c>
      <c r="E13" s="32">
        <v>69452.373215646148</v>
      </c>
      <c r="F13" s="32">
        <v>70582.812171722573</v>
      </c>
      <c r="G13" s="32">
        <v>70471.058893680864</v>
      </c>
      <c r="H13" s="32">
        <v>71804.158011454609</v>
      </c>
      <c r="I13" s="32">
        <v>72377.880163925423</v>
      </c>
      <c r="J13" s="32">
        <v>74615.897749453434</v>
      </c>
      <c r="K13" s="32">
        <v>77539.113405686396</v>
      </c>
      <c r="L13" s="32">
        <v>75266.467959828122</v>
      </c>
      <c r="M13" s="32">
        <v>77028.510037720422</v>
      </c>
      <c r="N13" s="32">
        <v>79030.946350337152</v>
      </c>
      <c r="O13" s="32">
        <v>82025.116782078534</v>
      </c>
      <c r="P13" s="32">
        <v>82063.157559105894</v>
      </c>
      <c r="Q13" s="32">
        <v>84224.248088010223</v>
      </c>
      <c r="R13" s="32">
        <v>84049.18565598251</v>
      </c>
      <c r="S13" s="32">
        <v>86117.474510672371</v>
      </c>
      <c r="T13" s="32">
        <v>86337.80595033009</v>
      </c>
      <c r="U13" s="32">
        <v>84123.456897556433</v>
      </c>
      <c r="V13" s="32">
        <v>83713.642818856883</v>
      </c>
      <c r="W13" s="32">
        <v>81067.674155462155</v>
      </c>
      <c r="X13" s="32">
        <v>81671.344012450485</v>
      </c>
      <c r="Y13" s="32">
        <v>81531.791570203117</v>
      </c>
      <c r="Z13" s="32">
        <v>83742.801212653329</v>
      </c>
      <c r="AA13" s="32">
        <v>83054.585290812276</v>
      </c>
      <c r="AB13" s="32">
        <v>83871.122154691664</v>
      </c>
      <c r="AC13" s="32">
        <v>83649.820249291384</v>
      </c>
      <c r="AD13" s="32">
        <v>81532.887093041572</v>
      </c>
      <c r="AE13" s="32">
        <v>83009.706533396282</v>
      </c>
      <c r="AF13" s="32">
        <v>83188.58571515973</v>
      </c>
      <c r="AG13" s="32">
        <v>84727.803938213954</v>
      </c>
      <c r="AH13" s="32">
        <v>81853.383668423121</v>
      </c>
      <c r="AI13" s="32">
        <v>82743.509937720766</v>
      </c>
      <c r="AJ13" s="32">
        <v>82001.722672802556</v>
      </c>
      <c r="AK13" s="32">
        <v>81319.861324096026</v>
      </c>
      <c r="AL13" s="32">
        <v>80533.989646387228</v>
      </c>
      <c r="AM13" s="32">
        <v>79867.959842884899</v>
      </c>
      <c r="AN13" s="32">
        <v>79553.396146937084</v>
      </c>
      <c r="AO13" s="32">
        <v>79248.095563331954</v>
      </c>
      <c r="AP13" s="32">
        <v>78927.453454264774</v>
      </c>
      <c r="AQ13" s="32">
        <v>78842.775159947181</v>
      </c>
      <c r="AR13" s="32">
        <v>77910.459075782856</v>
      </c>
      <c r="AS13" s="32">
        <v>77766.820300126739</v>
      </c>
      <c r="AT13" s="32">
        <v>76934.098187030206</v>
      </c>
      <c r="AU13" s="32">
        <v>76490.312864317457</v>
      </c>
      <c r="AV13" s="32">
        <v>75989.469639910167</v>
      </c>
      <c r="AW13" s="32">
        <v>75492.258605495503</v>
      </c>
      <c r="AX13" s="32">
        <v>75009.352350917005</v>
      </c>
      <c r="AY13" s="32">
        <v>74577.154728666312</v>
      </c>
      <c r="AZ13" s="32">
        <v>74069.885352783633</v>
      </c>
      <c r="BA13" s="32">
        <v>73558.62179177448</v>
      </c>
      <c r="BB13" s="32">
        <v>72170.77212432478</v>
      </c>
      <c r="BC13" s="32">
        <v>71542.88963087961</v>
      </c>
      <c r="BD13" s="32">
        <v>70927.782128513922</v>
      </c>
      <c r="BE13" s="32">
        <v>70241.551733001397</v>
      </c>
      <c r="BF13" s="32">
        <v>69631.492932649664</v>
      </c>
      <c r="BG13" s="32">
        <v>68996.802343753487</v>
      </c>
      <c r="BH13" s="32">
        <v>68246.546099899759</v>
      </c>
      <c r="BI13" s="32">
        <v>67471.48829044422</v>
      </c>
      <c r="BJ13" s="32">
        <v>66686.312203627996</v>
      </c>
      <c r="BK13" s="32">
        <v>65860.939248086739</v>
      </c>
      <c r="BL13" s="32">
        <v>65175.760485852734</v>
      </c>
    </row>
    <row r="15" spans="1:64" x14ac:dyDescent="0.35">
      <c r="B15" s="1" t="s">
        <v>191</v>
      </c>
    </row>
    <row r="16" spans="1:64" x14ac:dyDescent="0.35">
      <c r="B16"/>
      <c r="C16" t="s">
        <v>192</v>
      </c>
      <c r="AJ16" s="32">
        <v>6620.9908420040156</v>
      </c>
      <c r="AK16" s="32">
        <v>6651.9365357424467</v>
      </c>
      <c r="AL16" s="32">
        <v>6623.0742603473564</v>
      </c>
      <c r="AM16" s="32">
        <v>6781.0132823336562</v>
      </c>
      <c r="AN16" s="32">
        <v>6655.4278799325484</v>
      </c>
      <c r="AO16" s="32">
        <v>6520.2655424442164</v>
      </c>
      <c r="AP16" s="32">
        <v>6381.1722963376496</v>
      </c>
      <c r="AQ16" s="32">
        <v>6506.8181755559981</v>
      </c>
      <c r="AR16" s="32">
        <v>5905.7546362980283</v>
      </c>
      <c r="AS16" s="32">
        <v>6056.9236928479868</v>
      </c>
      <c r="AT16" s="32">
        <v>5596.3274752384068</v>
      </c>
      <c r="AU16" s="32">
        <v>5575.3850894832731</v>
      </c>
      <c r="AV16" s="32">
        <v>5553.3302124000502</v>
      </c>
      <c r="AW16" s="32">
        <v>5530.0692020666729</v>
      </c>
      <c r="AX16" s="32">
        <v>5508.3372809716711</v>
      </c>
      <c r="AY16" s="32">
        <v>5486.3649459419757</v>
      </c>
      <c r="AZ16" s="32">
        <v>5464.1052126909472</v>
      </c>
      <c r="BA16" s="32">
        <v>5441.3209115873624</v>
      </c>
      <c r="BB16" s="32">
        <v>4693.1623595116353</v>
      </c>
      <c r="BC16" s="32">
        <v>4687.5318918158255</v>
      </c>
      <c r="BD16" s="32">
        <v>4675.1679036541736</v>
      </c>
      <c r="BE16" s="32">
        <v>4660.8554220651004</v>
      </c>
      <c r="BF16" s="32">
        <v>4650.3727437467523</v>
      </c>
      <c r="BG16" s="32">
        <v>4641.8397784768504</v>
      </c>
      <c r="BH16" s="32">
        <v>4632.513868560528</v>
      </c>
      <c r="BI16" s="32">
        <v>4622.4723960533047</v>
      </c>
      <c r="BJ16" s="32">
        <v>4612.0205272079347</v>
      </c>
      <c r="BK16" s="32">
        <v>4601.4331171459862</v>
      </c>
      <c r="BL16" s="32">
        <v>4590.5735422366097</v>
      </c>
    </row>
    <row r="17" spans="2:64" x14ac:dyDescent="0.35">
      <c r="C17" t="s">
        <v>193</v>
      </c>
      <c r="AJ17" s="32">
        <v>4049.1322740102487</v>
      </c>
      <c r="AK17" s="32">
        <v>3428.3695003524099</v>
      </c>
      <c r="AL17" s="32">
        <v>2832.5929019292289</v>
      </c>
      <c r="AM17" s="32">
        <v>2263.2776941608327</v>
      </c>
      <c r="AN17" s="32">
        <v>2215.8523617844685</v>
      </c>
      <c r="AO17" s="32">
        <v>2196.8470931643315</v>
      </c>
      <c r="AP17" s="32">
        <v>2188.8218979057656</v>
      </c>
      <c r="AQ17" s="32">
        <v>2181.2097135671584</v>
      </c>
      <c r="AR17" s="32">
        <v>2172.4146739653902</v>
      </c>
      <c r="AS17" s="32">
        <v>2164.9566142960257</v>
      </c>
      <c r="AT17" s="32">
        <v>2156.7094040132351</v>
      </c>
      <c r="AU17" s="32">
        <v>2150.3654782321478</v>
      </c>
      <c r="AV17" s="32">
        <v>2142.1635105779969</v>
      </c>
      <c r="AW17" s="32">
        <v>2134.6178289605787</v>
      </c>
      <c r="AX17" s="32">
        <v>2130.2054583104941</v>
      </c>
      <c r="AY17" s="32">
        <v>2126.3579867520425</v>
      </c>
      <c r="AZ17" s="32">
        <v>2121.5512342574516</v>
      </c>
      <c r="BA17" s="32">
        <v>2115.1605963523398</v>
      </c>
      <c r="BB17" s="32">
        <v>2107.9628985075756</v>
      </c>
      <c r="BC17" s="32">
        <v>2098.7262863800825</v>
      </c>
      <c r="BD17" s="32">
        <v>2090.6828978486301</v>
      </c>
      <c r="BE17" s="32">
        <v>2081.7064902144566</v>
      </c>
      <c r="BF17" s="32">
        <v>2072.2145455251039</v>
      </c>
      <c r="BG17" s="32">
        <v>2065.297977092926</v>
      </c>
      <c r="BH17" s="32">
        <v>2056.0296498819534</v>
      </c>
      <c r="BI17" s="32">
        <v>2046.1535253377517</v>
      </c>
      <c r="BJ17" s="32">
        <v>2035.3263541819028</v>
      </c>
      <c r="BK17" s="32">
        <v>2025.3608390620393</v>
      </c>
      <c r="BL17" s="32">
        <v>2016.8375422424319</v>
      </c>
    </row>
    <row r="18" spans="2:64" x14ac:dyDescent="0.35">
      <c r="C18" t="s">
        <v>48</v>
      </c>
      <c r="AJ18" s="32">
        <v>20433.290905889564</v>
      </c>
      <c r="AK18" s="32">
        <v>20578.804893116045</v>
      </c>
      <c r="AL18" s="32">
        <v>20664.492229812891</v>
      </c>
      <c r="AM18" s="32">
        <v>20732.293963648026</v>
      </c>
      <c r="AN18" s="32">
        <v>20795.579153854243</v>
      </c>
      <c r="AO18" s="32">
        <v>20851.952385192257</v>
      </c>
      <c r="AP18" s="32">
        <v>20885.798844725174</v>
      </c>
      <c r="AQ18" s="32">
        <v>20850.887584675816</v>
      </c>
      <c r="AR18" s="32">
        <v>20791.965177878599</v>
      </c>
      <c r="AS18" s="32">
        <v>20683.381339506814</v>
      </c>
      <c r="AT18" s="32">
        <v>20529.040874710903</v>
      </c>
      <c r="AU18" s="32">
        <v>20312.395039764655</v>
      </c>
      <c r="AV18" s="32">
        <v>20040.584532820285</v>
      </c>
      <c r="AW18" s="32">
        <v>19736.44716393081</v>
      </c>
      <c r="AX18" s="32">
        <v>19347.408390621316</v>
      </c>
      <c r="AY18" s="32">
        <v>18983.942023013784</v>
      </c>
      <c r="AZ18" s="32">
        <v>18525.08540928721</v>
      </c>
      <c r="BA18" s="32">
        <v>18065.387753302308</v>
      </c>
      <c r="BB18" s="32">
        <v>17547.828311139801</v>
      </c>
      <c r="BC18" s="32">
        <v>16979.964581579832</v>
      </c>
      <c r="BD18" s="32">
        <v>16415.880240849569</v>
      </c>
      <c r="BE18" s="32">
        <v>15778.843072595493</v>
      </c>
      <c r="BF18" s="32">
        <v>15208.935359949894</v>
      </c>
      <c r="BG18" s="32">
        <v>14563.298659416418</v>
      </c>
      <c r="BH18" s="32">
        <v>13829.731716144684</v>
      </c>
      <c r="BI18" s="32">
        <v>13090.383729716654</v>
      </c>
      <c r="BJ18" s="32">
        <v>12348.719423665176</v>
      </c>
      <c r="BK18" s="32">
        <v>11553.56030436181</v>
      </c>
      <c r="BL18" s="32">
        <v>10885.501170377982</v>
      </c>
    </row>
    <row r="19" spans="2:64" x14ac:dyDescent="0.35">
      <c r="C19" t="s">
        <v>194</v>
      </c>
      <c r="AJ19" s="32">
        <v>118.96259807191089</v>
      </c>
      <c r="AK19" s="32">
        <v>119.1936523354848</v>
      </c>
      <c r="AL19" s="32">
        <v>119.67666575848375</v>
      </c>
      <c r="AM19" s="32">
        <v>120.18987601464052</v>
      </c>
      <c r="AN19" s="32">
        <v>120.67211637945564</v>
      </c>
      <c r="AO19" s="32">
        <v>121.12977181664805</v>
      </c>
      <c r="AP19" s="32">
        <v>121.55735738720179</v>
      </c>
      <c r="AQ19" s="32">
        <v>121.97471697118148</v>
      </c>
      <c r="AR19" s="32">
        <v>122.33277427795721</v>
      </c>
      <c r="AS19" s="32">
        <v>122.65912962367568</v>
      </c>
      <c r="AT19" s="32">
        <v>122.98972981726227</v>
      </c>
      <c r="AU19" s="32">
        <v>123.27505065429928</v>
      </c>
      <c r="AV19" s="32">
        <v>123.51241254614196</v>
      </c>
      <c r="AW19" s="32">
        <v>123.72422173752589</v>
      </c>
      <c r="AX19" s="32">
        <v>123.92140026516942</v>
      </c>
      <c r="AY19" s="32">
        <v>124.1081010095255</v>
      </c>
      <c r="AZ19" s="32">
        <v>124.28462837424598</v>
      </c>
      <c r="BA19" s="32">
        <v>124.45293230548957</v>
      </c>
      <c r="BB19" s="32">
        <v>124.61304802158079</v>
      </c>
      <c r="BC19" s="32">
        <v>124.76524336592634</v>
      </c>
      <c r="BD19" s="32">
        <v>125.07200459289938</v>
      </c>
      <c r="BE19" s="32">
        <v>125.37179246706846</v>
      </c>
      <c r="BF19" s="32">
        <v>125.54847703300841</v>
      </c>
      <c r="BG19" s="32">
        <v>125.67307822959638</v>
      </c>
      <c r="BH19" s="32">
        <v>125.79028332682392</v>
      </c>
      <c r="BI19" s="32">
        <v>125.90111858459153</v>
      </c>
      <c r="BJ19" s="32">
        <v>126.00711859445441</v>
      </c>
      <c r="BK19" s="32">
        <v>126.10736405379724</v>
      </c>
      <c r="BL19" s="32">
        <v>126.20084694302008</v>
      </c>
    </row>
    <row r="21" spans="2:64" x14ac:dyDescent="0.35">
      <c r="B21" s="1" t="s">
        <v>195</v>
      </c>
      <c r="AJ21" s="32">
        <v>1161.9495465072846</v>
      </c>
      <c r="AK21" s="32">
        <v>1146.7712236842483</v>
      </c>
      <c r="AL21" s="32">
        <v>1137.3131155080739</v>
      </c>
      <c r="AM21" s="32">
        <v>1129.9447250604785</v>
      </c>
      <c r="AN21" s="32">
        <v>1123.5755361147676</v>
      </c>
      <c r="AO21" s="32">
        <v>1118.4273244398114</v>
      </c>
      <c r="AP21" s="32">
        <v>1114.4310852896397</v>
      </c>
      <c r="AQ21" s="32">
        <v>1111.4593753355593</v>
      </c>
      <c r="AR21" s="32">
        <v>1109.2563975632295</v>
      </c>
      <c r="AS21" s="32">
        <v>1107.6574800963419</v>
      </c>
      <c r="AT21" s="32">
        <v>1106.6124157931963</v>
      </c>
      <c r="AU21" s="32">
        <v>1106.1450478194379</v>
      </c>
      <c r="AV21" s="32">
        <v>1106.1694584496231</v>
      </c>
      <c r="AW21" s="32">
        <v>1106.9798795750185</v>
      </c>
      <c r="AX21" s="32">
        <v>1108.115161744983</v>
      </c>
      <c r="AY21" s="32">
        <v>1109.6853827085258</v>
      </c>
      <c r="AZ21" s="32">
        <v>1111.7430761861017</v>
      </c>
      <c r="BA21" s="32">
        <v>1114.1522687974546</v>
      </c>
      <c r="BB21" s="32">
        <v>1117.252125139305</v>
      </c>
      <c r="BC21" s="32">
        <v>1120.8278848192194</v>
      </c>
      <c r="BD21" s="32">
        <v>1124.7920753721492</v>
      </c>
      <c r="BE21" s="32">
        <v>1129.1899173601998</v>
      </c>
      <c r="BF21" s="32">
        <v>1133.902903105869</v>
      </c>
      <c r="BG21" s="32">
        <v>1139.1924429514847</v>
      </c>
      <c r="BH21" s="32">
        <v>1144.7363774849107</v>
      </c>
      <c r="BI21" s="32">
        <v>1150.1917884750994</v>
      </c>
      <c r="BJ21" s="32">
        <v>1155.765892186454</v>
      </c>
      <c r="BK21" s="32">
        <v>1161.5634944921014</v>
      </c>
      <c r="BL21" s="32">
        <v>1167.6341315086681</v>
      </c>
    </row>
    <row r="22" spans="2:64" x14ac:dyDescent="0.35">
      <c r="B2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2:64" x14ac:dyDescent="0.35">
      <c r="B23" s="1" t="s">
        <v>196</v>
      </c>
      <c r="AJ23" s="32">
        <v>1532.7389575698896</v>
      </c>
      <c r="AK23" s="32">
        <v>1571.1963531860279</v>
      </c>
      <c r="AL23" s="32">
        <v>1604.5458079697476</v>
      </c>
      <c r="AM23" s="32">
        <v>1574.8765590979046</v>
      </c>
      <c r="AN23" s="32">
        <v>1564.1784699259267</v>
      </c>
      <c r="AO23" s="32">
        <v>1521.6792093466731</v>
      </c>
      <c r="AP23" s="32">
        <v>1484.3617317689443</v>
      </c>
      <c r="AQ23" s="32">
        <v>1465.9411792079748</v>
      </c>
      <c r="AR23" s="32">
        <v>1438.4546911116267</v>
      </c>
      <c r="AS23" s="32">
        <v>1400.4281133020238</v>
      </c>
      <c r="AT23" s="32">
        <v>1364.1812757520793</v>
      </c>
      <c r="AU23" s="32">
        <v>1317.6330145857228</v>
      </c>
      <c r="AV23" s="32">
        <v>1278.5605964590591</v>
      </c>
      <c r="AW23" s="32">
        <v>1254.3232394352876</v>
      </c>
      <c r="AX23" s="32">
        <v>1221.6349532444035</v>
      </c>
      <c r="AY23" s="32">
        <v>1199.5392006569834</v>
      </c>
      <c r="AZ23" s="32">
        <v>1179.3495754813059</v>
      </c>
      <c r="BA23" s="32">
        <v>1161.1481785073604</v>
      </c>
      <c r="BB23" s="32">
        <v>1144.9945147222995</v>
      </c>
      <c r="BC23" s="32">
        <v>1132.5461661544232</v>
      </c>
      <c r="BD23" s="32">
        <v>1122.76832421105</v>
      </c>
      <c r="BE23" s="32">
        <v>1118.0561385821702</v>
      </c>
      <c r="BF23" s="32">
        <v>1116.2110733309969</v>
      </c>
      <c r="BG23" s="32">
        <v>1116.903836874573</v>
      </c>
      <c r="BH23" s="32">
        <v>1120.8750550832701</v>
      </c>
      <c r="BI23" s="32">
        <v>1128.2423366845119</v>
      </c>
      <c r="BJ23" s="32">
        <v>1137.6610845196117</v>
      </c>
      <c r="BK23" s="32">
        <v>1148.2541453011199</v>
      </c>
      <c r="BL23" s="32">
        <v>1161.810181334916</v>
      </c>
    </row>
    <row r="24" spans="2:64" x14ac:dyDescent="0.35"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2:64" x14ac:dyDescent="0.35">
      <c r="B25" s="1" t="s">
        <v>197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>
        <v>1792.9671172047294</v>
      </c>
      <c r="AK25" s="32">
        <v>1792.9671172047294</v>
      </c>
      <c r="AL25" s="32">
        <v>1792.9671172047294</v>
      </c>
      <c r="AM25" s="32">
        <v>1792.9671172047294</v>
      </c>
      <c r="AN25" s="32">
        <v>1792.9671172047294</v>
      </c>
      <c r="AO25" s="32">
        <v>1792.9671172047294</v>
      </c>
      <c r="AP25" s="32">
        <v>1792.9671172047294</v>
      </c>
      <c r="AQ25" s="32">
        <v>1792.9671172047294</v>
      </c>
      <c r="AR25" s="32">
        <v>1792.9671172047294</v>
      </c>
      <c r="AS25" s="32">
        <v>1792.9671172047294</v>
      </c>
      <c r="AT25" s="32">
        <v>1792.9671172047294</v>
      </c>
      <c r="AU25" s="32">
        <v>1792.9671172047294</v>
      </c>
      <c r="AV25" s="32">
        <v>1792.9671172047294</v>
      </c>
      <c r="AW25" s="32">
        <v>1792.9671172047294</v>
      </c>
      <c r="AX25" s="32">
        <v>1792.9671172047294</v>
      </c>
      <c r="AY25" s="32">
        <v>1792.9671172047294</v>
      </c>
      <c r="AZ25" s="32">
        <v>1792.9671172047294</v>
      </c>
      <c r="BA25" s="32">
        <v>1792.9671172047294</v>
      </c>
      <c r="BB25" s="32">
        <v>1792.9671172047294</v>
      </c>
      <c r="BC25" s="32">
        <v>1792.9671172047294</v>
      </c>
      <c r="BD25" s="32">
        <v>1792.9671172047294</v>
      </c>
      <c r="BE25" s="32">
        <v>1792.9671172047294</v>
      </c>
      <c r="BF25" s="32">
        <v>1792.9671172047294</v>
      </c>
      <c r="BG25" s="32">
        <v>1792.9671172047294</v>
      </c>
      <c r="BH25" s="32">
        <v>1792.9671172047294</v>
      </c>
      <c r="BI25" s="32">
        <v>1792.9671172047294</v>
      </c>
      <c r="BJ25" s="32">
        <v>1792.9671172047294</v>
      </c>
      <c r="BK25" s="32">
        <v>1792.9671172047294</v>
      </c>
      <c r="BL25" s="32">
        <v>1792.9671172047294</v>
      </c>
    </row>
    <row r="26" spans="2:64" x14ac:dyDescent="0.35">
      <c r="B26"/>
    </row>
    <row r="27" spans="2:64" x14ac:dyDescent="0.35">
      <c r="B27" s="1" t="s">
        <v>198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2">
        <v>69.418684532459778</v>
      </c>
      <c r="AK27" s="32">
        <v>61.966553591525333</v>
      </c>
      <c r="AL27" s="32">
        <v>54.82282094400928</v>
      </c>
      <c r="AM27" s="32">
        <v>47.996558547454221</v>
      </c>
      <c r="AN27" s="32">
        <v>47.425745980033732</v>
      </c>
      <c r="AO27" s="32">
        <v>47.197670095949555</v>
      </c>
      <c r="AP27" s="32">
        <v>47.100590504614409</v>
      </c>
      <c r="AQ27" s="32">
        <v>47.008568354668313</v>
      </c>
      <c r="AR27" s="32">
        <v>46.901763400847173</v>
      </c>
      <c r="AS27" s="32">
        <v>46.811514097394038</v>
      </c>
      <c r="AT27" s="32">
        <v>46.711384981231902</v>
      </c>
      <c r="AU27" s="32">
        <v>46.634862857162346</v>
      </c>
      <c r="AV27" s="32">
        <v>46.535176604293774</v>
      </c>
      <c r="AW27" s="32">
        <v>46.443601982785729</v>
      </c>
      <c r="AX27" s="32">
        <v>46.39095754408541</v>
      </c>
      <c r="AY27" s="32">
        <v>46.345311796886001</v>
      </c>
      <c r="AZ27" s="32">
        <v>46.287712567953051</v>
      </c>
      <c r="BA27" s="32">
        <v>46.210395546575526</v>
      </c>
      <c r="BB27" s="32">
        <v>46.123021681633979</v>
      </c>
      <c r="BC27" s="32">
        <v>46.010273156728488</v>
      </c>
      <c r="BD27" s="32">
        <v>45.91234447542638</v>
      </c>
      <c r="BE27" s="32">
        <v>45.802795430376243</v>
      </c>
      <c r="BF27" s="32">
        <v>45.686817575454334</v>
      </c>
      <c r="BG27" s="32">
        <v>45.602848217687594</v>
      </c>
      <c r="BH27" s="32">
        <v>45.489616832614828</v>
      </c>
      <c r="BI27" s="32">
        <v>45.368811082040274</v>
      </c>
      <c r="BJ27" s="32">
        <v>45.236164366179736</v>
      </c>
      <c r="BK27" s="32">
        <v>45.114217875582597</v>
      </c>
      <c r="BL27" s="32">
        <v>45.010190319119147</v>
      </c>
    </row>
    <row r="28" spans="2:64" x14ac:dyDescent="0.35">
      <c r="AJ28" s="32"/>
    </row>
    <row r="29" spans="2:64" x14ac:dyDescent="0.35">
      <c r="B29" s="1" t="s">
        <v>199</v>
      </c>
      <c r="AJ29" s="32">
        <v>230.7912012229863</v>
      </c>
      <c r="AK29" s="32">
        <v>234.54361925936306</v>
      </c>
      <c r="AL29" s="32">
        <v>236.93173160768461</v>
      </c>
      <c r="AM29" s="32">
        <v>239.652711465576</v>
      </c>
      <c r="AN29" s="32">
        <v>242.39264001998779</v>
      </c>
      <c r="AO29" s="32">
        <v>245.06235580497241</v>
      </c>
      <c r="AP29" s="32">
        <v>247.64218204036609</v>
      </c>
      <c r="AQ29" s="32">
        <v>250.00883736241119</v>
      </c>
      <c r="AR29" s="32">
        <v>252.18728832902565</v>
      </c>
      <c r="AS29" s="32">
        <v>254.29602332857206</v>
      </c>
      <c r="AT29" s="32">
        <v>256.34440580371319</v>
      </c>
      <c r="AU29" s="32">
        <v>258.3364170615265</v>
      </c>
      <c r="AV29" s="32">
        <v>260.28728633968012</v>
      </c>
      <c r="AW29" s="32">
        <v>262.20961404882837</v>
      </c>
      <c r="AX29" s="32">
        <v>264.14380279832176</v>
      </c>
      <c r="AY29" s="32">
        <v>266.11300143713333</v>
      </c>
      <c r="AZ29" s="32">
        <v>268.12425155210212</v>
      </c>
      <c r="BA29" s="32">
        <v>270.1866541211229</v>
      </c>
      <c r="BB29" s="32">
        <v>272.30366163286669</v>
      </c>
      <c r="BC29" s="32">
        <v>274.4794879602814</v>
      </c>
      <c r="BD29" s="32">
        <v>276.72017611261424</v>
      </c>
      <c r="BE29" s="32">
        <v>279.03752173605756</v>
      </c>
      <c r="BF29" s="32">
        <v>281.43507418514582</v>
      </c>
      <c r="BG29" s="32">
        <v>283.92611102105741</v>
      </c>
      <c r="BH29" s="32">
        <v>286.52299784053287</v>
      </c>
      <c r="BI29" s="32">
        <v>289.22855098255184</v>
      </c>
      <c r="BJ29" s="32">
        <v>292.01625151684846</v>
      </c>
      <c r="BK29" s="32">
        <v>294.77303471731796</v>
      </c>
      <c r="BL29" s="32">
        <v>297.46302854253133</v>
      </c>
    </row>
    <row r="30" spans="2:64" x14ac:dyDescent="0.35"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</row>
    <row r="31" spans="2:64" x14ac:dyDescent="0.35">
      <c r="B31" s="1" t="s">
        <v>200</v>
      </c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</row>
    <row r="32" spans="2:64" s="5" customFormat="1" x14ac:dyDescent="0.35">
      <c r="C32" s="5" t="s">
        <v>201</v>
      </c>
      <c r="AJ32" s="5">
        <v>-5297.773123564567</v>
      </c>
      <c r="AK32" s="5">
        <v>-5422.0034287479248</v>
      </c>
      <c r="AL32" s="5">
        <v>-5691.5426803903429</v>
      </c>
      <c r="AM32" s="5">
        <v>-6776.1886181587479</v>
      </c>
      <c r="AN32" s="5">
        <v>-8471.2534527691787</v>
      </c>
      <c r="AO32" s="5">
        <v>-10154.57804015247</v>
      </c>
      <c r="AP32" s="5">
        <v>-12105.217819432901</v>
      </c>
      <c r="AQ32" s="5">
        <v>-13229.19431588459</v>
      </c>
      <c r="AR32" s="5">
        <v>-13730.549629819838</v>
      </c>
      <c r="AS32" s="5">
        <v>-14655.627313650924</v>
      </c>
      <c r="AT32" s="5">
        <v>-15494.329445891621</v>
      </c>
      <c r="AU32" s="5">
        <v>-16401.062876514334</v>
      </c>
      <c r="AV32" s="5">
        <v>-17105.604308281068</v>
      </c>
      <c r="AW32" s="5">
        <v>-17720.780030723618</v>
      </c>
      <c r="AX32" s="5">
        <v>-18731.926684333488</v>
      </c>
      <c r="AY32" s="5">
        <v>-19928.123353414259</v>
      </c>
      <c r="AZ32" s="5">
        <v>-21001.27816227495</v>
      </c>
      <c r="BA32" s="5">
        <v>-22128.296019977643</v>
      </c>
      <c r="BB32" s="5">
        <v>-23203.380492847315</v>
      </c>
      <c r="BC32" s="5">
        <v>-24211.147797270522</v>
      </c>
      <c r="BD32" s="5">
        <v>-24722.319360779071</v>
      </c>
      <c r="BE32" s="5">
        <v>-24861.615276225821</v>
      </c>
      <c r="BF32" s="5">
        <v>-24752.275837493042</v>
      </c>
      <c r="BG32" s="5">
        <v>-24410.293872374998</v>
      </c>
      <c r="BH32" s="5">
        <v>-24643.879415477513</v>
      </c>
      <c r="BI32" s="5">
        <v>-24867.239627584739</v>
      </c>
      <c r="BJ32" s="5">
        <v>-25065.347951400414</v>
      </c>
      <c r="BK32" s="5">
        <v>-25154.060714946288</v>
      </c>
      <c r="BL32" s="5">
        <v>-25376.656176604447</v>
      </c>
    </row>
    <row r="33" spans="1:64" s="5" customFormat="1" x14ac:dyDescent="0.35">
      <c r="C33" s="5" t="s">
        <v>134</v>
      </c>
      <c r="AJ33" s="5">
        <v>-860.48962085880612</v>
      </c>
      <c r="AK33" s="5">
        <v>-523.25214665853127</v>
      </c>
      <c r="AL33" s="5">
        <v>-136.52921136110763</v>
      </c>
      <c r="AM33" s="5">
        <v>274.46927330398012</v>
      </c>
      <c r="AN33" s="5">
        <v>699.1068089367036</v>
      </c>
      <c r="AO33" s="5">
        <v>906.93291549525202</v>
      </c>
      <c r="AP33" s="5">
        <v>1000.1277736226857</v>
      </c>
      <c r="AQ33" s="5">
        <v>1089.3214200021721</v>
      </c>
      <c r="AR33" s="5">
        <v>1166.1288996100266</v>
      </c>
      <c r="AS33" s="5">
        <v>1259.0822098722765</v>
      </c>
      <c r="AT33" s="5">
        <v>1434.9056096717577</v>
      </c>
      <c r="AU33" s="5">
        <v>1614.0894003823814</v>
      </c>
      <c r="AV33" s="5">
        <v>1674.4319703036927</v>
      </c>
      <c r="AW33" s="5">
        <v>1584.7128811390066</v>
      </c>
      <c r="AX33" s="5">
        <v>1576.7221997939923</v>
      </c>
      <c r="AY33" s="5">
        <v>756.59530708464445</v>
      </c>
      <c r="AZ33" s="5">
        <v>760.11759691042607</v>
      </c>
      <c r="BA33" s="5">
        <v>788.12499460650361</v>
      </c>
      <c r="BB33" s="5">
        <v>783.09637662384193</v>
      </c>
      <c r="BC33" s="5">
        <v>733.95400296935986</v>
      </c>
      <c r="BD33" s="5">
        <v>626.44862475455375</v>
      </c>
      <c r="BE33" s="5">
        <v>626.6184277753382</v>
      </c>
      <c r="BF33" s="5">
        <v>635.4736601608929</v>
      </c>
      <c r="BG33" s="5">
        <v>639.71179538308934</v>
      </c>
      <c r="BH33" s="5">
        <v>634.72278410998479</v>
      </c>
      <c r="BI33" s="5">
        <v>634.76493680601561</v>
      </c>
      <c r="BJ33" s="5">
        <v>641.78766249114415</v>
      </c>
      <c r="BK33" s="5">
        <v>643.60645578760887</v>
      </c>
      <c r="BL33" s="5">
        <v>644.33505374386732</v>
      </c>
    </row>
    <row r="34" spans="1:64" x14ac:dyDescent="0.35">
      <c r="C34" t="s">
        <v>202</v>
      </c>
      <c r="AJ34" s="32">
        <f>AJ32+AJ33</f>
        <v>-6158.2627444233731</v>
      </c>
      <c r="AK34" s="32">
        <f t="shared" ref="AK34:BL34" si="0">AK32+AK33</f>
        <v>-5945.255575406456</v>
      </c>
      <c r="AL34" s="32">
        <f t="shared" si="0"/>
        <v>-5828.0718917514505</v>
      </c>
      <c r="AM34" s="32">
        <f t="shared" si="0"/>
        <v>-6501.7193448547678</v>
      </c>
      <c r="AN34" s="32">
        <f t="shared" si="0"/>
        <v>-7772.1466438324751</v>
      </c>
      <c r="AO34" s="32">
        <f t="shared" si="0"/>
        <v>-9247.6451246572178</v>
      </c>
      <c r="AP34" s="32">
        <f t="shared" si="0"/>
        <v>-11105.090045810215</v>
      </c>
      <c r="AQ34" s="32">
        <f t="shared" si="0"/>
        <v>-12139.872895882418</v>
      </c>
      <c r="AR34" s="32">
        <f t="shared" si="0"/>
        <v>-12564.420730209811</v>
      </c>
      <c r="AS34" s="32">
        <f t="shared" si="0"/>
        <v>-13396.545103778648</v>
      </c>
      <c r="AT34" s="32">
        <f t="shared" si="0"/>
        <v>-14059.423836219863</v>
      </c>
      <c r="AU34" s="32">
        <f t="shared" si="0"/>
        <v>-14786.973476131952</v>
      </c>
      <c r="AV34" s="32">
        <f t="shared" si="0"/>
        <v>-15431.172337977376</v>
      </c>
      <c r="AW34" s="32">
        <f t="shared" si="0"/>
        <v>-16136.067149584611</v>
      </c>
      <c r="AX34" s="32">
        <f t="shared" si="0"/>
        <v>-17155.204484539496</v>
      </c>
      <c r="AY34" s="32">
        <f t="shared" si="0"/>
        <v>-19171.528046329615</v>
      </c>
      <c r="AZ34" s="32">
        <f t="shared" si="0"/>
        <v>-20241.160565364524</v>
      </c>
      <c r="BA34" s="32">
        <f t="shared" si="0"/>
        <v>-21340.171025371139</v>
      </c>
      <c r="BB34" s="32">
        <f t="shared" si="0"/>
        <v>-22420.284116223473</v>
      </c>
      <c r="BC34" s="32">
        <f t="shared" si="0"/>
        <v>-23477.193794301162</v>
      </c>
      <c r="BD34" s="32">
        <f t="shared" si="0"/>
        <v>-24095.870736024517</v>
      </c>
      <c r="BE34" s="32">
        <f t="shared" si="0"/>
        <v>-24234.996848450483</v>
      </c>
      <c r="BF34" s="32">
        <f t="shared" si="0"/>
        <v>-24116.802177332149</v>
      </c>
      <c r="BG34" s="32">
        <f t="shared" si="0"/>
        <v>-23770.582076991908</v>
      </c>
      <c r="BH34" s="32">
        <f t="shared" si="0"/>
        <v>-24009.156631367528</v>
      </c>
      <c r="BI34" s="32">
        <f t="shared" si="0"/>
        <v>-24232.474690778723</v>
      </c>
      <c r="BJ34" s="32">
        <f t="shared" si="0"/>
        <v>-24423.56028890927</v>
      </c>
      <c r="BK34" s="32">
        <f t="shared" si="0"/>
        <v>-24510.45425915868</v>
      </c>
      <c r="BL34" s="32">
        <f t="shared" si="0"/>
        <v>-24732.32112286058</v>
      </c>
    </row>
    <row r="35" spans="1:64" x14ac:dyDescent="0.35">
      <c r="C35" t="s">
        <v>203</v>
      </c>
      <c r="AJ35" s="3">
        <f>AJ33/AJ34</f>
        <v>0.13972928024839865</v>
      </c>
      <c r="AK35" s="3">
        <f t="shared" ref="AK35:BL35" si="1">AK33/AK34</f>
        <v>8.8011716236901794E-2</v>
      </c>
      <c r="AL35" s="3">
        <f t="shared" si="1"/>
        <v>2.3426137133678682E-2</v>
      </c>
      <c r="AM35" s="3">
        <f t="shared" si="1"/>
        <v>-4.2214875596127577E-2</v>
      </c>
      <c r="AN35" s="3">
        <f t="shared" si="1"/>
        <v>-8.9950285419726897E-2</v>
      </c>
      <c r="AO35" s="3">
        <f t="shared" si="1"/>
        <v>-9.807176889574569E-2</v>
      </c>
      <c r="AP35" s="3">
        <f t="shared" si="1"/>
        <v>-9.0060302932889677E-2</v>
      </c>
      <c r="AQ35" s="3">
        <f t="shared" si="1"/>
        <v>-8.9730875219595288E-2</v>
      </c>
      <c r="AR35" s="3">
        <f t="shared" si="1"/>
        <v>-9.281199067189734E-2</v>
      </c>
      <c r="AS35" s="3">
        <f t="shared" si="1"/>
        <v>-9.3985591069830246E-2</v>
      </c>
      <c r="AT35" s="3">
        <f t="shared" si="1"/>
        <v>-0.1020600578222243</v>
      </c>
      <c r="AU35" s="3">
        <f t="shared" si="1"/>
        <v>-0.1091561706651957</v>
      </c>
      <c r="AV35" s="3">
        <f t="shared" si="1"/>
        <v>-0.10850970578449044</v>
      </c>
      <c r="AW35" s="3">
        <f t="shared" si="1"/>
        <v>-9.8209363313154149E-2</v>
      </c>
      <c r="AX35" s="3">
        <f t="shared" si="1"/>
        <v>-9.1909262942039299E-2</v>
      </c>
      <c r="AY35" s="3">
        <f t="shared" si="1"/>
        <v>-3.9464528088541929E-2</v>
      </c>
      <c r="AZ35" s="3">
        <f t="shared" si="1"/>
        <v>-3.7553063938986497E-2</v>
      </c>
      <c r="BA35" s="3">
        <f t="shared" si="1"/>
        <v>-3.6931521948418727E-2</v>
      </c>
      <c r="BB35" s="3">
        <f t="shared" si="1"/>
        <v>-3.4928030910062732E-2</v>
      </c>
      <c r="BC35" s="3">
        <f t="shared" si="1"/>
        <v>-3.1262424691809607E-2</v>
      </c>
      <c r="BD35" s="3">
        <f t="shared" si="1"/>
        <v>-2.5998173364118447E-2</v>
      </c>
      <c r="BE35" s="3">
        <f t="shared" si="1"/>
        <v>-2.5855931886180641E-2</v>
      </c>
      <c r="BF35" s="3">
        <f t="shared" si="1"/>
        <v>-2.6349830938953711E-2</v>
      </c>
      <c r="BG35" s="3">
        <f t="shared" si="1"/>
        <v>-2.6911911256993621E-2</v>
      </c>
      <c r="BH35" s="3">
        <f t="shared" si="1"/>
        <v>-2.6436696376112227E-2</v>
      </c>
      <c r="BI35" s="3">
        <f t="shared" si="1"/>
        <v>-2.6194804488852523E-2</v>
      </c>
      <c r="BJ35" s="3">
        <f t="shared" si="1"/>
        <v>-2.62773999736058E-2</v>
      </c>
      <c r="BK35" s="3">
        <f t="shared" si="1"/>
        <v>-2.6258446660453721E-2</v>
      </c>
      <c r="BL35" s="3">
        <f t="shared" si="1"/>
        <v>-2.6052348687495227E-2</v>
      </c>
    </row>
    <row r="36" spans="1:64" s="39" customFormat="1" x14ac:dyDescent="0.35">
      <c r="A36" s="38" t="s">
        <v>204</v>
      </c>
    </row>
    <row r="38" spans="1:64" x14ac:dyDescent="0.35">
      <c r="B38" s="1" t="s">
        <v>205</v>
      </c>
    </row>
    <row r="39" spans="1:64" x14ac:dyDescent="0.35">
      <c r="B39"/>
      <c r="C39" t="s">
        <v>188</v>
      </c>
      <c r="D39" s="32">
        <v>8126.1945618773643</v>
      </c>
      <c r="E39" s="32">
        <v>8106.661121873205</v>
      </c>
      <c r="F39" s="32">
        <v>8469.9964545997555</v>
      </c>
      <c r="G39" s="32">
        <v>8922.6885824844103</v>
      </c>
      <c r="H39" s="32">
        <v>9583.8002483498967</v>
      </c>
      <c r="I39" s="32">
        <v>10247.564720783123</v>
      </c>
      <c r="J39" s="32">
        <v>10378.724398951666</v>
      </c>
      <c r="K39" s="32">
        <v>10605.333888617772</v>
      </c>
      <c r="L39" s="32">
        <v>10810.458340752642</v>
      </c>
      <c r="M39" s="32">
        <v>11096.605458727845</v>
      </c>
      <c r="N39" s="32">
        <v>11648.310343290637</v>
      </c>
      <c r="O39" s="32">
        <v>11705.871223077451</v>
      </c>
      <c r="P39" s="32">
        <v>12162.021231248526</v>
      </c>
      <c r="Q39" s="32">
        <v>12697.797549640931</v>
      </c>
      <c r="R39" s="32">
        <v>12992.367162928625</v>
      </c>
      <c r="S39" s="32">
        <v>13063.440862686894</v>
      </c>
      <c r="T39" s="32">
        <v>13182.198504199005</v>
      </c>
      <c r="U39" s="32">
        <v>13284.806809600492</v>
      </c>
      <c r="V39" s="32">
        <v>13293.959706338926</v>
      </c>
      <c r="W39" s="32">
        <v>13101.086214174264</v>
      </c>
      <c r="X39" s="32">
        <v>13348.937535477718</v>
      </c>
      <c r="Y39" s="32">
        <v>13331.827621000642</v>
      </c>
      <c r="Z39" s="32">
        <v>13006.487718579234</v>
      </c>
      <c r="AA39" s="32">
        <v>13081.360160828839</v>
      </c>
      <c r="AB39" s="32">
        <v>13339.646613066796</v>
      </c>
      <c r="AC39" s="32">
        <v>13805.025309105527</v>
      </c>
      <c r="AD39" s="32">
        <v>13906.520809611657</v>
      </c>
      <c r="AE39" s="32">
        <v>14803.702978914342</v>
      </c>
      <c r="AF39" s="32">
        <v>15126.124771992951</v>
      </c>
      <c r="AG39" s="32">
        <v>14654.704680232724</v>
      </c>
      <c r="AH39" s="32">
        <v>13175.66592208733</v>
      </c>
      <c r="AI39" s="32">
        <v>14394.791851582964</v>
      </c>
      <c r="AJ39" s="32">
        <v>15140.265259996118</v>
      </c>
      <c r="AK39" s="32">
        <v>15362.634241297063</v>
      </c>
      <c r="AL39" s="32">
        <v>15411.853216975163</v>
      </c>
      <c r="AM39" s="32">
        <v>15439.957772643442</v>
      </c>
      <c r="AN39" s="32">
        <v>15464.39986047041</v>
      </c>
      <c r="AO39" s="32">
        <v>15459.410553025085</v>
      </c>
      <c r="AP39" s="32">
        <v>15408.544359356772</v>
      </c>
      <c r="AQ39" s="32">
        <v>15308.574350898249</v>
      </c>
      <c r="AR39" s="32">
        <v>15204.131988598185</v>
      </c>
      <c r="AS39" s="32">
        <v>15052.30748579924</v>
      </c>
      <c r="AT39" s="32">
        <v>14859.334651530886</v>
      </c>
      <c r="AU39" s="32">
        <v>14608.520120619491</v>
      </c>
      <c r="AV39" s="32">
        <v>14307.818800629859</v>
      </c>
      <c r="AW39" s="32">
        <v>13979.681295824417</v>
      </c>
      <c r="AX39" s="32">
        <v>13570.962086277796</v>
      </c>
      <c r="AY39" s="32">
        <v>13193.364585992662</v>
      </c>
      <c r="AZ39" s="32">
        <v>12727.103228419008</v>
      </c>
      <c r="BA39" s="32">
        <v>12267.954843576324</v>
      </c>
      <c r="BB39" s="32">
        <v>11760.201738205411</v>
      </c>
      <c r="BC39" s="32">
        <v>11213.048249656971</v>
      </c>
      <c r="BD39" s="32">
        <v>10681.689522277311</v>
      </c>
      <c r="BE39" s="32">
        <v>10091.440324232382</v>
      </c>
      <c r="BF39" s="32">
        <v>9584.5311393793017</v>
      </c>
      <c r="BG39" s="32">
        <v>9020.1523329331922</v>
      </c>
      <c r="BH39" s="32">
        <v>8390.0096776042246</v>
      </c>
      <c r="BI39" s="32">
        <v>7779.4250243551405</v>
      </c>
      <c r="BJ39" s="32">
        <v>7186.1050085689149</v>
      </c>
      <c r="BK39" s="32">
        <v>6538.4981434189594</v>
      </c>
      <c r="BL39" s="32">
        <v>6012.4657141952848</v>
      </c>
    </row>
    <row r="40" spans="1:64" x14ac:dyDescent="0.35">
      <c r="C40" t="s">
        <v>189</v>
      </c>
      <c r="D40" s="32">
        <v>15751.457119942432</v>
      </c>
      <c r="E40" s="32">
        <v>16260.763635184612</v>
      </c>
      <c r="F40" s="32">
        <v>17758.189935011564</v>
      </c>
      <c r="G40" s="32">
        <v>16839.732611162875</v>
      </c>
      <c r="H40" s="32">
        <v>16497.457587552446</v>
      </c>
      <c r="I40" s="32">
        <v>15618.085712577753</v>
      </c>
      <c r="J40" s="32">
        <v>17083.054848425389</v>
      </c>
      <c r="K40" s="32">
        <v>18888.501120561912</v>
      </c>
      <c r="L40" s="32">
        <v>17101.107279390875</v>
      </c>
      <c r="M40" s="32">
        <v>18186.151145039094</v>
      </c>
      <c r="N40" s="32">
        <v>18370.06129168706</v>
      </c>
      <c r="O40" s="32">
        <v>20332.557983234976</v>
      </c>
      <c r="P40" s="32">
        <v>19826.561624475569</v>
      </c>
      <c r="Q40" s="32">
        <v>20715.372328325397</v>
      </c>
      <c r="R40" s="32">
        <v>20063.148999961377</v>
      </c>
      <c r="S40" s="32">
        <v>21585.171872315932</v>
      </c>
      <c r="T40" s="32">
        <v>21864.599123014294</v>
      </c>
      <c r="U40" s="32">
        <v>20354.048014398646</v>
      </c>
      <c r="V40" s="32">
        <v>21480.730358969609</v>
      </c>
      <c r="W40" s="32">
        <v>18989.974763630606</v>
      </c>
      <c r="X40" s="32">
        <v>18897.274228602691</v>
      </c>
      <c r="Y40" s="32">
        <v>18238.205068148098</v>
      </c>
      <c r="Z40" s="32">
        <v>19945.036100062269</v>
      </c>
      <c r="AA40" s="32">
        <v>19006.798121776083</v>
      </c>
      <c r="AB40" s="32">
        <v>18818.737812995834</v>
      </c>
      <c r="AC40" s="32">
        <v>18599.558463781785</v>
      </c>
      <c r="AD40" s="32">
        <v>17094.00307321069</v>
      </c>
      <c r="AE40" s="32">
        <v>17648.574192506356</v>
      </c>
      <c r="AF40" s="32">
        <v>17397.469601782203</v>
      </c>
      <c r="AG40" s="32">
        <v>19264.921922553574</v>
      </c>
      <c r="AH40" s="32">
        <v>18284.708741332448</v>
      </c>
      <c r="AI40" s="32">
        <v>18599.735859371383</v>
      </c>
      <c r="AJ40" s="32">
        <v>17542.666010720466</v>
      </c>
      <c r="AK40" s="32">
        <v>16939.579526678874</v>
      </c>
      <c r="AL40" s="32">
        <v>16375.984751507589</v>
      </c>
      <c r="AM40" s="32">
        <v>15998.840706560077</v>
      </c>
      <c r="AN40" s="32">
        <v>15857.999737150982</v>
      </c>
      <c r="AO40" s="32">
        <v>15759.566293226779</v>
      </c>
      <c r="AP40" s="32">
        <v>15691.866314950455</v>
      </c>
      <c r="AQ40" s="32">
        <v>15874.326967947667</v>
      </c>
      <c r="AR40" s="32">
        <v>15270.121196893801</v>
      </c>
      <c r="AS40" s="32">
        <v>15456.492134845294</v>
      </c>
      <c r="AT40" s="32">
        <v>15015.026042177145</v>
      </c>
      <c r="AU40" s="32">
        <v>15018.433926891523</v>
      </c>
      <c r="AV40" s="32">
        <v>15014.385284339</v>
      </c>
      <c r="AW40" s="32">
        <v>15004.819333405767</v>
      </c>
      <c r="AX40" s="32">
        <v>14995.964296508435</v>
      </c>
      <c r="AY40" s="32">
        <v>14981.754240673257</v>
      </c>
      <c r="AZ40" s="32">
        <v>14960.226904248746</v>
      </c>
      <c r="BA40" s="32">
        <v>14928.604021463965</v>
      </c>
      <c r="BB40" s="32">
        <v>14123.108945824009</v>
      </c>
      <c r="BC40" s="32">
        <v>14087.045488999875</v>
      </c>
      <c r="BD40" s="32">
        <v>14033.608906521829</v>
      </c>
      <c r="BE40" s="32">
        <v>13963.977549803471</v>
      </c>
      <c r="BF40" s="32">
        <v>13883.553478014559</v>
      </c>
      <c r="BG40" s="32">
        <v>13789.38103276527</v>
      </c>
      <c r="BH40" s="32">
        <v>13669.798638698718</v>
      </c>
      <c r="BI40" s="32">
        <v>13523.130955677607</v>
      </c>
      <c r="BJ40" s="32">
        <v>13355.196480335764</v>
      </c>
      <c r="BK40" s="32">
        <v>13188.598605197616</v>
      </c>
      <c r="BL40" s="32">
        <v>13027.937191342417</v>
      </c>
    </row>
    <row r="41" spans="1:64" x14ac:dyDescent="0.35">
      <c r="C41" t="s">
        <v>41</v>
      </c>
      <c r="D41" s="32">
        <v>3579.9241346438948</v>
      </c>
      <c r="E41" s="32">
        <v>3728.6111222987829</v>
      </c>
      <c r="F41" s="32">
        <v>3374.0926125681876</v>
      </c>
      <c r="G41" s="32">
        <v>3213.4642440055904</v>
      </c>
      <c r="H41" s="32">
        <v>3082.8039477327038</v>
      </c>
      <c r="I41" s="32">
        <v>3174.4319661035479</v>
      </c>
      <c r="J41" s="32">
        <v>3365.5491486420492</v>
      </c>
      <c r="K41" s="32">
        <v>3253.3568142669214</v>
      </c>
      <c r="L41" s="32">
        <v>3237.0127278299415</v>
      </c>
      <c r="M41" s="32">
        <v>3412.9403172224529</v>
      </c>
      <c r="N41" s="32">
        <v>3443.2215068220407</v>
      </c>
      <c r="O41" s="32">
        <v>3558.4810172775565</v>
      </c>
      <c r="P41" s="32">
        <v>3680.4558967406147</v>
      </c>
      <c r="Q41" s="32">
        <v>3916.5350179642096</v>
      </c>
      <c r="R41" s="32">
        <v>3952.997270519284</v>
      </c>
      <c r="S41" s="32">
        <v>4061.6484302342874</v>
      </c>
      <c r="T41" s="32">
        <v>4171.1765319764372</v>
      </c>
      <c r="U41" s="32">
        <v>4431.1900620868064</v>
      </c>
      <c r="V41" s="32">
        <v>4322.4399267639474</v>
      </c>
      <c r="W41" s="32">
        <v>4274.5913164439062</v>
      </c>
      <c r="X41" s="32">
        <v>4591.1325441158442</v>
      </c>
      <c r="Y41" s="32">
        <v>4627.3865476130059</v>
      </c>
      <c r="Z41" s="32">
        <v>4703.1898738720029</v>
      </c>
      <c r="AA41" s="32">
        <v>4836.3461555290796</v>
      </c>
      <c r="AB41" s="32">
        <v>5006.9811906990517</v>
      </c>
      <c r="AC41" s="32">
        <v>5137.3234307296034</v>
      </c>
      <c r="AD41" s="32">
        <v>4883.0727657886491</v>
      </c>
      <c r="AE41" s="32">
        <v>4928.4399302853481</v>
      </c>
      <c r="AF41" s="32">
        <v>4825.0737740304521</v>
      </c>
      <c r="AG41" s="32">
        <v>4861.0458918188215</v>
      </c>
      <c r="AH41" s="32">
        <v>4618.3537995997167</v>
      </c>
      <c r="AI41" s="32">
        <v>4833.9717039196803</v>
      </c>
      <c r="AJ41" s="32">
        <v>4766.3422517844256</v>
      </c>
      <c r="AK41" s="32">
        <v>4782.1770594119616</v>
      </c>
      <c r="AL41" s="32">
        <v>4819.942125109972</v>
      </c>
      <c r="AM41" s="32">
        <v>4790.9847798226383</v>
      </c>
      <c r="AN41" s="32">
        <v>4782.2276651172815</v>
      </c>
      <c r="AO41" s="32">
        <v>4739.5722793136283</v>
      </c>
      <c r="AP41" s="32">
        <v>4702.3433479037976</v>
      </c>
      <c r="AQ41" s="32">
        <v>4685.0133898624972</v>
      </c>
      <c r="AR41" s="32">
        <v>4614.5103710100302</v>
      </c>
      <c r="AS41" s="32">
        <v>4576.0759476789881</v>
      </c>
      <c r="AT41" s="32">
        <v>4539.4770698062439</v>
      </c>
      <c r="AU41" s="32">
        <v>4491.8652480055471</v>
      </c>
      <c r="AV41" s="32">
        <v>4452.1670520196722</v>
      </c>
      <c r="AW41" s="32">
        <v>4428.2235037360906</v>
      </c>
      <c r="AX41" s="32">
        <v>4395.3009637344021</v>
      </c>
      <c r="AY41" s="32">
        <v>4373.6806029388508</v>
      </c>
      <c r="AZ41" s="32">
        <v>4354.1283069166175</v>
      </c>
      <c r="BA41" s="32">
        <v>4336.7401322813221</v>
      </c>
      <c r="BB41" s="32">
        <v>4278.2344695560978</v>
      </c>
      <c r="BC41" s="32">
        <v>4267.0751769047974</v>
      </c>
      <c r="BD41" s="32">
        <v>4258.8189622217687</v>
      </c>
      <c r="BE41" s="32">
        <v>4256.0251529285324</v>
      </c>
      <c r="BF41" s="32">
        <v>4256.3582799671167</v>
      </c>
      <c r="BG41" s="32">
        <v>4259.4807481020116</v>
      </c>
      <c r="BH41" s="32">
        <v>4266.1922988321176</v>
      </c>
      <c r="BI41" s="32">
        <v>4276.6207448288624</v>
      </c>
      <c r="BJ41" s="32">
        <v>4289.3102683232992</v>
      </c>
      <c r="BK41" s="32">
        <v>4303.2194536172829</v>
      </c>
      <c r="BL41" s="32">
        <v>4320.2167808939503</v>
      </c>
    </row>
    <row r="42" spans="1:64" x14ac:dyDescent="0.35">
      <c r="C42" t="s">
        <v>22</v>
      </c>
      <c r="D42" s="32">
        <v>33792.883792640801</v>
      </c>
      <c r="E42" s="32">
        <v>34022.507497623636</v>
      </c>
      <c r="F42" s="32">
        <v>33570.976096954386</v>
      </c>
      <c r="G42" s="32">
        <v>33956.386055454059</v>
      </c>
      <c r="H42" s="32">
        <v>35133.357696970474</v>
      </c>
      <c r="I42" s="32">
        <v>35734.697114699826</v>
      </c>
      <c r="J42" s="32">
        <v>36038.256988676847</v>
      </c>
      <c r="K42" s="32">
        <v>36893.059160199904</v>
      </c>
      <c r="L42" s="32">
        <v>36287.57602729107</v>
      </c>
      <c r="M42" s="32">
        <v>36468.192719340499</v>
      </c>
      <c r="N42" s="32">
        <v>37614.876691713245</v>
      </c>
      <c r="O42" s="32">
        <v>38445.135385291032</v>
      </c>
      <c r="P42" s="32">
        <v>38452.902957963292</v>
      </c>
      <c r="Q42" s="32">
        <v>39075.42676975514</v>
      </c>
      <c r="R42" s="32">
        <v>39219.068962221187</v>
      </c>
      <c r="S42" s="32">
        <v>39571.899890630833</v>
      </c>
      <c r="T42" s="32">
        <v>39427.397347479411</v>
      </c>
      <c r="U42" s="32">
        <v>38508.095057663355</v>
      </c>
      <c r="V42" s="32">
        <v>37332.251308305429</v>
      </c>
      <c r="W42" s="32">
        <v>37535.958522506568</v>
      </c>
      <c r="X42" s="32">
        <v>37711.495238636984</v>
      </c>
      <c r="Y42" s="32">
        <v>38362.26954703615</v>
      </c>
      <c r="Z42" s="32">
        <v>39203.363521824562</v>
      </c>
      <c r="AA42" s="32">
        <v>39306.762181725338</v>
      </c>
      <c r="AB42" s="32">
        <v>39922.7718055964</v>
      </c>
      <c r="AC42" s="32">
        <v>39415.789030060478</v>
      </c>
      <c r="AD42" s="32">
        <v>39042.960218724664</v>
      </c>
      <c r="AE42" s="32">
        <v>39082.390698957628</v>
      </c>
      <c r="AF42" s="32">
        <v>39368.286753731292</v>
      </c>
      <c r="AG42" s="32">
        <v>39518.641021140895</v>
      </c>
      <c r="AH42" s="32">
        <v>39425.54384512121</v>
      </c>
      <c r="AI42" s="32">
        <v>38629.75065976211</v>
      </c>
      <c r="AJ42" s="32">
        <v>38324.800005369769</v>
      </c>
      <c r="AK42" s="32">
        <v>38052.719424996598</v>
      </c>
      <c r="AL42" s="32">
        <v>37782.580392247022</v>
      </c>
      <c r="AM42" s="32">
        <v>37525.900775084301</v>
      </c>
      <c r="AN42" s="32">
        <v>37357.753250134716</v>
      </c>
      <c r="AO42" s="32">
        <v>37214.499530972855</v>
      </c>
      <c r="AP42" s="32">
        <v>37064.774631999768</v>
      </c>
      <c r="AQ42" s="32">
        <v>36928.845195703238</v>
      </c>
      <c r="AR42" s="32">
        <v>36795.047519691412</v>
      </c>
      <c r="AS42" s="32">
        <v>36666.191408321829</v>
      </c>
      <c r="AT42" s="32">
        <v>36516.8920962665</v>
      </c>
      <c r="AU42" s="32">
        <v>36378.013149917446</v>
      </c>
      <c r="AV42" s="32">
        <v>36231.838882763332</v>
      </c>
      <c r="AW42" s="32">
        <v>36104.956818667255</v>
      </c>
      <c r="AX42" s="32">
        <v>36074.638082217542</v>
      </c>
      <c r="AY42" s="32">
        <v>36057.304802055005</v>
      </c>
      <c r="AZ42" s="32">
        <v>36056.955100066771</v>
      </c>
      <c r="BA42" s="32">
        <v>36053.266317609101</v>
      </c>
      <c r="BB42" s="32">
        <v>36043.379779420284</v>
      </c>
      <c r="BC42" s="32">
        <v>36010.142482322779</v>
      </c>
      <c r="BD42" s="32">
        <v>35987.385461287304</v>
      </c>
      <c r="BE42" s="32">
        <v>35963.002029485724</v>
      </c>
      <c r="BF42" s="32">
        <v>35938.965362957912</v>
      </c>
      <c r="BG42" s="32">
        <v>35955.41117517394</v>
      </c>
      <c r="BH42" s="32">
        <v>35945.3360173603</v>
      </c>
      <c r="BI42" s="32">
        <v>35915.889709316703</v>
      </c>
      <c r="BJ42" s="32">
        <v>35878.544679365019</v>
      </c>
      <c r="BK42" s="32">
        <v>35851.93626583583</v>
      </c>
      <c r="BL42" s="32">
        <v>35834.37876370272</v>
      </c>
    </row>
    <row r="43" spans="1:64" x14ac:dyDescent="0.35">
      <c r="C43" t="s">
        <v>23</v>
      </c>
      <c r="D43" s="32">
        <v>3943.1148437609995</v>
      </c>
      <c r="E43" s="32">
        <v>4053.4902087141354</v>
      </c>
      <c r="F43" s="32">
        <v>4155.4982918697824</v>
      </c>
      <c r="G43" s="32">
        <v>4258.3736048143737</v>
      </c>
      <c r="H43" s="32">
        <v>4142.4834030932479</v>
      </c>
      <c r="I43" s="32">
        <v>4234.5138945425988</v>
      </c>
      <c r="J43" s="32">
        <v>4322.4105568753039</v>
      </c>
      <c r="K43" s="32">
        <v>4383.88162653171</v>
      </c>
      <c r="L43" s="32">
        <v>4382.3146435590279</v>
      </c>
      <c r="M43" s="32">
        <v>4408.2468195561178</v>
      </c>
      <c r="N43" s="32">
        <v>4434.5633502413211</v>
      </c>
      <c r="O43" s="32">
        <v>4457.6683229025284</v>
      </c>
      <c r="P43" s="32">
        <v>4468.9149716222946</v>
      </c>
      <c r="Q43" s="32">
        <v>4375.0104850215394</v>
      </c>
      <c r="R43" s="32">
        <v>4388.9774342791543</v>
      </c>
      <c r="S43" s="32">
        <v>4378.2979179897802</v>
      </c>
      <c r="T43" s="32">
        <v>4181.7615086289525</v>
      </c>
      <c r="U43" s="32">
        <v>4143.9617197080097</v>
      </c>
      <c r="V43" s="32">
        <v>4059.4482204096253</v>
      </c>
      <c r="W43" s="32">
        <v>3927.6535894400477</v>
      </c>
      <c r="X43" s="32">
        <v>3871.670532727172</v>
      </c>
      <c r="Y43" s="32">
        <v>3724.6524301970594</v>
      </c>
      <c r="Z43" s="32">
        <v>3618.6264952923921</v>
      </c>
      <c r="AA43" s="32">
        <v>3569.6605244596872</v>
      </c>
      <c r="AB43" s="32">
        <v>3525.876975920713</v>
      </c>
      <c r="AC43" s="32">
        <v>3487.8272949084953</v>
      </c>
      <c r="AD43" s="32">
        <v>3460.678767352797</v>
      </c>
      <c r="AE43" s="32">
        <v>3422.2815565735123</v>
      </c>
      <c r="AF43" s="32">
        <v>3358.3579591975863</v>
      </c>
      <c r="AG43" s="32">
        <v>3312.6998150132395</v>
      </c>
      <c r="AH43" s="32">
        <v>3268.8701197571045</v>
      </c>
      <c r="AI43" s="32">
        <v>3261.5672554341481</v>
      </c>
      <c r="AJ43" s="32">
        <v>3234.7619412004233</v>
      </c>
      <c r="AK43" s="32">
        <v>3216.0413046366002</v>
      </c>
      <c r="AL43" s="32">
        <v>3202.6915772824796</v>
      </c>
      <c r="AM43" s="32">
        <v>3192.2455105189688</v>
      </c>
      <c r="AN43" s="32">
        <v>3182.7385204809634</v>
      </c>
      <c r="AO43" s="32">
        <v>3174.5928209350127</v>
      </c>
      <c r="AP43" s="32">
        <v>3167.6717800569158</v>
      </c>
      <c r="AQ43" s="32">
        <v>3161.8949518744184</v>
      </c>
      <c r="AR43" s="32">
        <v>3156.9626944940683</v>
      </c>
      <c r="AS43" s="32">
        <v>3152.4579831245214</v>
      </c>
      <c r="AT43" s="32">
        <v>3148.5738724375619</v>
      </c>
      <c r="AU43" s="32">
        <v>3145.3331848794301</v>
      </c>
      <c r="AV43" s="32">
        <v>3142.5882713736146</v>
      </c>
      <c r="AW43" s="32">
        <v>3140.598522949535</v>
      </c>
      <c r="AX43" s="32">
        <v>3139.0529169578531</v>
      </c>
      <c r="AY43" s="32">
        <v>3138.0289065151392</v>
      </c>
      <c r="AZ43" s="32">
        <v>3137.595970952741</v>
      </c>
      <c r="BA43" s="32">
        <v>3137.561639432543</v>
      </c>
      <c r="BB43" s="32">
        <v>3138.2630134245242</v>
      </c>
      <c r="BC43" s="32">
        <v>3139.5127466740128</v>
      </c>
      <c r="BD43" s="32">
        <v>3141.2313139015687</v>
      </c>
      <c r="BE43" s="32">
        <v>3143.4577851406457</v>
      </c>
      <c r="BF43" s="32">
        <v>3146.0487759838365</v>
      </c>
      <c r="BG43" s="32">
        <v>3149.262095601242</v>
      </c>
      <c r="BH43" s="32">
        <v>3152.7707776119396</v>
      </c>
      <c r="BI43" s="32">
        <v>3156.2467103900954</v>
      </c>
      <c r="BJ43" s="32">
        <v>3159.9526910277586</v>
      </c>
      <c r="BK43" s="32">
        <v>3163.8797366004928</v>
      </c>
      <c r="BL43" s="32">
        <v>3168.274141686898</v>
      </c>
    </row>
    <row r="44" spans="1:64" x14ac:dyDescent="0.35">
      <c r="C44" t="s">
        <v>190</v>
      </c>
      <c r="D44" s="32">
        <v>819.97524190854506</v>
      </c>
      <c r="E44" s="32">
        <v>828.0017286520922</v>
      </c>
      <c r="F44" s="32">
        <v>1085.1429139052391</v>
      </c>
      <c r="G44" s="32">
        <v>1158.2562175334988</v>
      </c>
      <c r="H44" s="32">
        <v>1294.5870452996453</v>
      </c>
      <c r="I44" s="32">
        <v>850.67438092522423</v>
      </c>
      <c r="J44" s="32">
        <v>38.592400303365025</v>
      </c>
      <c r="K44" s="32">
        <v>-1334.618596753277</v>
      </c>
      <c r="L44" s="32">
        <v>-3370.636542665608</v>
      </c>
      <c r="M44" s="32">
        <v>-5881.7403115761681</v>
      </c>
      <c r="N44" s="32">
        <v>-5840.6097105786448</v>
      </c>
      <c r="O44" s="32">
        <v>-8163.9905713630314</v>
      </c>
      <c r="P44" s="32">
        <v>-10155.899721608017</v>
      </c>
      <c r="Q44" s="32">
        <v>-9621.5624173653105</v>
      </c>
      <c r="R44" s="32">
        <v>-6746.7760646318911</v>
      </c>
      <c r="S44" s="32">
        <v>-909.81870967752047</v>
      </c>
      <c r="T44" s="32">
        <v>1895.2611011701449</v>
      </c>
      <c r="U44" s="32">
        <v>7426.246871923152</v>
      </c>
      <c r="V44" s="32">
        <v>-13411.996596017498</v>
      </c>
      <c r="W44" s="32">
        <v>-11081.405660283805</v>
      </c>
      <c r="X44" s="32">
        <v>-10565.307562466487</v>
      </c>
      <c r="Y44" s="32">
        <v>-12067.105918642314</v>
      </c>
      <c r="Z44" s="32">
        <v>-10202.075435723556</v>
      </c>
      <c r="AA44" s="32">
        <v>-7134.8699893356697</v>
      </c>
      <c r="AB44" s="32">
        <v>-10405.283669066264</v>
      </c>
      <c r="AC44" s="32">
        <v>-11945.163408270339</v>
      </c>
      <c r="AD44" s="32">
        <v>-11969.110093922558</v>
      </c>
      <c r="AE44" s="32">
        <v>-12080.174618702731</v>
      </c>
      <c r="AF44" s="32">
        <v>-11085.271780708874</v>
      </c>
      <c r="AG44" s="32">
        <v>-7702.6878138183429</v>
      </c>
      <c r="AH44" s="32">
        <v>-8060.2252194320736</v>
      </c>
      <c r="AI44" s="32">
        <v>-7272.2101365835315</v>
      </c>
      <c r="AJ44" s="32">
        <v>-6158.2627444233731</v>
      </c>
      <c r="AK44" s="32">
        <v>-5945.255575406456</v>
      </c>
      <c r="AL44" s="32">
        <v>-5828.0718917514505</v>
      </c>
      <c r="AM44" s="32">
        <v>-6501.7193448547678</v>
      </c>
      <c r="AN44" s="32">
        <v>-7772.1466438324751</v>
      </c>
      <c r="AO44" s="32">
        <v>-9247.6451246572178</v>
      </c>
      <c r="AP44" s="32">
        <v>-11105.090045810215</v>
      </c>
      <c r="AQ44" s="32">
        <v>-12139.872895882418</v>
      </c>
      <c r="AR44" s="32">
        <v>-12564.420730209811</v>
      </c>
      <c r="AS44" s="32">
        <v>-13396.545103778648</v>
      </c>
      <c r="AT44" s="32">
        <v>-14059.423836219863</v>
      </c>
      <c r="AU44" s="32">
        <v>-14786.973476131952</v>
      </c>
      <c r="AV44" s="32">
        <v>-15431.172337977376</v>
      </c>
      <c r="AW44" s="32">
        <v>-16136.067149584611</v>
      </c>
      <c r="AX44" s="32">
        <v>-17155.204484539496</v>
      </c>
      <c r="AY44" s="32">
        <v>-19171.528046329615</v>
      </c>
      <c r="AZ44" s="32">
        <v>-20241.160565364524</v>
      </c>
      <c r="BA44" s="32">
        <v>-21340.171025371139</v>
      </c>
      <c r="BB44" s="32">
        <v>-22420.284116223473</v>
      </c>
      <c r="BC44" s="32">
        <v>-23477.193794301162</v>
      </c>
      <c r="BD44" s="32">
        <v>-24095.870736024517</v>
      </c>
      <c r="BE44" s="32">
        <v>-24234.996848450483</v>
      </c>
      <c r="BF44" s="32">
        <v>-24116.802177332149</v>
      </c>
      <c r="BG44" s="32">
        <v>-23770.582076991908</v>
      </c>
      <c r="BH44" s="32">
        <v>-24009.156631367528</v>
      </c>
      <c r="BI44" s="32">
        <v>-24232.474690778723</v>
      </c>
      <c r="BJ44" s="32">
        <v>-24423.56028890927</v>
      </c>
      <c r="BK44" s="32">
        <v>-24510.45425915868</v>
      </c>
      <c r="BL44" s="32">
        <v>-24732.32112286058</v>
      </c>
    </row>
    <row r="45" spans="1:64" x14ac:dyDescent="0.35">
      <c r="C45" t="s">
        <v>46</v>
      </c>
      <c r="D45" s="32">
        <v>66013.549694774047</v>
      </c>
      <c r="E45" s="32">
        <v>67000.03531434646</v>
      </c>
      <c r="F45" s="32">
        <v>68413.896304908907</v>
      </c>
      <c r="G45" s="32">
        <v>68348.901315454816</v>
      </c>
      <c r="H45" s="32">
        <v>69734.489928998417</v>
      </c>
      <c r="I45" s="32">
        <v>69859.967789632065</v>
      </c>
      <c r="J45" s="32">
        <v>71226.588341874609</v>
      </c>
      <c r="K45" s="32">
        <v>72689.514013424938</v>
      </c>
      <c r="L45" s="32">
        <v>68447.832476157957</v>
      </c>
      <c r="M45" s="32">
        <v>67690.396148309839</v>
      </c>
      <c r="N45" s="32">
        <v>69670.423473175659</v>
      </c>
      <c r="O45" s="32">
        <v>70335.72336042051</v>
      </c>
      <c r="P45" s="32">
        <v>68434.956960442272</v>
      </c>
      <c r="Q45" s="32">
        <v>71158.579733341918</v>
      </c>
      <c r="R45" s="32">
        <v>73869.783765277738</v>
      </c>
      <c r="S45" s="32">
        <v>81750.640264180198</v>
      </c>
      <c r="T45" s="32">
        <v>84722.394116468262</v>
      </c>
      <c r="U45" s="32">
        <v>88148.348535380457</v>
      </c>
      <c r="V45" s="32">
        <v>67076.832924770031</v>
      </c>
      <c r="W45" s="32">
        <v>66747.858745911566</v>
      </c>
      <c r="X45" s="32">
        <v>67855.202517093931</v>
      </c>
      <c r="Y45" s="32">
        <v>66217.235295352657</v>
      </c>
      <c r="Z45" s="32">
        <v>70274.628273906899</v>
      </c>
      <c r="AA45" s="32">
        <v>72666.057154983355</v>
      </c>
      <c r="AB45" s="32">
        <v>70208.730729212519</v>
      </c>
      <c r="AC45" s="32">
        <v>68500.360120315541</v>
      </c>
      <c r="AD45" s="32">
        <v>66418.125540765905</v>
      </c>
      <c r="AE45" s="32">
        <v>67805.214738534458</v>
      </c>
      <c r="AF45" s="32">
        <v>68990.041080025607</v>
      </c>
      <c r="AG45" s="32">
        <v>73909.325516940924</v>
      </c>
      <c r="AH45" s="32">
        <v>70712.917208465733</v>
      </c>
      <c r="AI45" s="32">
        <v>72447.60719348675</v>
      </c>
      <c r="AJ45" s="32">
        <v>72850.572724647849</v>
      </c>
      <c r="AK45" s="32">
        <v>72407.895981614653</v>
      </c>
      <c r="AL45" s="32">
        <v>71764.980171370771</v>
      </c>
      <c r="AM45" s="32">
        <v>70446.210199774665</v>
      </c>
      <c r="AN45" s="32">
        <v>68872.972389521878</v>
      </c>
      <c r="AO45" s="32">
        <v>67099.996352816146</v>
      </c>
      <c r="AP45" s="32">
        <v>64930.110388457499</v>
      </c>
      <c r="AQ45" s="32">
        <v>63818.781960403649</v>
      </c>
      <c r="AR45" s="32">
        <v>62476.353040477698</v>
      </c>
      <c r="AS45" s="32">
        <v>61506.979855991223</v>
      </c>
      <c r="AT45" s="32">
        <v>60019.879895998471</v>
      </c>
      <c r="AU45" s="32">
        <v>58855.192154181481</v>
      </c>
      <c r="AV45" s="32">
        <v>57717.625953148105</v>
      </c>
      <c r="AW45" s="32">
        <v>56522.212324998451</v>
      </c>
      <c r="AX45" s="32">
        <v>55020.713861156531</v>
      </c>
      <c r="AY45" s="32">
        <v>52572.605091845304</v>
      </c>
      <c r="AZ45" s="32">
        <v>50994.848945239355</v>
      </c>
      <c r="BA45" s="32">
        <v>49383.955928992131</v>
      </c>
      <c r="BB45" s="32">
        <v>46922.903830206851</v>
      </c>
      <c r="BC45" s="32">
        <v>45239.63035025727</v>
      </c>
      <c r="BD45" s="32">
        <v>44006.863430185273</v>
      </c>
      <c r="BE45" s="32">
        <v>43182.905993140273</v>
      </c>
      <c r="BF45" s="32">
        <v>42692.654858970578</v>
      </c>
      <c r="BG45" s="32">
        <v>42403.105307583741</v>
      </c>
      <c r="BH45" s="32">
        <v>41414.950778739774</v>
      </c>
      <c r="BI45" s="32">
        <v>40418.838453789678</v>
      </c>
      <c r="BJ45" s="32">
        <v>39445.548838711482</v>
      </c>
      <c r="BK45" s="32">
        <v>38535.677945511503</v>
      </c>
      <c r="BL45" s="32">
        <v>37630.951468960688</v>
      </c>
    </row>
    <row r="46" spans="1:64" x14ac:dyDescent="0.35">
      <c r="C46" t="s">
        <v>45</v>
      </c>
      <c r="D46" s="32">
        <v>65193.574452865498</v>
      </c>
      <c r="E46" s="32">
        <v>66172.033585694371</v>
      </c>
      <c r="F46" s="32">
        <v>67328.753391003673</v>
      </c>
      <c r="G46" s="32">
        <v>67190.645097921311</v>
      </c>
      <c r="H46" s="32">
        <v>68439.902883698771</v>
      </c>
      <c r="I46" s="32">
        <v>69009.293408706842</v>
      </c>
      <c r="J46" s="32">
        <v>71187.995941571251</v>
      </c>
      <c r="K46" s="32">
        <v>74024.132610178218</v>
      </c>
      <c r="L46" s="32">
        <v>71818.469018823569</v>
      </c>
      <c r="M46" s="32">
        <v>73572.136459886009</v>
      </c>
      <c r="N46" s="32">
        <v>75511.033183754305</v>
      </c>
      <c r="O46" s="32">
        <v>78499.713931783539</v>
      </c>
      <c r="P46" s="32">
        <v>78590.856682050289</v>
      </c>
      <c r="Q46" s="32">
        <v>80780.142150707223</v>
      </c>
      <c r="R46" s="32">
        <v>80616.559829909631</v>
      </c>
      <c r="S46" s="32">
        <v>82660.45897385772</v>
      </c>
      <c r="T46" s="32">
        <v>82827.13301529811</v>
      </c>
      <c r="U46" s="32">
        <v>80722.101663457302</v>
      </c>
      <c r="V46" s="32">
        <v>80488.829520787534</v>
      </c>
      <c r="W46" s="32">
        <v>77829.264406195376</v>
      </c>
      <c r="X46" s="32">
        <v>78420.510079560423</v>
      </c>
      <c r="Y46" s="32">
        <v>78284.341213994965</v>
      </c>
      <c r="Z46" s="32">
        <v>80476.703709630456</v>
      </c>
      <c r="AA46" s="32">
        <v>79800.927144319023</v>
      </c>
      <c r="AB46" s="32">
        <v>80614.014398278785</v>
      </c>
      <c r="AC46" s="32">
        <v>80445.52352858588</v>
      </c>
      <c r="AD46" s="32">
        <v>78387.235634688463</v>
      </c>
      <c r="AE46" s="32">
        <v>79885.389357237189</v>
      </c>
      <c r="AF46" s="32">
        <v>80075.312860734484</v>
      </c>
      <c r="AG46" s="32">
        <v>81612.013330759262</v>
      </c>
      <c r="AH46" s="32">
        <v>78773.142427897808</v>
      </c>
      <c r="AI46" s="32">
        <v>79719.817330070277</v>
      </c>
      <c r="AJ46" s="32">
        <v>79008.835469071215</v>
      </c>
      <c r="AK46" s="32">
        <v>78353.151557021105</v>
      </c>
      <c r="AL46" s="32">
        <v>77593.052063122217</v>
      </c>
      <c r="AM46" s="32">
        <v>76947.929544629427</v>
      </c>
      <c r="AN46" s="32">
        <v>76645.119033354349</v>
      </c>
      <c r="AO46" s="32">
        <v>76347.641477473357</v>
      </c>
      <c r="AP46" s="32">
        <v>76035.20043426771</v>
      </c>
      <c r="AQ46" s="32">
        <v>75958.65485628607</v>
      </c>
      <c r="AR46" s="32">
        <v>75040.773770687505</v>
      </c>
      <c r="AS46" s="32">
        <v>74903.524959769871</v>
      </c>
      <c r="AT46" s="32">
        <v>74079.303732218337</v>
      </c>
      <c r="AU46" s="32">
        <v>73642.165630313437</v>
      </c>
      <c r="AV46" s="32">
        <v>73148.79829112548</v>
      </c>
      <c r="AW46" s="32">
        <v>72658.279474583062</v>
      </c>
      <c r="AX46" s="32">
        <v>72175.918345696031</v>
      </c>
      <c r="AY46" s="32">
        <v>71744.133138174919</v>
      </c>
      <c r="AZ46" s="32">
        <v>71236.009510603879</v>
      </c>
      <c r="BA46" s="32">
        <v>70724.126954363266</v>
      </c>
      <c r="BB46" s="32">
        <v>69343.18794643032</v>
      </c>
      <c r="BC46" s="32">
        <v>68716.824144558428</v>
      </c>
      <c r="BD46" s="32">
        <v>68102.73416620979</v>
      </c>
      <c r="BE46" s="32">
        <v>67417.902841590752</v>
      </c>
      <c r="BF46" s="32">
        <v>66809.457036302731</v>
      </c>
      <c r="BG46" s="32">
        <v>66173.687384575649</v>
      </c>
      <c r="BH46" s="32">
        <v>65424.107410107303</v>
      </c>
      <c r="BI46" s="32">
        <v>64651.313144568405</v>
      </c>
      <c r="BJ46" s="32">
        <v>63869.109127620752</v>
      </c>
      <c r="BK46" s="32">
        <v>63046.132204670183</v>
      </c>
      <c r="BL46" s="32">
        <v>62363.272591821267</v>
      </c>
    </row>
    <row r="48" spans="1:64" x14ac:dyDescent="0.35">
      <c r="B48" s="1" t="s">
        <v>206</v>
      </c>
    </row>
    <row r="49" spans="2:64" x14ac:dyDescent="0.35">
      <c r="B49" s="9" t="s">
        <v>207</v>
      </c>
      <c r="C49" t="s">
        <v>208</v>
      </c>
      <c r="D49" s="33">
        <v>7936.4519923625339</v>
      </c>
      <c r="E49" s="33">
        <v>7915.2400768344296</v>
      </c>
      <c r="F49" s="33">
        <v>8271.9670866086362</v>
      </c>
      <c r="G49" s="33">
        <v>8720.4036366341952</v>
      </c>
      <c r="H49" s="33">
        <v>9373.6607571457498</v>
      </c>
      <c r="I49" s="33">
        <v>10029.855538148871</v>
      </c>
      <c r="J49" s="33">
        <v>10161.48201972811</v>
      </c>
      <c r="K49" s="33">
        <v>10383.51008208942</v>
      </c>
      <c r="L49" s="33">
        <v>10587.775390176601</v>
      </c>
      <c r="M49" s="33">
        <v>10868.588364366557</v>
      </c>
      <c r="N49" s="33">
        <v>11410.883603204908</v>
      </c>
      <c r="O49" s="33">
        <v>11473.859569671025</v>
      </c>
      <c r="P49" s="33">
        <v>11925.65915449601</v>
      </c>
      <c r="Q49" s="33">
        <v>12453.654510825265</v>
      </c>
      <c r="R49" s="33">
        <v>12742.478818994343</v>
      </c>
      <c r="S49" s="33">
        <v>12817.902091308622</v>
      </c>
      <c r="T49" s="33">
        <v>12944.514454651089</v>
      </c>
      <c r="U49" s="33">
        <v>13053.077943993681</v>
      </c>
      <c r="V49" s="33">
        <v>13073.537726958531</v>
      </c>
      <c r="W49" s="33">
        <v>12886.83695541684</v>
      </c>
      <c r="X49" s="33">
        <v>13144.981504109392</v>
      </c>
      <c r="Y49" s="33">
        <v>13136.569401589086</v>
      </c>
      <c r="Z49" s="33">
        <v>12820.096319621582</v>
      </c>
      <c r="AA49" s="33">
        <v>12899.199072133002</v>
      </c>
      <c r="AB49" s="33">
        <v>13163.397966357803</v>
      </c>
      <c r="AC49" s="33">
        <v>13633.9503819733</v>
      </c>
      <c r="AD49" s="33">
        <v>13739.538672436074</v>
      </c>
      <c r="AE49" s="33">
        <v>14658.300228448785</v>
      </c>
      <c r="AF49" s="33">
        <v>14985.763453404979</v>
      </c>
      <c r="AG49" s="33">
        <v>14517.302553626343</v>
      </c>
      <c r="AH49" s="33">
        <v>13077.931253317818</v>
      </c>
      <c r="AI49" s="33">
        <v>14294.160526523137</v>
      </c>
      <c r="AJ49" s="33">
        <v>15038.668090115392</v>
      </c>
      <c r="AK49" s="33">
        <v>15261.079564346615</v>
      </c>
      <c r="AL49" s="33">
        <v>15311.058328479296</v>
      </c>
      <c r="AM49" s="33">
        <v>15339.437797255985</v>
      </c>
      <c r="AN49" s="33">
        <v>15364.131129550055</v>
      </c>
      <c r="AO49" s="33">
        <v>15359.427098589094</v>
      </c>
      <c r="AP49" s="33">
        <v>15308.943479967636</v>
      </c>
      <c r="AQ49" s="33">
        <v>15208.842284444749</v>
      </c>
      <c r="AR49" s="33">
        <v>15108.680591634899</v>
      </c>
      <c r="AS49" s="33">
        <v>14956.870858278642</v>
      </c>
      <c r="AT49" s="33">
        <v>14765.705049066957</v>
      </c>
      <c r="AU49" s="33">
        <v>14515.712084068828</v>
      </c>
      <c r="AV49" s="33">
        <v>14216.013287156953</v>
      </c>
      <c r="AW49" s="33">
        <v>13888.980109551265</v>
      </c>
      <c r="AX49" s="33">
        <v>13481.632591390888</v>
      </c>
      <c r="AY49" s="33">
        <v>13105.306558113307</v>
      </c>
      <c r="AZ49" s="33">
        <v>12640.628439445471</v>
      </c>
      <c r="BA49" s="33">
        <v>12183.057722369282</v>
      </c>
      <c r="BB49" s="33">
        <v>11681.411545627334</v>
      </c>
      <c r="BC49" s="33">
        <v>11136.115156739363</v>
      </c>
      <c r="BD49" s="33">
        <v>10606.589840941288</v>
      </c>
      <c r="BE49" s="33">
        <v>10018.394310998063</v>
      </c>
      <c r="BF49" s="33">
        <v>9513.3033146530761</v>
      </c>
      <c r="BG49" s="33">
        <v>8950.9587110669891</v>
      </c>
      <c r="BH49" s="33">
        <v>8323.1063410146962</v>
      </c>
      <c r="BI49" s="33">
        <v>7714.8103466652001</v>
      </c>
      <c r="BJ49" s="33">
        <v>7123.7579427414803</v>
      </c>
      <c r="BK49" s="33">
        <v>6478.5900268221139</v>
      </c>
      <c r="BL49" s="33">
        <v>5954.5933019423492</v>
      </c>
    </row>
    <row r="50" spans="2:64" x14ac:dyDescent="0.35">
      <c r="C50" t="s">
        <v>209</v>
      </c>
      <c r="D50" s="33">
        <v>3.1708663193209801</v>
      </c>
      <c r="E50" s="33">
        <v>3.0663103601685999</v>
      </c>
      <c r="F50" s="33">
        <v>3.0002577473681198</v>
      </c>
      <c r="G50" s="33">
        <v>2.9159336912653702</v>
      </c>
      <c r="H50" s="33">
        <v>2.8692408755091101</v>
      </c>
      <c r="I50" s="33">
        <v>2.8248952284873701</v>
      </c>
      <c r="J50" s="33">
        <v>2.6950225833844899</v>
      </c>
      <c r="K50" s="33">
        <v>2.6211561724973098</v>
      </c>
      <c r="L50" s="33">
        <v>2.5117652272979201</v>
      </c>
      <c r="M50" s="33">
        <v>2.40850249551728</v>
      </c>
      <c r="N50" s="33">
        <v>2.2833551456871102</v>
      </c>
      <c r="O50" s="33">
        <v>2.1766764218630499</v>
      </c>
      <c r="P50" s="33">
        <v>2.1202654466977999</v>
      </c>
      <c r="Q50" s="33">
        <v>2.0447488026715899</v>
      </c>
      <c r="R50" s="33">
        <v>1.9554843707465801</v>
      </c>
      <c r="S50" s="33">
        <v>1.8434861122090502</v>
      </c>
      <c r="T50" s="33">
        <v>1.7142325557895399</v>
      </c>
      <c r="U50" s="33">
        <v>1.6354205207540999</v>
      </c>
      <c r="V50" s="33">
        <v>1.51723097476102</v>
      </c>
      <c r="W50" s="33">
        <v>1.4441045339946199</v>
      </c>
      <c r="X50" s="33">
        <v>1.3738009454905302</v>
      </c>
      <c r="Y50" s="33">
        <v>1.2868833021543</v>
      </c>
      <c r="Z50" s="33">
        <v>1.2197899932079601</v>
      </c>
      <c r="AA50" s="33">
        <v>1.1906744712561601</v>
      </c>
      <c r="AB50" s="33">
        <v>1.1493045596067599</v>
      </c>
      <c r="AC50" s="33">
        <v>1.10843973361673</v>
      </c>
      <c r="AD50" s="33">
        <v>1.06954514378592</v>
      </c>
      <c r="AE50" s="33">
        <v>0.89513402722861002</v>
      </c>
      <c r="AF50" s="33">
        <v>0.83199233835184006</v>
      </c>
      <c r="AG50" s="33">
        <v>0.77385198552219014</v>
      </c>
      <c r="AH50" s="33">
        <v>0.61604912779851995</v>
      </c>
      <c r="AI50" s="33">
        <v>0.67316089731047069</v>
      </c>
      <c r="AJ50" s="33">
        <v>0.70854140388629105</v>
      </c>
      <c r="AK50" s="33">
        <v>0.71903957343840164</v>
      </c>
      <c r="AL50" s="33">
        <v>0.72124612966478141</v>
      </c>
      <c r="AM50" s="33">
        <v>0.72253591189929056</v>
      </c>
      <c r="AN50" s="33">
        <v>0.72360376305381069</v>
      </c>
      <c r="AO50" s="33">
        <v>0.72331873634674604</v>
      </c>
      <c r="AP50" s="33">
        <v>0.72084621967839591</v>
      </c>
      <c r="AQ50" s="33">
        <v>0.71604641922600298</v>
      </c>
      <c r="AR50" s="33">
        <v>0.71108848687182358</v>
      </c>
      <c r="AS50" s="33">
        <v>0.70389286814596919</v>
      </c>
      <c r="AT50" s="33">
        <v>0.69469845952454423</v>
      </c>
      <c r="AU50" s="33">
        <v>0.68280601991284118</v>
      </c>
      <c r="AV50" s="33">
        <v>0.66855440971671942</v>
      </c>
      <c r="AW50" s="33">
        <v>0.6530205274294103</v>
      </c>
      <c r="AX50" s="33">
        <v>0.63360791054881849</v>
      </c>
      <c r="AY50" s="33">
        <v>0.61578494911921755</v>
      </c>
      <c r="AZ50" s="33">
        <v>0.59365917803756385</v>
      </c>
      <c r="BA50" s="33">
        <v>0.57188069313212575</v>
      </c>
      <c r="BB50" s="33">
        <v>0.54785954316113605</v>
      </c>
      <c r="BC50" s="33">
        <v>0.52203924041135508</v>
      </c>
      <c r="BD50" s="33">
        <v>0.49691072635460354</v>
      </c>
      <c r="BE50" s="33">
        <v>0.46909704602217139</v>
      </c>
      <c r="BF50" s="33">
        <v>0.44520162394376939</v>
      </c>
      <c r="BG50" s="33">
        <v>0.41866466028523885</v>
      </c>
      <c r="BH50" s="33">
        <v>0.38917119714430987</v>
      </c>
      <c r="BI50" s="33">
        <v>0.3605162537104683</v>
      </c>
      <c r="BJ50" s="33">
        <v>0.33278777076377436</v>
      </c>
      <c r="BK50" s="33">
        <v>0.30254648031927522</v>
      </c>
      <c r="BL50" s="33">
        <v>0.27795714310184366</v>
      </c>
    </row>
    <row r="51" spans="2:64" x14ac:dyDescent="0.35">
      <c r="C51" t="s">
        <v>210</v>
      </c>
      <c r="D51" s="33">
        <v>0.37070775681814</v>
      </c>
      <c r="E51" s="33">
        <v>0.38511169810255003</v>
      </c>
      <c r="F51" s="33">
        <v>0.41282860505676999</v>
      </c>
      <c r="G51" s="33">
        <v>0.43418323345160997</v>
      </c>
      <c r="H51" s="33">
        <v>0.46445795072623997</v>
      </c>
      <c r="I51" s="33">
        <v>0.49357987222170002</v>
      </c>
      <c r="J51" s="33">
        <v>0.50290877395619005</v>
      </c>
      <c r="K51" s="33">
        <v>0.52447953763731003</v>
      </c>
      <c r="L51" s="33">
        <v>0.53653966407246001</v>
      </c>
      <c r="M51" s="33">
        <v>0.56310245628642996</v>
      </c>
      <c r="N51" s="33">
        <v>0.60517738739447002</v>
      </c>
      <c r="O51" s="33">
        <v>0.59595551295251004</v>
      </c>
      <c r="P51" s="33">
        <v>0.61528671337272001</v>
      </c>
      <c r="Q51" s="33">
        <v>0.64773261325125997</v>
      </c>
      <c r="R51" s="33">
        <v>0.67450078746852005</v>
      </c>
      <c r="S51" s="33">
        <v>0.66930073346659003</v>
      </c>
      <c r="T51" s="33">
        <v>0.6537860256818</v>
      </c>
      <c r="U51" s="33">
        <v>0.64041393485891995</v>
      </c>
      <c r="V51" s="33">
        <v>0.61238659399787998</v>
      </c>
      <c r="W51" s="33">
        <v>0.59780753492468997</v>
      </c>
      <c r="X51" s="33">
        <v>0.56916445547337002</v>
      </c>
      <c r="Y51" s="33">
        <v>0.54726891562986002</v>
      </c>
      <c r="Z51" s="33">
        <v>0.52314311787736001</v>
      </c>
      <c r="AA51" s="33">
        <v>0.51139002320280003</v>
      </c>
      <c r="AB51" s="33">
        <v>0.49502024402289996</v>
      </c>
      <c r="AC51" s="33">
        <v>0.48108702614701004</v>
      </c>
      <c r="AD51" s="33">
        <v>0.47061580060716002</v>
      </c>
      <c r="AE51" s="33">
        <v>0.41283355632496999</v>
      </c>
      <c r="AF51" s="33">
        <v>0.40121312123884001</v>
      </c>
      <c r="AG51" s="33">
        <v>0.39616049318230001</v>
      </c>
      <c r="AH51" s="33">
        <v>0.27628671333741001</v>
      </c>
      <c r="AI51" s="33">
        <v>0.28121578062773561</v>
      </c>
      <c r="AJ51" s="33">
        <v>0.28148870732741565</v>
      </c>
      <c r="AK51" s="33">
        <v>0.28046539467948622</v>
      </c>
      <c r="AL51" s="33">
        <v>0.27773065521559837</v>
      </c>
      <c r="AM51" s="33">
        <v>0.2766999247985702</v>
      </c>
      <c r="AN51" s="33">
        <v>0.27576723773157358</v>
      </c>
      <c r="AO51" s="33">
        <v>0.27483384572926717</v>
      </c>
      <c r="AP51" s="33">
        <v>0.27375746274219864</v>
      </c>
      <c r="AQ51" s="33">
        <v>0.2746003556135958</v>
      </c>
      <c r="AR51" s="33">
        <v>0.26065162681708559</v>
      </c>
      <c r="AS51" s="33">
        <v>0.26120572421794613</v>
      </c>
      <c r="AT51" s="33">
        <v>0.25591322475106237</v>
      </c>
      <c r="AU51" s="33">
        <v>0.25415398004309675</v>
      </c>
      <c r="AV51" s="33">
        <v>0.25198541352344384</v>
      </c>
      <c r="AW51" s="33">
        <v>0.24958279559535962</v>
      </c>
      <c r="AX51" s="33">
        <v>0.24660837960800894</v>
      </c>
      <c r="AY51" s="33">
        <v>0.2438369266824657</v>
      </c>
      <c r="AZ51" s="33">
        <v>0.24038023329731048</v>
      </c>
      <c r="BA51" s="33">
        <v>0.23691310026422899</v>
      </c>
      <c r="BB51" s="33">
        <v>0.21843524831895769</v>
      </c>
      <c r="BC51" s="33">
        <v>0.21436950304471539</v>
      </c>
      <c r="BD51" s="33">
        <v>0.21032521200388712</v>
      </c>
      <c r="BE51" s="33">
        <v>0.20576707075089323</v>
      </c>
      <c r="BF51" s="33">
        <v>0.20167041653567624</v>
      </c>
      <c r="BG51" s="33">
        <v>0.19707048778212249</v>
      </c>
      <c r="BH51" s="33">
        <v>0.19185925054000322</v>
      </c>
      <c r="BI51" s="33">
        <v>0.1865831253261013</v>
      </c>
      <c r="BJ51" s="33">
        <v>0.18129990455818729</v>
      </c>
      <c r="BK51" s="33">
        <v>0.17565253217739238</v>
      </c>
      <c r="BL51" s="33">
        <v>0.17088417340734752</v>
      </c>
    </row>
    <row r="52" spans="2:64" x14ac:dyDescent="0.35">
      <c r="B52" s="9" t="s">
        <v>189</v>
      </c>
      <c r="C52" t="s">
        <v>208</v>
      </c>
      <c r="D52" s="33">
        <v>14550.030981098405</v>
      </c>
      <c r="E52" s="33">
        <v>15076.659352919838</v>
      </c>
      <c r="F52" s="33">
        <v>16584.937570404265</v>
      </c>
      <c r="G52" s="33">
        <v>15589.82198645115</v>
      </c>
      <c r="H52" s="33">
        <v>15160.983373310251</v>
      </c>
      <c r="I52" s="33">
        <v>14439.353225445664</v>
      </c>
      <c r="J52" s="33">
        <v>15642.858394408015</v>
      </c>
      <c r="K52" s="33">
        <v>17453.650580070611</v>
      </c>
      <c r="L52" s="33">
        <v>15683.361737245015</v>
      </c>
      <c r="M52" s="33">
        <v>16750.700998567205</v>
      </c>
      <c r="N52" s="33">
        <v>16970.08454184356</v>
      </c>
      <c r="O52" s="33">
        <v>18876.142823578786</v>
      </c>
      <c r="P52" s="33">
        <v>18464.425597000558</v>
      </c>
      <c r="Q52" s="33">
        <v>19507.673279696097</v>
      </c>
      <c r="R52" s="33">
        <v>18828.439162033264</v>
      </c>
      <c r="S52" s="33">
        <v>20210.388636212108</v>
      </c>
      <c r="T52" s="33">
        <v>20153.024722444945</v>
      </c>
      <c r="U52" s="33">
        <v>18866.722346131399</v>
      </c>
      <c r="V52" s="33">
        <v>20221.039610528373</v>
      </c>
      <c r="W52" s="33">
        <v>17634.861462762692</v>
      </c>
      <c r="X52" s="33">
        <v>17273.632418391448</v>
      </c>
      <c r="Y52" s="33">
        <v>16706.090118246539</v>
      </c>
      <c r="Z52" s="33">
        <v>18703.932285745428</v>
      </c>
      <c r="AA52" s="33">
        <v>17950.838087133321</v>
      </c>
      <c r="AB52" s="33">
        <v>17774.78771430354</v>
      </c>
      <c r="AC52" s="33">
        <v>17516.328404938708</v>
      </c>
      <c r="AD52" s="33">
        <v>16098.215374762001</v>
      </c>
      <c r="AE52" s="33">
        <v>16751.328994174273</v>
      </c>
      <c r="AF52" s="33">
        <v>16522.351521439505</v>
      </c>
      <c r="AG52" s="33">
        <v>18404.234200695155</v>
      </c>
      <c r="AH52" s="33">
        <v>17470.408108272961</v>
      </c>
      <c r="AI52" s="33">
        <v>17754.787240061403</v>
      </c>
      <c r="AJ52" s="33">
        <v>16700.21448174429</v>
      </c>
      <c r="AK52" s="33">
        <v>16091.021455378997</v>
      </c>
      <c r="AL52" s="33">
        <v>15527.217389655503</v>
      </c>
      <c r="AM52" s="33">
        <v>15152.874246182228</v>
      </c>
      <c r="AN52" s="33">
        <v>15014.104234600629</v>
      </c>
      <c r="AO52" s="33">
        <v>14917.523533558147</v>
      </c>
      <c r="AP52" s="33">
        <v>14851.73066443421</v>
      </c>
      <c r="AQ52" s="33">
        <v>15031.065427679794</v>
      </c>
      <c r="AR52" s="33">
        <v>14457.952277819335</v>
      </c>
      <c r="AS52" s="33">
        <v>14641.532207973827</v>
      </c>
      <c r="AT52" s="33">
        <v>14209.840109664363</v>
      </c>
      <c r="AU52" s="33">
        <v>14214.594715925312</v>
      </c>
      <c r="AV52" s="33">
        <v>14212.130356598966</v>
      </c>
      <c r="AW52" s="33">
        <v>14204.333505969336</v>
      </c>
      <c r="AX52" s="33">
        <v>14197.39485470744</v>
      </c>
      <c r="AY52" s="33">
        <v>14185.02491666541</v>
      </c>
      <c r="AZ52" s="33">
        <v>14165.562447466849</v>
      </c>
      <c r="BA52" s="33">
        <v>14136.048643571838</v>
      </c>
      <c r="BB52" s="33">
        <v>13366.400319589271</v>
      </c>
      <c r="BC52" s="33">
        <v>13332.311338608089</v>
      </c>
      <c r="BD52" s="33">
        <v>13280.757351918704</v>
      </c>
      <c r="BE52" s="33">
        <v>13213.56420201225</v>
      </c>
      <c r="BF52" s="33">
        <v>13134.947389141507</v>
      </c>
      <c r="BG52" s="33">
        <v>13042.8219254428</v>
      </c>
      <c r="BH52" s="33">
        <v>12925.659942614149</v>
      </c>
      <c r="BI52" s="33">
        <v>12781.580894030974</v>
      </c>
      <c r="BJ52" s="33">
        <v>12616.344212287351</v>
      </c>
      <c r="BK52" s="33">
        <v>12452.685346589882</v>
      </c>
      <c r="BL52" s="33">
        <v>12294.711365618907</v>
      </c>
    </row>
    <row r="53" spans="2:64" x14ac:dyDescent="0.35">
      <c r="C53" t="s">
        <v>209</v>
      </c>
      <c r="D53" s="33">
        <v>43.689236384759724</v>
      </c>
      <c r="E53" s="33">
        <v>43.136028196882343</v>
      </c>
      <c r="F53" s="33">
        <v>42.370784734338343</v>
      </c>
      <c r="G53" s="33">
        <v>45.490729829929059</v>
      </c>
      <c r="H53" s="33">
        <v>48.642951699257466</v>
      </c>
      <c r="I53" s="33">
        <v>42.384378795374694</v>
      </c>
      <c r="J53" s="33">
        <v>52.975807448633716</v>
      </c>
      <c r="K53" s="33">
        <v>52.726042493037973</v>
      </c>
      <c r="L53" s="33">
        <v>52.213941142234461</v>
      </c>
      <c r="M53" s="33">
        <v>52.645758927624009</v>
      </c>
      <c r="N53" s="33">
        <v>51.169607018712021</v>
      </c>
      <c r="O53" s="33">
        <v>53.210947160023942</v>
      </c>
      <c r="P53" s="33">
        <v>49.223035859385497</v>
      </c>
      <c r="Q53" s="33">
        <v>42.629892983466895</v>
      </c>
      <c r="R53" s="33">
        <v>43.497866912277935</v>
      </c>
      <c r="S53" s="33">
        <v>48.84280066748827</v>
      </c>
      <c r="T53" s="33">
        <v>62.354420394438485</v>
      </c>
      <c r="U53" s="33">
        <v>53.764544482946079</v>
      </c>
      <c r="V53" s="33">
        <v>44.563290394249982</v>
      </c>
      <c r="W53" s="33">
        <v>48.938864799909169</v>
      </c>
      <c r="X53" s="33">
        <v>59.857136871476563</v>
      </c>
      <c r="Y53" s="33">
        <v>56.071906861362102</v>
      </c>
      <c r="Z53" s="33">
        <v>44.0716600682399</v>
      </c>
      <c r="AA53" s="33">
        <v>36.700152189000079</v>
      </c>
      <c r="AB53" s="33">
        <v>36.459637394592001</v>
      </c>
      <c r="AC53" s="33">
        <v>37.99776773365582</v>
      </c>
      <c r="AD53" s="33">
        <v>34.565581810417513</v>
      </c>
      <c r="AE53" s="33">
        <v>30.690946761958138</v>
      </c>
      <c r="AF53" s="33">
        <v>29.694716701258521</v>
      </c>
      <c r="AG53" s="33">
        <v>28.676851670989468</v>
      </c>
      <c r="AH53" s="33">
        <v>27.039251325087321</v>
      </c>
      <c r="AI53" s="33">
        <v>28.166463837645594</v>
      </c>
      <c r="AJ53" s="33">
        <v>28.061114736181718</v>
      </c>
      <c r="AK53" s="33">
        <v>28.3258687558912</v>
      </c>
      <c r="AL53" s="33">
        <v>28.389004847875189</v>
      </c>
      <c r="AM53" s="33">
        <v>28.297609660052458</v>
      </c>
      <c r="AN53" s="33">
        <v>28.233448852973652</v>
      </c>
      <c r="AO53" s="33">
        <v>28.178030760393735</v>
      </c>
      <c r="AP53" s="33">
        <v>28.123301480064182</v>
      </c>
      <c r="AQ53" s="33">
        <v>28.231457735958482</v>
      </c>
      <c r="AR53" s="33">
        <v>27.267082874989793</v>
      </c>
      <c r="AS53" s="33">
        <v>27.367627120561046</v>
      </c>
      <c r="AT53" s="33">
        <v>27.082652187385758</v>
      </c>
      <c r="AU53" s="33">
        <v>27.06401304488773</v>
      </c>
      <c r="AV53" s="33">
        <v>27.044068300877651</v>
      </c>
      <c r="AW53" s="33">
        <v>27.02141786552259</v>
      </c>
      <c r="AX53" s="33">
        <v>27.00432654738027</v>
      </c>
      <c r="AY53" s="33">
        <v>26.986221510235012</v>
      </c>
      <c r="AZ53" s="33">
        <v>26.972848764760457</v>
      </c>
      <c r="BA53" s="33">
        <v>26.957916611692006</v>
      </c>
      <c r="BB53" s="33">
        <v>25.894074396296993</v>
      </c>
      <c r="BC53" s="33">
        <v>25.89651386244525</v>
      </c>
      <c r="BD53" s="33">
        <v>25.902198899447296</v>
      </c>
      <c r="BE53" s="33">
        <v>25.895949592564243</v>
      </c>
      <c r="BF53" s="33">
        <v>25.905696702076963</v>
      </c>
      <c r="BG53" s="33">
        <v>25.915933220395189</v>
      </c>
      <c r="BH53" s="33">
        <v>25.923474297010717</v>
      </c>
      <c r="BI53" s="33">
        <v>25.925585858393198</v>
      </c>
      <c r="BJ53" s="33">
        <v>25.923473145237775</v>
      </c>
      <c r="BK53" s="33">
        <v>25.919004109152397</v>
      </c>
      <c r="BL53" s="33">
        <v>25.906995466017996</v>
      </c>
    </row>
    <row r="54" spans="2:64" x14ac:dyDescent="0.35">
      <c r="C54" t="s">
        <v>210</v>
      </c>
      <c r="D54" s="33">
        <v>0.36642694370815998</v>
      </c>
      <c r="E54" s="33">
        <v>0.35470999108293</v>
      </c>
      <c r="F54" s="33">
        <v>0.38249243707663999</v>
      </c>
      <c r="G54" s="33">
        <v>0.37799456028020001</v>
      </c>
      <c r="H54" s="33">
        <v>0.40402826094213001</v>
      </c>
      <c r="I54" s="33">
        <v>0.39974166861652</v>
      </c>
      <c r="J54" s="33">
        <v>0.38859485839440999</v>
      </c>
      <c r="K54" s="33">
        <v>0.39160898713207004</v>
      </c>
      <c r="L54" s="33">
        <v>0.37717118654362003</v>
      </c>
      <c r="M54" s="33">
        <v>0.40035628617881996</v>
      </c>
      <c r="N54" s="33">
        <v>0.40515628985136004</v>
      </c>
      <c r="O54" s="33">
        <v>0.42329355924693995</v>
      </c>
      <c r="P54" s="33">
        <v>0.44147694963213002</v>
      </c>
      <c r="Q54" s="33">
        <v>0.47634806725715001</v>
      </c>
      <c r="R54" s="33">
        <v>0.49417169503745995</v>
      </c>
      <c r="S54" s="33">
        <v>0.51581617253897005</v>
      </c>
      <c r="T54" s="33">
        <v>0.51246272049793995</v>
      </c>
      <c r="U54" s="33">
        <v>0.48057736977717996</v>
      </c>
      <c r="V54" s="33">
        <v>0.48861908921137004</v>
      </c>
      <c r="W54" s="33">
        <v>0.44175060694691992</v>
      </c>
      <c r="X54" s="33">
        <v>0.42689056518231999</v>
      </c>
      <c r="Y54" s="33">
        <v>0.43730630324666991</v>
      </c>
      <c r="Z54" s="33">
        <v>0.46749098191557997</v>
      </c>
      <c r="AA54" s="33">
        <v>0.46461822120052004</v>
      </c>
      <c r="AB54" s="33">
        <v>0.44449383834728001</v>
      </c>
      <c r="AC54" s="33">
        <v>0.44726800503922004</v>
      </c>
      <c r="AD54" s="33">
        <v>0.44177232613505996</v>
      </c>
      <c r="AE54" s="33">
        <v>0.43614607141988998</v>
      </c>
      <c r="AF54" s="33">
        <v>0.44547034500414007</v>
      </c>
      <c r="AG54" s="33">
        <v>0.48243768484458999</v>
      </c>
      <c r="AH54" s="33">
        <v>0.46415889239030006</v>
      </c>
      <c r="AI54" s="33">
        <v>0.47243967573437912</v>
      </c>
      <c r="AJ54" s="33">
        <v>0.47289818983770676</v>
      </c>
      <c r="AK54" s="33">
        <v>0.4711790349080528</v>
      </c>
      <c r="AL54" s="33">
        <v>0.46658470018525311</v>
      </c>
      <c r="AM54" s="33">
        <v>0.46485308347831256</v>
      </c>
      <c r="AN54" s="33">
        <v>0.46328617861077648</v>
      </c>
      <c r="AO54" s="33">
        <v>0.46171808945902848</v>
      </c>
      <c r="AP54" s="33">
        <v>0.45990977689477069</v>
      </c>
      <c r="AQ54" s="33">
        <v>0.46132582841916531</v>
      </c>
      <c r="AR54" s="33">
        <v>0.43789210469704731</v>
      </c>
      <c r="AS54" s="33">
        <v>0.43882298274309273</v>
      </c>
      <c r="AT54" s="33">
        <v>0.42993163700716874</v>
      </c>
      <c r="AU54" s="33">
        <v>0.4269761236376366</v>
      </c>
      <c r="AV54" s="33">
        <v>0.42333295375198399</v>
      </c>
      <c r="AW54" s="33">
        <v>0.41929657986029151</v>
      </c>
      <c r="AX54" s="33">
        <v>0.41429959099492158</v>
      </c>
      <c r="AY54" s="33">
        <v>0.40964357802675166</v>
      </c>
      <c r="AZ54" s="33">
        <v>0.40383636799625294</v>
      </c>
      <c r="BA54" s="33">
        <v>0.39801161946250929</v>
      </c>
      <c r="BB54" s="33">
        <v>0.36696901452118885</v>
      </c>
      <c r="BC54" s="33">
        <v>0.36013860345857379</v>
      </c>
      <c r="BD54" s="33">
        <v>0.3533442352917544</v>
      </c>
      <c r="BE54" s="33">
        <v>0.34568660395005318</v>
      </c>
      <c r="BF54" s="33">
        <v>0.33880426617827991</v>
      </c>
      <c r="BG54" s="33">
        <v>0.33107643225701439</v>
      </c>
      <c r="BH54" s="33">
        <v>0.3223216062392637</v>
      </c>
      <c r="BI54" s="33">
        <v>0.31345776908323481</v>
      </c>
      <c r="BJ54" s="33">
        <v>0.30458201146801561</v>
      </c>
      <c r="BK54" s="33">
        <v>0.29509448281518402</v>
      </c>
      <c r="BL54" s="33">
        <v>0.28708368816462598</v>
      </c>
    </row>
    <row r="55" spans="2:64" x14ac:dyDescent="0.35">
      <c r="B55" s="9" t="s">
        <v>211</v>
      </c>
      <c r="C55" t="s">
        <v>208</v>
      </c>
      <c r="D55" s="33">
        <v>2519.9565575373808</v>
      </c>
      <c r="E55" s="33">
        <v>2659.4860926475949</v>
      </c>
      <c r="F55" s="33">
        <v>2757.6030127995591</v>
      </c>
      <c r="G55" s="33">
        <v>2847.573039225395</v>
      </c>
      <c r="H55" s="33">
        <v>2725.6161551550372</v>
      </c>
      <c r="I55" s="33">
        <v>2813.8337178611105</v>
      </c>
      <c r="J55" s="33">
        <v>2826.0859206680966</v>
      </c>
      <c r="K55" s="33">
        <v>2732.1930435050358</v>
      </c>
      <c r="L55" s="33">
        <v>2792.1921973718781</v>
      </c>
      <c r="M55" s="33">
        <v>2944.2874457034563</v>
      </c>
      <c r="N55" s="33">
        <v>2922.4829407837447</v>
      </c>
      <c r="O55" s="33">
        <v>2986.8974577091049</v>
      </c>
      <c r="P55" s="33">
        <v>2984.8085614413958</v>
      </c>
      <c r="Q55" s="33">
        <v>3152.9626677903907</v>
      </c>
      <c r="R55" s="33">
        <v>3131.4872800634166</v>
      </c>
      <c r="S55" s="33">
        <v>3208.6354189567705</v>
      </c>
      <c r="T55" s="33">
        <v>3180.8810962824796</v>
      </c>
      <c r="U55" s="33">
        <v>3376.8667499328376</v>
      </c>
      <c r="V55" s="33">
        <v>3158.9914137622636</v>
      </c>
      <c r="W55" s="33">
        <v>3022.3787157649267</v>
      </c>
      <c r="X55" s="33">
        <v>3319.0049733416399</v>
      </c>
      <c r="Y55" s="33">
        <v>3294.4141985105807</v>
      </c>
      <c r="Z55" s="33">
        <v>3254.9237020985429</v>
      </c>
      <c r="AA55" s="33">
        <v>3319.3619782430392</v>
      </c>
      <c r="AB55" s="33">
        <v>3396.5353679654536</v>
      </c>
      <c r="AC55" s="33">
        <v>3509.692940089657</v>
      </c>
      <c r="AD55" s="33">
        <v>3213.6045926507077</v>
      </c>
      <c r="AE55" s="33">
        <v>3213.8824154864624</v>
      </c>
      <c r="AF55" s="33">
        <v>3085.4485327591519</v>
      </c>
      <c r="AG55" s="33">
        <v>3085.5223067679485</v>
      </c>
      <c r="AH55" s="33">
        <v>2863.6712337629397</v>
      </c>
      <c r="AI55" s="33">
        <v>3067.7985342584043</v>
      </c>
      <c r="AJ55" s="33">
        <v>2967.444683605212</v>
      </c>
      <c r="AK55" s="33">
        <v>2935.741440213299</v>
      </c>
      <c r="AL55" s="33">
        <v>2936.5702576951653</v>
      </c>
      <c r="AM55" s="33">
        <v>2937.5146000648242</v>
      </c>
      <c r="AN55" s="33">
        <v>2938.4655187628314</v>
      </c>
      <c r="AO55" s="33">
        <v>2939.3920694403</v>
      </c>
      <c r="AP55" s="33">
        <v>2940.2874230804132</v>
      </c>
      <c r="AQ55" s="33">
        <v>2941.1087936938357</v>
      </c>
      <c r="AR55" s="33">
        <v>2941.8648461659009</v>
      </c>
      <c r="AS55" s="33">
        <v>2942.5967030374914</v>
      </c>
      <c r="AT55" s="33">
        <v>2943.3076139819186</v>
      </c>
      <c r="AU55" s="33">
        <v>2943.9989607503021</v>
      </c>
      <c r="AV55" s="33">
        <v>2944.6760287968318</v>
      </c>
      <c r="AW55" s="33">
        <v>2945.3431912158585</v>
      </c>
      <c r="AX55" s="33">
        <v>2946.0144701236277</v>
      </c>
      <c r="AY55" s="33">
        <v>2946.6978995520049</v>
      </c>
      <c r="AZ55" s="33">
        <v>2947.3959233517908</v>
      </c>
      <c r="BA55" s="33">
        <v>2948.1117001053635</v>
      </c>
      <c r="BB55" s="33">
        <v>2948.846428032301</v>
      </c>
      <c r="BC55" s="33">
        <v>2949.6015695979545</v>
      </c>
      <c r="BD55" s="33">
        <v>2950.3792220871137</v>
      </c>
      <c r="BE55" s="33">
        <v>2951.1834792928457</v>
      </c>
      <c r="BF55" s="33">
        <v>2952.0155730529618</v>
      </c>
      <c r="BG55" s="33">
        <v>2952.8801114734542</v>
      </c>
      <c r="BH55" s="33">
        <v>2953.7813861542372</v>
      </c>
      <c r="BI55" s="33">
        <v>2954.7203745329875</v>
      </c>
      <c r="BJ55" s="33">
        <v>2955.6878729585351</v>
      </c>
      <c r="BK55" s="33">
        <v>2956.6446412244295</v>
      </c>
      <c r="BL55" s="33">
        <v>2957.5782295918334</v>
      </c>
    </row>
    <row r="56" spans="2:64" x14ac:dyDescent="0.35">
      <c r="C56" t="s">
        <v>209</v>
      </c>
      <c r="D56" s="33">
        <v>1.1040000000000001</v>
      </c>
      <c r="E56" s="33">
        <v>1.8859999999999999</v>
      </c>
      <c r="F56" s="33">
        <v>1.5985</v>
      </c>
      <c r="G56" s="33">
        <v>1.794</v>
      </c>
      <c r="H56" s="33">
        <v>2.2494000000000001</v>
      </c>
      <c r="I56" s="33">
        <v>3.1649932000000001</v>
      </c>
      <c r="J56" s="33">
        <v>4.2472927</v>
      </c>
      <c r="K56" s="33">
        <v>4.3812746000000002</v>
      </c>
      <c r="L56" s="33">
        <v>4.1248360999999996</v>
      </c>
      <c r="M56" s="33">
        <v>4.7440306000000003</v>
      </c>
      <c r="N56" s="33">
        <v>5.5445272000000001</v>
      </c>
      <c r="O56" s="33">
        <v>4.9043567000000001</v>
      </c>
      <c r="P56" s="33">
        <v>5.2471694000000006</v>
      </c>
      <c r="Q56" s="33">
        <v>2.2257490999999998</v>
      </c>
      <c r="R56" s="33">
        <v>2.5019607000000001</v>
      </c>
      <c r="S56" s="33">
        <v>0.78939449999999989</v>
      </c>
      <c r="T56" s="33">
        <v>0.92968300000000004</v>
      </c>
      <c r="U56" s="33">
        <v>0.9997663</v>
      </c>
      <c r="V56" s="33">
        <v>1.3117314</v>
      </c>
      <c r="W56" s="33">
        <v>1.8914280000000003</v>
      </c>
      <c r="X56" s="33">
        <v>1.9061802000000001</v>
      </c>
      <c r="Y56" s="33">
        <v>1.9159529</v>
      </c>
      <c r="Z56" s="33">
        <v>2.5473925999999998</v>
      </c>
      <c r="AA56" s="33">
        <v>3.2659701000000001</v>
      </c>
      <c r="AB56" s="33">
        <v>5.0592594000000002</v>
      </c>
      <c r="AC56" s="33">
        <v>4.2680433000000004</v>
      </c>
      <c r="AD56" s="33">
        <v>5.01110799875506</v>
      </c>
      <c r="AE56" s="33">
        <v>4.4807196999999999</v>
      </c>
      <c r="AF56" s="33">
        <v>3.6906674000000006</v>
      </c>
      <c r="AG56" s="33">
        <v>4.2892700000000001</v>
      </c>
      <c r="AH56" s="33">
        <v>3.8459956000000002</v>
      </c>
      <c r="AI56" s="33">
        <v>3.1382012340873802</v>
      </c>
      <c r="AJ56" s="33">
        <v>3.294464632839424</v>
      </c>
      <c r="AK56" s="33">
        <v>3.4678575082520253</v>
      </c>
      <c r="AL56" s="33">
        <v>3.4678575082520253</v>
      </c>
      <c r="AM56" s="33">
        <v>3.4678575082520253</v>
      </c>
      <c r="AN56" s="33">
        <v>3.4678575082520253</v>
      </c>
      <c r="AO56" s="33">
        <v>3.4678575082520253</v>
      </c>
      <c r="AP56" s="33">
        <v>3.4678575082520253</v>
      </c>
      <c r="AQ56" s="33">
        <v>3.4678575082520253</v>
      </c>
      <c r="AR56" s="33">
        <v>1.7339287541260127</v>
      </c>
      <c r="AS56" s="33">
        <v>1.7339287541260127</v>
      </c>
      <c r="AT56" s="33">
        <v>1.7339287541260127</v>
      </c>
      <c r="AU56" s="33">
        <v>1.7339287541260127</v>
      </c>
      <c r="AV56" s="33">
        <v>1.7339287541260127</v>
      </c>
      <c r="AW56" s="33">
        <v>1.7339287541260127</v>
      </c>
      <c r="AX56" s="33">
        <v>1.7339287541260127</v>
      </c>
      <c r="AY56" s="33">
        <v>1.7339287541260127</v>
      </c>
      <c r="AZ56" s="33">
        <v>1.7339287541260127</v>
      </c>
      <c r="BA56" s="33">
        <v>1.7339287541260127</v>
      </c>
      <c r="BB56" s="33">
        <v>0</v>
      </c>
      <c r="BC56" s="33">
        <v>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</row>
    <row r="57" spans="2:64" x14ac:dyDescent="0.35">
      <c r="C57" t="s">
        <v>210</v>
      </c>
      <c r="D57" s="33">
        <v>0.34377660773997987</v>
      </c>
      <c r="E57" s="33">
        <v>0.32658777735298</v>
      </c>
      <c r="F57" s="33">
        <v>0.31025838848532999</v>
      </c>
      <c r="G57" s="33">
        <v>0.29474546906105997</v>
      </c>
      <c r="H57" s="33">
        <v>0.28000819560800999</v>
      </c>
      <c r="I57" s="33">
        <v>0.26600778582760998</v>
      </c>
      <c r="J57" s="33">
        <v>0.25270739653622998</v>
      </c>
      <c r="K57" s="33">
        <v>0.24007202670941999</v>
      </c>
      <c r="L57" s="33">
        <v>0.22806842537395</v>
      </c>
      <c r="M57" s="33">
        <v>0.21666500410525003</v>
      </c>
      <c r="N57" s="33">
        <v>0.20583175389999001</v>
      </c>
      <c r="O57" s="33">
        <v>0.19554016620499001</v>
      </c>
      <c r="P57" s="33">
        <v>0.18576315789473999</v>
      </c>
      <c r="Q57" s="33">
        <v>0.17499999999999999</v>
      </c>
      <c r="R57" s="33">
        <v>0.16250000000000001</v>
      </c>
      <c r="S57" s="33">
        <v>0.14949999999999999</v>
      </c>
      <c r="T57" s="33">
        <v>0.13650000000000001</v>
      </c>
      <c r="U57" s="33">
        <v>0.14785000000000001</v>
      </c>
      <c r="V57" s="33">
        <v>0.1767</v>
      </c>
      <c r="W57" s="33">
        <v>0.17805000000000001</v>
      </c>
      <c r="X57" s="33">
        <v>0.17924999999999999</v>
      </c>
      <c r="Y57" s="33">
        <v>0.1789</v>
      </c>
      <c r="Z57" s="33">
        <v>0.18140000000000001</v>
      </c>
      <c r="AA57" s="33">
        <v>0.19520000000000001</v>
      </c>
      <c r="AB57" s="33">
        <v>0.19520000000000001</v>
      </c>
      <c r="AC57" s="33">
        <v>0.2011</v>
      </c>
      <c r="AD57" s="33">
        <v>0.19739999999999999</v>
      </c>
      <c r="AE57" s="33">
        <v>0.20655000000000001</v>
      </c>
      <c r="AF57" s="33">
        <v>0.27334999999999998</v>
      </c>
      <c r="AG57" s="33">
        <v>0.27655000000000002</v>
      </c>
      <c r="AH57" s="33">
        <v>0.24790000000000001</v>
      </c>
      <c r="AI57" s="33">
        <v>0.28553419675133507</v>
      </c>
      <c r="AJ57" s="33">
        <v>0.2884650779910215</v>
      </c>
      <c r="AK57" s="33">
        <v>0.29615335362270645</v>
      </c>
      <c r="AL57" s="33">
        <v>0.30104632284823946</v>
      </c>
      <c r="AM57" s="33">
        <v>0.30662129955204281</v>
      </c>
      <c r="AN57" s="33">
        <v>0.31223509996906201</v>
      </c>
      <c r="AO57" s="33">
        <v>0.31770504244728348</v>
      </c>
      <c r="AP57" s="33">
        <v>0.32299081151333098</v>
      </c>
      <c r="AQ57" s="33">
        <v>0.32783981774469578</v>
      </c>
      <c r="AR57" s="33">
        <v>0.33230321476471825</v>
      </c>
      <c r="AS57" s="33">
        <v>0.33662377173718933</v>
      </c>
      <c r="AT57" s="33">
        <v>0.34082067328582494</v>
      </c>
      <c r="AU57" s="33">
        <v>0.34490207665373868</v>
      </c>
      <c r="AV57" s="33">
        <v>0.34889918480811533</v>
      </c>
      <c r="AW57" s="33">
        <v>0.35283781455007962</v>
      </c>
      <c r="AX57" s="33">
        <v>0.35680074620792024</v>
      </c>
      <c r="AY57" s="33">
        <v>0.36083540912712436</v>
      </c>
      <c r="AZ57" s="33">
        <v>0.36495623071422789</v>
      </c>
      <c r="BA57" s="33">
        <v>0.36918185783263857</v>
      </c>
      <c r="BB57" s="33">
        <v>0.37351936423700216</v>
      </c>
      <c r="BC57" s="33">
        <v>0.377977383671317</v>
      </c>
      <c r="BD57" s="33">
        <v>0.38256829757077693</v>
      </c>
      <c r="BE57" s="33">
        <v>0.38731627386611361</v>
      </c>
      <c r="BF57" s="33">
        <v>0.39222858477905514</v>
      </c>
      <c r="BG57" s="33">
        <v>0.39733243451474742</v>
      </c>
      <c r="BH57" s="33">
        <v>0.40265315876744689</v>
      </c>
      <c r="BI57" s="33">
        <v>0.40819652789379773</v>
      </c>
      <c r="BJ57" s="33">
        <v>0.41390820763696484</v>
      </c>
      <c r="BK57" s="33">
        <v>0.41955654129716474</v>
      </c>
      <c r="BL57" s="33">
        <v>0.42506803116190811</v>
      </c>
    </row>
    <row r="58" spans="2:64" x14ac:dyDescent="0.35">
      <c r="B58" s="9" t="s">
        <v>22</v>
      </c>
      <c r="C58" t="s">
        <v>208</v>
      </c>
      <c r="D58" s="33">
        <v>335.67906394986551</v>
      </c>
      <c r="E58" s="33">
        <v>371.90615144539862</v>
      </c>
      <c r="F58" s="33">
        <v>394.76661751230108</v>
      </c>
      <c r="G58" s="33">
        <v>442.64120143539054</v>
      </c>
      <c r="H58" s="33">
        <v>500.41393488597515</v>
      </c>
      <c r="I58" s="33">
        <v>582.37680129054763</v>
      </c>
      <c r="J58" s="33">
        <v>541.38352744044118</v>
      </c>
      <c r="K58" s="33">
        <v>568.00528006658749</v>
      </c>
      <c r="L58" s="33">
        <v>644.77509589686201</v>
      </c>
      <c r="M58" s="33">
        <v>743.18277005521338</v>
      </c>
      <c r="N58" s="33">
        <v>790.77977686270037</v>
      </c>
      <c r="O58" s="33">
        <v>901.74608397623422</v>
      </c>
      <c r="P58" s="33">
        <v>1033.9005688849297</v>
      </c>
      <c r="Q58" s="33">
        <v>1001.7259659101927</v>
      </c>
      <c r="R58" s="33">
        <v>1006.9082663458823</v>
      </c>
      <c r="S58" s="33">
        <v>1064.1014054721436</v>
      </c>
      <c r="T58" s="33">
        <v>929.82371529257409</v>
      </c>
      <c r="U58" s="33">
        <v>995.82021578551576</v>
      </c>
      <c r="V58" s="33">
        <v>942.63769463709173</v>
      </c>
      <c r="W58" s="33">
        <v>965.77074526788181</v>
      </c>
      <c r="X58" s="33">
        <v>961.19529071648606</v>
      </c>
      <c r="Y58" s="33">
        <v>1019.7067219571727</v>
      </c>
      <c r="Z58" s="33">
        <v>1056.7803060078841</v>
      </c>
      <c r="AA58" s="33">
        <v>965.93459048107616</v>
      </c>
      <c r="AB58" s="33">
        <v>998.76015646956523</v>
      </c>
      <c r="AC58" s="33">
        <v>1050.2374492579709</v>
      </c>
      <c r="AD58" s="33">
        <v>998.14629608115945</v>
      </c>
      <c r="AE58" s="33">
        <v>967.08786414964322</v>
      </c>
      <c r="AF58" s="33">
        <v>1016.1405826729523</v>
      </c>
      <c r="AG58" s="33">
        <v>1020.5033795478262</v>
      </c>
      <c r="AH58" s="33">
        <v>951.50682644057974</v>
      </c>
      <c r="AI58" s="33">
        <v>1024.7056539762423</v>
      </c>
      <c r="AJ58" s="33">
        <v>1021.854441283048</v>
      </c>
      <c r="AK58" s="33">
        <v>1019.0393945623937</v>
      </c>
      <c r="AL58" s="33">
        <v>1016.3922795785015</v>
      </c>
      <c r="AM58" s="33">
        <v>1013.8136804983183</v>
      </c>
      <c r="AN58" s="33">
        <v>1008.8330923241924</v>
      </c>
      <c r="AO58" s="33">
        <v>1004.3432354713354</v>
      </c>
      <c r="AP58" s="33">
        <v>999.54435841450345</v>
      </c>
      <c r="AQ58" s="33">
        <v>995.08973428445915</v>
      </c>
      <c r="AR58" s="33">
        <v>990.84856191760764</v>
      </c>
      <c r="AS58" s="33">
        <v>986.73537224855443</v>
      </c>
      <c r="AT58" s="33">
        <v>982.38230735787477</v>
      </c>
      <c r="AU58" s="33">
        <v>978.41423054998768</v>
      </c>
      <c r="AV58" s="33">
        <v>974.27324902666453</v>
      </c>
      <c r="AW58" s="33">
        <v>970.25551734793328</v>
      </c>
      <c r="AX58" s="33">
        <v>969.67596465872248</v>
      </c>
      <c r="AY58" s="33">
        <v>969.4507531273124</v>
      </c>
      <c r="AZ58" s="33">
        <v>969.58200400736246</v>
      </c>
      <c r="BA58" s="33">
        <v>969.62262141026656</v>
      </c>
      <c r="BB58" s="33">
        <v>969.63704063092871</v>
      </c>
      <c r="BC58" s="33">
        <v>969.15223227734657</v>
      </c>
      <c r="BD58" s="33">
        <v>968.88747918440731</v>
      </c>
      <c r="BE58" s="33">
        <v>968.57473673358072</v>
      </c>
      <c r="BF58" s="33">
        <v>968.30844894272866</v>
      </c>
      <c r="BG58" s="33">
        <v>968.84641124992481</v>
      </c>
      <c r="BH58" s="33">
        <v>968.87504690469632</v>
      </c>
      <c r="BI58" s="33">
        <v>968.52803631111908</v>
      </c>
      <c r="BJ58" s="33">
        <v>968.1099662647066</v>
      </c>
      <c r="BK58" s="33">
        <v>967.81334024806733</v>
      </c>
      <c r="BL58" s="33">
        <v>967.85550042467719</v>
      </c>
    </row>
    <row r="59" spans="2:64" x14ac:dyDescent="0.35">
      <c r="C59" t="s">
        <v>209</v>
      </c>
      <c r="D59" s="33">
        <v>1124.0323944711226</v>
      </c>
      <c r="E59" s="33">
        <v>1128.9729801915744</v>
      </c>
      <c r="F59" s="33">
        <v>1109.409858197685</v>
      </c>
      <c r="G59" s="33">
        <v>1114.153030123332</v>
      </c>
      <c r="H59" s="33">
        <v>1150.2557948244678</v>
      </c>
      <c r="I59" s="33">
        <v>1161.7941454379124</v>
      </c>
      <c r="J59" s="33">
        <v>1172.3073513050249</v>
      </c>
      <c r="K59" s="33">
        <v>1202.2978184512447</v>
      </c>
      <c r="L59" s="33">
        <v>1177.6460056346693</v>
      </c>
      <c r="M59" s="33">
        <v>1180.2957302601314</v>
      </c>
      <c r="N59" s="33">
        <v>1212.7593290552397</v>
      </c>
      <c r="O59" s="33">
        <v>1226.9104389816055</v>
      </c>
      <c r="P59" s="33">
        <v>1218.0231584301353</v>
      </c>
      <c r="Q59" s="33">
        <v>1234.3820870006064</v>
      </c>
      <c r="R59" s="33">
        <v>1235.0267222505195</v>
      </c>
      <c r="S59" s="33">
        <v>1244.0513706633783</v>
      </c>
      <c r="T59" s="33">
        <v>1251.4714353181407</v>
      </c>
      <c r="U59" s="33">
        <v>1219.2192171961103</v>
      </c>
      <c r="V59" s="33">
        <v>1174.4171331029038</v>
      </c>
      <c r="W59" s="33">
        <v>1180.8735542598756</v>
      </c>
      <c r="X59" s="33">
        <v>1182.080527686546</v>
      </c>
      <c r="Y59" s="33">
        <v>1198.506947382406</v>
      </c>
      <c r="Z59" s="33">
        <v>1226.5024960821286</v>
      </c>
      <c r="AA59" s="33">
        <v>1233.1197375786612</v>
      </c>
      <c r="AB59" s="33">
        <v>1245.505022944317</v>
      </c>
      <c r="AC59" s="33">
        <v>1226.5112558874318</v>
      </c>
      <c r="AD59" s="33">
        <v>1212.5347332470756</v>
      </c>
      <c r="AE59" s="33">
        <v>1213.6780109474446</v>
      </c>
      <c r="AF59" s="33">
        <v>1219.3143475064498</v>
      </c>
      <c r="AG59" s="33">
        <v>1224.2961396757501</v>
      </c>
      <c r="AH59" s="33">
        <v>1218.8801349496384</v>
      </c>
      <c r="AI59" s="33">
        <v>1193.0224827631187</v>
      </c>
      <c r="AJ59" s="33">
        <v>1182.763981106408</v>
      </c>
      <c r="AK59" s="33">
        <v>1173.7222907982482</v>
      </c>
      <c r="AL59" s="33">
        <v>1164.7702153906903</v>
      </c>
      <c r="AM59" s="33">
        <v>1156.2709349938921</v>
      </c>
      <c r="AN59" s="33">
        <v>1151.279079779561</v>
      </c>
      <c r="AO59" s="33">
        <v>1147.0502584166125</v>
      </c>
      <c r="AP59" s="33">
        <v>1142.6648135956107</v>
      </c>
      <c r="AQ59" s="33">
        <v>1138.6758204641706</v>
      </c>
      <c r="AR59" s="33">
        <v>1134.7416831508829</v>
      </c>
      <c r="AS59" s="33">
        <v>1130.9328262210747</v>
      </c>
      <c r="AT59" s="33">
        <v>1126.4863101676945</v>
      </c>
      <c r="AU59" s="33">
        <v>1122.3404394468398</v>
      </c>
      <c r="AV59" s="33">
        <v>1117.9792609760975</v>
      </c>
      <c r="AW59" s="33">
        <v>1114.2663202888025</v>
      </c>
      <c r="AX59" s="33">
        <v>1113.2936540095764</v>
      </c>
      <c r="AY59" s="33">
        <v>1112.6954349007224</v>
      </c>
      <c r="AZ59" s="33">
        <v>1112.6340923028326</v>
      </c>
      <c r="BA59" s="33">
        <v>1112.4838809143323</v>
      </c>
      <c r="BB59" s="33">
        <v>1112.1357133869997</v>
      </c>
      <c r="BC59" s="33">
        <v>1111.0791178739157</v>
      </c>
      <c r="BD59" s="33">
        <v>1110.3248287429135</v>
      </c>
      <c r="BE59" s="33">
        <v>1109.5199439879548</v>
      </c>
      <c r="BF59" s="33">
        <v>1108.7051607708961</v>
      </c>
      <c r="BG59" s="33">
        <v>1109.1281284948245</v>
      </c>
      <c r="BH59" s="33">
        <v>1108.7720173982527</v>
      </c>
      <c r="BI59" s="33">
        <v>1107.8165188484886</v>
      </c>
      <c r="BJ59" s="33">
        <v>1106.6083971793119</v>
      </c>
      <c r="BK59" s="33">
        <v>1105.7084902761655</v>
      </c>
      <c r="BL59" s="33">
        <v>1105.0259381555688</v>
      </c>
    </row>
    <row r="60" spans="2:64" x14ac:dyDescent="0.35">
      <c r="C60" t="s">
        <v>210</v>
      </c>
      <c r="D60" s="33">
        <v>17.974479419170716</v>
      </c>
      <c r="E60" s="33">
        <v>18.208982689224438</v>
      </c>
      <c r="F60" s="33">
        <v>18.258265182885783</v>
      </c>
      <c r="G60" s="33">
        <v>18.993017117232782</v>
      </c>
      <c r="H60" s="33">
        <v>19.71996272306308</v>
      </c>
      <c r="I60" s="33">
        <v>20.494854622353913</v>
      </c>
      <c r="J60" s="33">
        <v>20.76909288124423</v>
      </c>
      <c r="K60" s="33">
        <v>21.032243016282543</v>
      </c>
      <c r="L60" s="33">
        <v>20.810908693045217</v>
      </c>
      <c r="M60" s="33">
        <v>20.864485546248325</v>
      </c>
      <c r="N60" s="33">
        <v>21.829240565334064</v>
      </c>
      <c r="O60" s="33">
        <v>23.055799754277373</v>
      </c>
      <c r="P60" s="33">
        <v>23.383971235989868</v>
      </c>
      <c r="Q60" s="33">
        <v>24.208552445737563</v>
      </c>
      <c r="R60" s="33">
        <v>24.619102817491001</v>
      </c>
      <c r="S60" s="33">
        <v>24.854074558973934</v>
      </c>
      <c r="T60" s="33">
        <v>24.197274326286305</v>
      </c>
      <c r="U60" s="33">
        <v>23.596625543540551</v>
      </c>
      <c r="V60" s="33">
        <v>23.587870087569605</v>
      </c>
      <c r="W60" s="33">
        <v>23.652177586381878</v>
      </c>
      <c r="X60" s="33">
        <v>24.155324683747807</v>
      </c>
      <c r="Y60" s="33">
        <v>24.76472865945918</v>
      </c>
      <c r="Z60" s="33">
        <v>25.114163804575355</v>
      </c>
      <c r="AA60" s="33">
        <v>25.210852858314524</v>
      </c>
      <c r="AB60" s="33">
        <v>26.12881233395608</v>
      </c>
      <c r="AC60" s="33">
        <v>25.848222092673527</v>
      </c>
      <c r="AD60" s="33">
        <v>25.944448293512139</v>
      </c>
      <c r="AE60" s="33">
        <v>26.08507570846265</v>
      </c>
      <c r="AF60" s="33">
        <v>26.4070049778426</v>
      </c>
      <c r="AG60" s="33">
        <v>26.478973656709112</v>
      </c>
      <c r="AH60" s="33">
        <v>26.852461895770688</v>
      </c>
      <c r="AI60" s="33">
        <v>26.105647438617105</v>
      </c>
      <c r="AJ60" s="33">
        <v>25.952503477941338</v>
      </c>
      <c r="AK60" s="33">
        <v>25.807458927778516</v>
      </c>
      <c r="AL60" s="33">
        <v>25.660848080205579</v>
      </c>
      <c r="AM60" s="33">
        <v>25.521186978988879</v>
      </c>
      <c r="AN60" s="33">
        <v>25.392426722555374</v>
      </c>
      <c r="AO60" s="33">
        <v>25.281543070759103</v>
      </c>
      <c r="AP60" s="33">
        <v>25.163120582869119</v>
      </c>
      <c r="AQ60" s="33">
        <v>25.056577012800396</v>
      </c>
      <c r="AR60" s="33">
        <v>24.95186872148232</v>
      </c>
      <c r="AS60" s="33">
        <v>24.852803290424163</v>
      </c>
      <c r="AT60" s="33">
        <v>24.739436358108268</v>
      </c>
      <c r="AU60" s="33">
        <v>24.634523265759963</v>
      </c>
      <c r="AV60" s="33">
        <v>24.523772178973939</v>
      </c>
      <c r="AW60" s="33">
        <v>24.422964074158592</v>
      </c>
      <c r="AX60" s="33">
        <v>24.404767675568493</v>
      </c>
      <c r="AY60" s="33">
        <v>24.397544216139686</v>
      </c>
      <c r="AZ60" s="33">
        <v>24.40107647143823</v>
      </c>
      <c r="BA60" s="33">
        <v>24.40116333335747</v>
      </c>
      <c r="BB60" s="33">
        <v>24.397147329242824</v>
      </c>
      <c r="BC60" s="33">
        <v>24.375880212072268</v>
      </c>
      <c r="BD60" s="33">
        <v>24.363682092382749</v>
      </c>
      <c r="BE60" s="33">
        <v>24.350431855883464</v>
      </c>
      <c r="BF60" s="33">
        <v>24.339019781016049</v>
      </c>
      <c r="BG60" s="33">
        <v>24.356917958232899</v>
      </c>
      <c r="BH60" s="33">
        <v>24.352887703017714</v>
      </c>
      <c r="BI60" s="33">
        <v>24.33539832816566</v>
      </c>
      <c r="BJ60" s="33">
        <v>24.312834844354089</v>
      </c>
      <c r="BK60" s="33">
        <v>24.300035800951765</v>
      </c>
      <c r="BL60" s="33">
        <v>24.298237615398751</v>
      </c>
    </row>
    <row r="61" spans="2:64" x14ac:dyDescent="0.35">
      <c r="B61" s="9" t="s">
        <v>23</v>
      </c>
      <c r="C61" t="s">
        <v>208</v>
      </c>
      <c r="D61" s="33">
        <v>158.91153335176486</v>
      </c>
      <c r="E61" s="33">
        <v>157.84269804433487</v>
      </c>
      <c r="F61" s="33">
        <v>156.15086181862185</v>
      </c>
      <c r="G61" s="33">
        <v>158.91997621842884</v>
      </c>
      <c r="H61" s="33">
        <v>137.63316223492487</v>
      </c>
      <c r="I61" s="33">
        <v>136.25791438122386</v>
      </c>
      <c r="J61" s="33">
        <v>131.03051961481086</v>
      </c>
      <c r="K61" s="33">
        <v>139.86940948429088</v>
      </c>
      <c r="L61" s="33">
        <v>148.51381935377188</v>
      </c>
      <c r="M61" s="33">
        <v>156.71778922325288</v>
      </c>
      <c r="N61" s="33">
        <v>149.72520220531686</v>
      </c>
      <c r="O61" s="33">
        <v>138.52126518738186</v>
      </c>
      <c r="P61" s="33">
        <v>131.59817616944687</v>
      </c>
      <c r="Q61" s="33">
        <v>123.41705949555485</v>
      </c>
      <c r="R61" s="33">
        <v>124.25222665061285</v>
      </c>
      <c r="S61" s="33">
        <v>119.46081042446386</v>
      </c>
      <c r="T61" s="33">
        <v>118.53337957942854</v>
      </c>
      <c r="U61" s="33">
        <v>114.87540625707396</v>
      </c>
      <c r="V61" s="33">
        <v>109.90963351185434</v>
      </c>
      <c r="W61" s="33">
        <v>107.65432130150933</v>
      </c>
      <c r="X61" s="33">
        <v>108.66302434272133</v>
      </c>
      <c r="Y61" s="33">
        <v>105.30612135168033</v>
      </c>
      <c r="Z61" s="33">
        <v>105.56505373488633</v>
      </c>
      <c r="AA61" s="33">
        <v>102.90891644192334</v>
      </c>
      <c r="AB61" s="33">
        <v>102.98225190491632</v>
      </c>
      <c r="AC61" s="33">
        <v>100.33785234521093</v>
      </c>
      <c r="AD61" s="33">
        <v>100.77986838161853</v>
      </c>
      <c r="AE61" s="33">
        <v>95.215403330625037</v>
      </c>
      <c r="AF61" s="33">
        <v>92.420990082961737</v>
      </c>
      <c r="AG61" s="33">
        <v>90.261880340591432</v>
      </c>
      <c r="AH61" s="33">
        <v>89.80009559783403</v>
      </c>
      <c r="AI61" s="33">
        <v>97.967181342533991</v>
      </c>
      <c r="AJ61" s="33">
        <v>97.439009196035983</v>
      </c>
      <c r="AK61" s="33">
        <v>96.935412273761372</v>
      </c>
      <c r="AL61" s="33">
        <v>96.454204980194547</v>
      </c>
      <c r="AM61" s="33">
        <v>95.993480912457429</v>
      </c>
      <c r="AN61" s="33">
        <v>95.551567243234743</v>
      </c>
      <c r="AO61" s="33">
        <v>95.126988055892525</v>
      </c>
      <c r="AP61" s="33">
        <v>94.718434602966767</v>
      </c>
      <c r="AQ61" s="33">
        <v>94.324740976150906</v>
      </c>
      <c r="AR61" s="33">
        <v>93.944864047600248</v>
      </c>
      <c r="AS61" s="33">
        <v>93.577866813158153</v>
      </c>
      <c r="AT61" s="33">
        <v>93.222904467805833</v>
      </c>
      <c r="AU61" s="33">
        <v>92.879212692572253</v>
      </c>
      <c r="AV61" s="33">
        <v>92.546097744385563</v>
      </c>
      <c r="AW61" s="33">
        <v>92.222928025764844</v>
      </c>
      <c r="AX61" s="33">
        <v>91.90912687685163</v>
      </c>
      <c r="AY61" s="33">
        <v>91.604166383081548</v>
      </c>
      <c r="AZ61" s="33">
        <v>91.307562031464229</v>
      </c>
      <c r="BA61" s="33">
        <v>91.018868079629812</v>
      </c>
      <c r="BB61" s="33">
        <v>90.737673526516716</v>
      </c>
      <c r="BC61" s="33">
        <v>90.463598593273019</v>
      </c>
      <c r="BD61" s="33">
        <v>90.19629163875635</v>
      </c>
      <c r="BE61" s="33">
        <v>89.93542644677504</v>
      </c>
      <c r="BF61" s="33">
        <v>89.680699832571648</v>
      </c>
      <c r="BG61" s="33">
        <v>89.431829524500401</v>
      </c>
      <c r="BH61" s="33">
        <v>89.188552283782315</v>
      </c>
      <c r="BI61" s="33">
        <v>88.950622230933547</v>
      </c>
      <c r="BJ61" s="33">
        <v>88.717809352191495</v>
      </c>
      <c r="BK61" s="33">
        <v>88.489898163196429</v>
      </c>
      <c r="BL61" s="33">
        <v>88.266686510468503</v>
      </c>
    </row>
    <row r="62" spans="2:64" x14ac:dyDescent="0.35">
      <c r="C62" t="s">
        <v>209</v>
      </c>
      <c r="D62" s="33">
        <v>146.83240038291498</v>
      </c>
      <c r="E62" s="33">
        <v>151.18774900965423</v>
      </c>
      <c r="F62" s="33">
        <v>155.30193074796165</v>
      </c>
      <c r="G62" s="33">
        <v>159.24702420150098</v>
      </c>
      <c r="H62" s="33">
        <v>155.57070050467266</v>
      </c>
      <c r="I62" s="33">
        <v>159.25152753281748</v>
      </c>
      <c r="J62" s="33">
        <v>162.95329485884318</v>
      </c>
      <c r="K62" s="33">
        <v>164.94866388248357</v>
      </c>
      <c r="L62" s="33">
        <v>164.37947477693319</v>
      </c>
      <c r="M62" s="33">
        <v>164.9487519389516</v>
      </c>
      <c r="N62" s="33">
        <v>166.22884836943823</v>
      </c>
      <c r="O62" s="33">
        <v>167.54257899359308</v>
      </c>
      <c r="P62" s="33">
        <v>168.50053054165949</v>
      </c>
      <c r="Q62" s="33">
        <v>165.06515594229609</v>
      </c>
      <c r="R62" s="33">
        <v>165.54501449290157</v>
      </c>
      <c r="S62" s="33">
        <v>165.31303279235962</v>
      </c>
      <c r="T62" s="33">
        <v>157.46010681098588</v>
      </c>
      <c r="U62" s="33">
        <v>156.08143928607927</v>
      </c>
      <c r="V62" s="33">
        <v>152.89949553304521</v>
      </c>
      <c r="W62" s="33">
        <v>147.66532001687833</v>
      </c>
      <c r="X62" s="33">
        <v>145.28393742183624</v>
      </c>
      <c r="Y62" s="33">
        <v>139.4552952544955</v>
      </c>
      <c r="Z62" s="33">
        <v>135.11062754515868</v>
      </c>
      <c r="AA62" s="33">
        <v>133.13241065264089</v>
      </c>
      <c r="AB62" s="33">
        <v>131.20971696888637</v>
      </c>
      <c r="AC62" s="33">
        <v>129.61670565159892</v>
      </c>
      <c r="AD62" s="33">
        <v>128.29942101540766</v>
      </c>
      <c r="AE62" s="33">
        <v>126.83037329321982</v>
      </c>
      <c r="AF62" s="33">
        <v>124.24261898370941</v>
      </c>
      <c r="AG62" s="33">
        <v>122.32184695064457</v>
      </c>
      <c r="AH62" s="33">
        <v>120.47725170171125</v>
      </c>
      <c r="AI62" s="33">
        <v>119.78258119360257</v>
      </c>
      <c r="AJ62" s="33">
        <v>118.66358206791716</v>
      </c>
      <c r="AK62" s="33">
        <v>117.86888849325948</v>
      </c>
      <c r="AL62" s="33">
        <v>117.2921512169552</v>
      </c>
      <c r="AM62" s="33">
        <v>116.83194691578088</v>
      </c>
      <c r="AN62" s="33">
        <v>116.41218691742364</v>
      </c>
      <c r="AO62" s="33">
        <v>116.04841581782698</v>
      </c>
      <c r="AP62" s="33">
        <v>115.73551047338428</v>
      </c>
      <c r="AQ62" s="33">
        <v>115.4704342505725</v>
      </c>
      <c r="AR62" s="33">
        <v>115.24106894090215</v>
      </c>
      <c r="AS62" s="33">
        <v>115.03192319721677</v>
      </c>
      <c r="AT62" s="33">
        <v>114.84921453901602</v>
      </c>
      <c r="AU62" s="33">
        <v>114.69440353622809</v>
      </c>
      <c r="AV62" s="33">
        <v>114.56170047143618</v>
      </c>
      <c r="AW62" s="33">
        <v>114.46121576863004</v>
      </c>
      <c r="AX62" s="33">
        <v>114.37917127384532</v>
      </c>
      <c r="AY62" s="33">
        <v>114.31844383363587</v>
      </c>
      <c r="AZ62" s="33">
        <v>114.28166123710162</v>
      </c>
      <c r="BA62" s="33">
        <v>114.26117355734149</v>
      </c>
      <c r="BB62" s="33">
        <v>114.27042679983695</v>
      </c>
      <c r="BC62" s="33">
        <v>114.30182731640915</v>
      </c>
      <c r="BD62" s="33">
        <v>114.35223160380478</v>
      </c>
      <c r="BE62" s="33">
        <v>114.42308985668762</v>
      </c>
      <c r="BF62" s="33">
        <v>114.50879046878246</v>
      </c>
      <c r="BG62" s="33">
        <v>114.61955277592129</v>
      </c>
      <c r="BH62" s="33">
        <v>114.7423922050872</v>
      </c>
      <c r="BI62" s="33">
        <v>114.86430760016943</v>
      </c>
      <c r="BJ62" s="33">
        <v>114.99533653553677</v>
      </c>
      <c r="BK62" s="33">
        <v>115.13552298532832</v>
      </c>
      <c r="BL62" s="33">
        <v>115.29427492057317</v>
      </c>
    </row>
    <row r="63" spans="2:64" x14ac:dyDescent="0.35">
      <c r="C63" t="s">
        <v>210</v>
      </c>
      <c r="D63" s="33">
        <v>0.38051443233678001</v>
      </c>
      <c r="E63" s="33">
        <v>0.38910666251156001</v>
      </c>
      <c r="F63" s="33">
        <v>0.39194349447019999</v>
      </c>
      <c r="G63" s="33">
        <v>0.39690611932356001</v>
      </c>
      <c r="H63" s="33">
        <v>0.38786150416613002</v>
      </c>
      <c r="I63" s="33">
        <v>0.39250936859375002</v>
      </c>
      <c r="J63" s="33">
        <v>0.39445525432688999</v>
      </c>
      <c r="K63" s="33">
        <v>0.40367657713198002</v>
      </c>
      <c r="L63" s="33">
        <v>0.41716092208700001</v>
      </c>
      <c r="M63" s="33">
        <v>0.42889339550025002</v>
      </c>
      <c r="N63" s="33">
        <v>0.43327831812097001</v>
      </c>
      <c r="O63" s="33">
        <v>0.43819658682992996</v>
      </c>
      <c r="P63" s="33">
        <v>0.41880379836026999</v>
      </c>
      <c r="Q63" s="33">
        <v>0.41934405023013999</v>
      </c>
      <c r="R63" s="33">
        <v>0.42315384330873002</v>
      </c>
      <c r="S63" s="33">
        <v>0.42285667032323998</v>
      </c>
      <c r="T63" s="33">
        <v>0.42525321736535998</v>
      </c>
      <c r="U63" s="33">
        <v>0.42634339362064999</v>
      </c>
      <c r="V63" s="33">
        <v>0.42634630393167999</v>
      </c>
      <c r="W63" s="33">
        <v>0.43075928763952998</v>
      </c>
      <c r="X63" s="33">
        <v>0.43929219073337</v>
      </c>
      <c r="Y63" s="33">
        <v>0.44618767611742</v>
      </c>
      <c r="Z63" s="33">
        <v>0.45401259371993002</v>
      </c>
      <c r="AA63" s="33">
        <v>0.46456826074410001</v>
      </c>
      <c r="AB63" s="33">
        <v>0.47869731474375005</v>
      </c>
      <c r="AC63" s="33">
        <v>0.49352953447419995</v>
      </c>
      <c r="AD63" s="33">
        <v>0.51145427377847996</v>
      </c>
      <c r="AE63" s="33">
        <v>0.52451953326306</v>
      </c>
      <c r="AF63" s="33">
        <v>0.53648152524124004</v>
      </c>
      <c r="AG63" s="33">
        <v>0.55165020438433998</v>
      </c>
      <c r="AH63" s="33">
        <v>0.56086822690097005</v>
      </c>
      <c r="AI63" s="33">
        <v>0.56723336997164475</v>
      </c>
      <c r="AJ63" s="33">
        <v>0.57293080639751204</v>
      </c>
      <c r="AK63" s="33">
        <v>0.57846872493742363</v>
      </c>
      <c r="AL63" s="33">
        <v>0.58366977140404275</v>
      </c>
      <c r="AM63" s="33">
        <v>0.58876965339593645</v>
      </c>
      <c r="AN63" s="33">
        <v>0.59356469900046172</v>
      </c>
      <c r="AO63" s="33">
        <v>0.59817260883706613</v>
      </c>
      <c r="AP63" s="33">
        <v>0.60256907254812908</v>
      </c>
      <c r="AQ63" s="33">
        <v>0.60674280078508436</v>
      </c>
      <c r="AR63" s="33">
        <v>0.61070841249635655</v>
      </c>
      <c r="AS63" s="33">
        <v>0.61436924960048322</v>
      </c>
      <c r="AT63" s="33">
        <v>0.61785437749783867</v>
      </c>
      <c r="AU63" s="33">
        <v>0.62112041537300522</v>
      </c>
      <c r="AV63" s="33">
        <v>0.62415993907155942</v>
      </c>
      <c r="AW63" s="33">
        <v>0.62699731781214396</v>
      </c>
      <c r="AX63" s="33">
        <v>0.62974667192908951</v>
      </c>
      <c r="AY63" s="33">
        <v>0.63242833654751995</v>
      </c>
      <c r="AZ63" s="33">
        <v>0.63505663756287256</v>
      </c>
      <c r="BA63" s="33">
        <v>0.6376289678502538</v>
      </c>
      <c r="BB63" s="33">
        <v>0.64014989900028174</v>
      </c>
      <c r="BC63" s="33">
        <v>0.64262907775339217</v>
      </c>
      <c r="BD63" s="33">
        <v>0.64506453747547887</v>
      </c>
      <c r="BE63" s="33">
        <v>0.64746681972040243</v>
      </c>
      <c r="BF63" s="33">
        <v>0.64982655849564941</v>
      </c>
      <c r="BG63" s="33">
        <v>0.65215250563325267</v>
      </c>
      <c r="BH63" s="33">
        <v>0.65443765168113233</v>
      </c>
      <c r="BI63" s="33">
        <v>0.65667247702995302</v>
      </c>
      <c r="BJ63" s="33">
        <v>0.6588975445877443</v>
      </c>
      <c r="BK63" s="33">
        <v>0.66107974430902128</v>
      </c>
      <c r="BL63" s="33">
        <v>0.66325698712114201</v>
      </c>
    </row>
    <row r="64" spans="2:64" x14ac:dyDescent="0.35">
      <c r="B64" s="9" t="s">
        <v>212</v>
      </c>
      <c r="C64" t="s">
        <v>213</v>
      </c>
      <c r="D64" s="33">
        <v>929.92214799999999</v>
      </c>
      <c r="E64" s="33">
        <v>924.65187199999991</v>
      </c>
      <c r="F64" s="33">
        <v>484.07010000000002</v>
      </c>
      <c r="G64" s="33">
        <v>233.207055</v>
      </c>
      <c r="H64" s="33">
        <v>217.51035028647948</v>
      </c>
      <c r="I64" s="33">
        <v>202.20309806580977</v>
      </c>
      <c r="J64" s="33">
        <v>357.9741063061561</v>
      </c>
      <c r="K64" s="33">
        <v>340.09044180247832</v>
      </c>
      <c r="L64" s="33">
        <v>273.73523719662614</v>
      </c>
      <c r="M64" s="33">
        <v>285.48593529563186</v>
      </c>
      <c r="N64" s="33">
        <v>320.78752337609922</v>
      </c>
      <c r="O64" s="33">
        <v>390.70367253936473</v>
      </c>
      <c r="P64" s="33">
        <v>509.11067924658619</v>
      </c>
      <c r="Q64" s="33">
        <v>655.77862267381875</v>
      </c>
      <c r="R64" s="33">
        <v>710.53597295586712</v>
      </c>
      <c r="S64" s="33">
        <v>788.72714877751685</v>
      </c>
      <c r="T64" s="33">
        <v>926.37636069395774</v>
      </c>
      <c r="U64" s="33">
        <v>985.26985465396876</v>
      </c>
      <c r="V64" s="33">
        <v>1077.998628001684</v>
      </c>
      <c r="W64" s="33">
        <v>1151.8680006789793</v>
      </c>
      <c r="X64" s="33">
        <v>1171.0565657742036</v>
      </c>
      <c r="Y64" s="33">
        <v>1231.7613266024246</v>
      </c>
      <c r="Z64" s="33">
        <v>1330.5241567734602</v>
      </c>
      <c r="AA64" s="33">
        <v>1377.1653247860399</v>
      </c>
      <c r="AB64" s="33">
        <v>1425.7947377335977</v>
      </c>
      <c r="AC64" s="33">
        <v>1461.0016081399463</v>
      </c>
      <c r="AD64" s="33">
        <v>1485.3652731690643</v>
      </c>
      <c r="AE64" s="33">
        <v>1540.9876222988848</v>
      </c>
      <c r="AF64" s="33">
        <v>1565.9002562713001</v>
      </c>
      <c r="AG64" s="33">
        <v>1585.879935050873</v>
      </c>
      <c r="AH64" s="33">
        <v>1584.6584758367771</v>
      </c>
      <c r="AI64" s="33">
        <v>1602.6289481771939</v>
      </c>
      <c r="AJ64" s="33">
        <v>1630.5733591169039</v>
      </c>
      <c r="AK64" s="33">
        <v>1671.4854821127956</v>
      </c>
      <c r="AL64" s="33">
        <v>1706.9636254997315</v>
      </c>
      <c r="AM64" s="33">
        <v>1675.4005947850051</v>
      </c>
      <c r="AN64" s="33">
        <v>1664.019648857369</v>
      </c>
      <c r="AO64" s="33">
        <v>1618.8076695177374</v>
      </c>
      <c r="AP64" s="33">
        <v>1579.1082252861111</v>
      </c>
      <c r="AQ64" s="33">
        <v>1559.5118927744413</v>
      </c>
      <c r="AR64" s="33">
        <v>1530.2709479910923</v>
      </c>
      <c r="AS64" s="33">
        <v>1489.8171418106638</v>
      </c>
      <c r="AT64" s="33">
        <v>1451.2566763319992</v>
      </c>
      <c r="AU64" s="33">
        <v>1401.7372495592797</v>
      </c>
      <c r="AV64" s="33">
        <v>1360.1708472968714</v>
      </c>
      <c r="AW64" s="33">
        <v>1334.3864249311571</v>
      </c>
      <c r="AX64" s="33">
        <v>1299.6116523876633</v>
      </c>
      <c r="AY64" s="33">
        <v>1276.1055326138123</v>
      </c>
      <c r="AZ64" s="33">
        <v>1254.6272079588362</v>
      </c>
      <c r="BA64" s="33">
        <v>1235.2640196886814</v>
      </c>
      <c r="BB64" s="33">
        <v>1218.0792709811699</v>
      </c>
      <c r="BC64" s="33">
        <v>1204.8363469727906</v>
      </c>
      <c r="BD64" s="33">
        <v>1194.4343874585638</v>
      </c>
      <c r="BE64" s="33">
        <v>1189.4214240235854</v>
      </c>
      <c r="BF64" s="33">
        <v>1187.4585886499967</v>
      </c>
      <c r="BG64" s="33">
        <v>1188.1955711431629</v>
      </c>
      <c r="BH64" s="33">
        <v>1192.420271365181</v>
      </c>
      <c r="BI64" s="33">
        <v>1200.2578049835233</v>
      </c>
      <c r="BJ64" s="33">
        <v>1210.2777494889488</v>
      </c>
      <c r="BK64" s="33">
        <v>1221.5469630862979</v>
      </c>
      <c r="BL64" s="33">
        <v>1235.9682780158682</v>
      </c>
    </row>
    <row r="65" spans="2:64" x14ac:dyDescent="0.35">
      <c r="B65" s="9" t="s">
        <v>214</v>
      </c>
      <c r="C65" t="s">
        <v>208</v>
      </c>
      <c r="D65" s="33">
        <v>25501.03012829995</v>
      </c>
      <c r="E65" s="33">
        <v>26181.134371891596</v>
      </c>
      <c r="F65" s="33">
        <v>28165.425149143382</v>
      </c>
      <c r="G65" s="33">
        <v>27759.35983996456</v>
      </c>
      <c r="H65" s="33">
        <v>27898.307382731935</v>
      </c>
      <c r="I65" s="33">
        <v>28001.677197127421</v>
      </c>
      <c r="J65" s="33">
        <v>29302.840381859474</v>
      </c>
      <c r="K65" s="33">
        <v>31277.228395215941</v>
      </c>
      <c r="L65" s="33">
        <v>29856.618240044125</v>
      </c>
      <c r="M65" s="33">
        <v>31463.477367915686</v>
      </c>
      <c r="N65" s="33">
        <v>32243.956064900231</v>
      </c>
      <c r="O65" s="33">
        <v>34377.167200122531</v>
      </c>
      <c r="P65" s="33">
        <v>34540.392057992343</v>
      </c>
      <c r="Q65" s="33">
        <v>36239.433483717497</v>
      </c>
      <c r="R65" s="33">
        <v>35833.565754087518</v>
      </c>
      <c r="S65" s="33">
        <v>37420.488362374112</v>
      </c>
      <c r="T65" s="33">
        <v>37326.777368250514</v>
      </c>
      <c r="U65" s="33">
        <v>36407.362662100502</v>
      </c>
      <c r="V65" s="33">
        <v>37506.116079398111</v>
      </c>
      <c r="W65" s="33">
        <v>34617.502200513853</v>
      </c>
      <c r="X65" s="33">
        <v>34807.477210901685</v>
      </c>
      <c r="Y65" s="33">
        <v>34262.086561655058</v>
      </c>
      <c r="Z65" s="33">
        <v>35941.297667208317</v>
      </c>
      <c r="AA65" s="33">
        <v>35238.242644432357</v>
      </c>
      <c r="AB65" s="33">
        <v>35436.463457001279</v>
      </c>
      <c r="AC65" s="33">
        <v>35810.547028604844</v>
      </c>
      <c r="AD65" s="33">
        <v>34150.284804311566</v>
      </c>
      <c r="AE65" s="33">
        <v>35685.814905589788</v>
      </c>
      <c r="AF65" s="33">
        <v>35702.125080359547</v>
      </c>
      <c r="AG65" s="33">
        <v>37117.824320977859</v>
      </c>
      <c r="AH65" s="33">
        <v>34453.317517392126</v>
      </c>
      <c r="AI65" s="33">
        <v>36239.419136161727</v>
      </c>
      <c r="AJ65" s="33">
        <v>35825.620705943977</v>
      </c>
      <c r="AK65" s="33">
        <v>35403.81726677507</v>
      </c>
      <c r="AL65" s="33">
        <v>34887.692460388665</v>
      </c>
      <c r="AM65" s="33">
        <v>34539.633804913814</v>
      </c>
      <c r="AN65" s="33">
        <v>34421.085542480949</v>
      </c>
      <c r="AO65" s="33">
        <v>34315.812925114769</v>
      </c>
      <c r="AP65" s="33">
        <v>34195.224360499735</v>
      </c>
      <c r="AQ65" s="33">
        <v>34270.430981078993</v>
      </c>
      <c r="AR65" s="33">
        <v>33593.291141585338</v>
      </c>
      <c r="AS65" s="33">
        <v>33621.313008351673</v>
      </c>
      <c r="AT65" s="33">
        <v>32994.457984538916</v>
      </c>
      <c r="AU65" s="33">
        <v>32745.599203987003</v>
      </c>
      <c r="AV65" s="33">
        <v>32439.6390193238</v>
      </c>
      <c r="AW65" s="33">
        <v>32101.135252110158</v>
      </c>
      <c r="AX65" s="33">
        <v>31686.627007757532</v>
      </c>
      <c r="AY65" s="33">
        <v>31298.084293841112</v>
      </c>
      <c r="AZ65" s="33">
        <v>30814.476376302937</v>
      </c>
      <c r="BA65" s="33">
        <v>30327.859555536383</v>
      </c>
      <c r="BB65" s="33">
        <v>29057.033007406353</v>
      </c>
      <c r="BC65" s="33">
        <v>28477.643895816025</v>
      </c>
      <c r="BD65" s="33">
        <v>27896.810185770268</v>
      </c>
      <c r="BE65" s="33">
        <v>27241.65215548352</v>
      </c>
      <c r="BF65" s="33">
        <v>26658.255425622843</v>
      </c>
      <c r="BG65" s="33">
        <v>26004.938988757669</v>
      </c>
      <c r="BH65" s="33">
        <v>25260.611268971563</v>
      </c>
      <c r="BI65" s="33">
        <v>24508.590273771213</v>
      </c>
      <c r="BJ65" s="33">
        <v>23752.617803604262</v>
      </c>
      <c r="BK65" s="33">
        <v>22944.22325304769</v>
      </c>
      <c r="BL65" s="33">
        <v>22263.005084088236</v>
      </c>
    </row>
    <row r="66" spans="2:64" x14ac:dyDescent="0.35">
      <c r="C66" t="s">
        <v>209</v>
      </c>
      <c r="D66" s="33">
        <v>1318.8288975581183</v>
      </c>
      <c r="E66" s="33">
        <v>1328.2490677582796</v>
      </c>
      <c r="F66" s="33">
        <v>1311.6813314273531</v>
      </c>
      <c r="G66" s="33">
        <v>1323.6007178460275</v>
      </c>
      <c r="H66" s="33">
        <v>1359.5880879039071</v>
      </c>
      <c r="I66" s="33">
        <v>1369.4199401945921</v>
      </c>
      <c r="J66" s="33">
        <v>1395.1787688958864</v>
      </c>
      <c r="K66" s="33">
        <v>1426.9749555992635</v>
      </c>
      <c r="L66" s="33">
        <v>1400.876022881135</v>
      </c>
      <c r="M66" s="33">
        <v>1405.0427742222244</v>
      </c>
      <c r="N66" s="33">
        <v>1437.9856667890772</v>
      </c>
      <c r="O66" s="33">
        <v>1454.7449982570854</v>
      </c>
      <c r="P66" s="33">
        <v>1443.114159677878</v>
      </c>
      <c r="Q66" s="33">
        <v>1446.3476338290409</v>
      </c>
      <c r="R66" s="33">
        <v>1448.5270487264456</v>
      </c>
      <c r="S66" s="33">
        <v>1460.8400847354351</v>
      </c>
      <c r="T66" s="33">
        <v>1473.9298780793547</v>
      </c>
      <c r="U66" s="33">
        <v>1431.7003877858899</v>
      </c>
      <c r="V66" s="33">
        <v>1374.70888140496</v>
      </c>
      <c r="W66" s="33">
        <v>1380.8132716106577</v>
      </c>
      <c r="X66" s="33">
        <v>1390.5015831253495</v>
      </c>
      <c r="Y66" s="33">
        <v>1397.2369857004178</v>
      </c>
      <c r="Z66" s="33">
        <v>1409.4519662887351</v>
      </c>
      <c r="AA66" s="33">
        <v>1407.4089449915582</v>
      </c>
      <c r="AB66" s="33">
        <v>1419.3829412674022</v>
      </c>
      <c r="AC66" s="33">
        <v>1399.5022123063034</v>
      </c>
      <c r="AD66" s="33">
        <v>1381.4803892154418</v>
      </c>
      <c r="AE66" s="33">
        <v>1376.5751847298511</v>
      </c>
      <c r="AF66" s="33">
        <v>1377.7743429297698</v>
      </c>
      <c r="AG66" s="33">
        <v>1380.3579602829063</v>
      </c>
      <c r="AH66" s="33">
        <v>1370.8586827042357</v>
      </c>
      <c r="AI66" s="33">
        <v>1344.7828899257645</v>
      </c>
      <c r="AJ66" s="33">
        <v>1333.4916839472326</v>
      </c>
      <c r="AK66" s="33">
        <v>1324.1039451290892</v>
      </c>
      <c r="AL66" s="33">
        <v>1314.6404750934375</v>
      </c>
      <c r="AM66" s="33">
        <v>1305.5908849898767</v>
      </c>
      <c r="AN66" s="33">
        <v>1300.1161768212642</v>
      </c>
      <c r="AO66" s="33">
        <v>1295.4678812394318</v>
      </c>
      <c r="AP66" s="33">
        <v>1290.7123292769895</v>
      </c>
      <c r="AQ66" s="33">
        <v>1286.5616163781795</v>
      </c>
      <c r="AR66" s="33">
        <v>1279.6948522077726</v>
      </c>
      <c r="AS66" s="33">
        <v>1275.7701981611244</v>
      </c>
      <c r="AT66" s="33">
        <v>1270.8468041077467</v>
      </c>
      <c r="AU66" s="33">
        <v>1266.5155908019944</v>
      </c>
      <c r="AV66" s="33">
        <v>1261.987512912254</v>
      </c>
      <c r="AW66" s="33">
        <v>1258.1359032045107</v>
      </c>
      <c r="AX66" s="33">
        <v>1257.0446884954767</v>
      </c>
      <c r="AY66" s="33">
        <v>1256.3498139478386</v>
      </c>
      <c r="AZ66" s="33">
        <v>1256.2161902368582</v>
      </c>
      <c r="BA66" s="33">
        <v>1256.0087805306239</v>
      </c>
      <c r="BB66" s="33">
        <v>1252.8480741262947</v>
      </c>
      <c r="BC66" s="33">
        <v>1251.7994982931814</v>
      </c>
      <c r="BD66" s="33">
        <v>1251.0761699725201</v>
      </c>
      <c r="BE66" s="33">
        <v>1250.3080804832289</v>
      </c>
      <c r="BF66" s="33">
        <v>1249.5648495656994</v>
      </c>
      <c r="BG66" s="33">
        <v>1250.0822791514261</v>
      </c>
      <c r="BH66" s="33">
        <v>1249.8270550974951</v>
      </c>
      <c r="BI66" s="33">
        <v>1248.9669285607617</v>
      </c>
      <c r="BJ66" s="33">
        <v>1247.8599946308502</v>
      </c>
      <c r="BK66" s="33">
        <v>1247.0655638509656</v>
      </c>
      <c r="BL66" s="33">
        <v>1246.5051656852618</v>
      </c>
    </row>
    <row r="67" spans="2:64" x14ac:dyDescent="0.35">
      <c r="C67" t="s">
        <v>210</v>
      </c>
      <c r="D67" s="33">
        <v>19.435905159773778</v>
      </c>
      <c r="E67" s="33">
        <v>19.664498818274456</v>
      </c>
      <c r="F67" s="33">
        <v>19.755788107974723</v>
      </c>
      <c r="G67" s="33">
        <v>20.496846499349211</v>
      </c>
      <c r="H67" s="33">
        <v>21.25631863450559</v>
      </c>
      <c r="I67" s="33">
        <v>22.046693317613492</v>
      </c>
      <c r="J67" s="33">
        <v>22.307759164457948</v>
      </c>
      <c r="K67" s="33">
        <v>22.59208014489332</v>
      </c>
      <c r="L67" s="33">
        <v>22.369848891122246</v>
      </c>
      <c r="M67" s="33">
        <v>22.473502688319076</v>
      </c>
      <c r="N67" s="33">
        <v>23.478684314600855</v>
      </c>
      <c r="O67" s="33">
        <v>24.708785579511741</v>
      </c>
      <c r="P67" s="33">
        <v>25.045301855249729</v>
      </c>
      <c r="Q67" s="33">
        <v>25.926977176476115</v>
      </c>
      <c r="R67" s="33">
        <v>26.37342914330571</v>
      </c>
      <c r="S67" s="33">
        <v>26.611548135302737</v>
      </c>
      <c r="T67" s="33">
        <v>25.925276289831405</v>
      </c>
      <c r="U67" s="33">
        <v>25.2918102417973</v>
      </c>
      <c r="V67" s="33">
        <v>25.291922074710534</v>
      </c>
      <c r="W67" s="33">
        <v>25.300545015893018</v>
      </c>
      <c r="X67" s="33">
        <v>25.769921895136864</v>
      </c>
      <c r="Y67" s="33">
        <v>26.374391554453133</v>
      </c>
      <c r="Z67" s="33">
        <v>26.740210498088224</v>
      </c>
      <c r="AA67" s="33">
        <v>26.846629363461947</v>
      </c>
      <c r="AB67" s="33">
        <v>27.742223731070013</v>
      </c>
      <c r="AC67" s="33">
        <v>27.471206658333955</v>
      </c>
      <c r="AD67" s="33">
        <v>27.565690694032838</v>
      </c>
      <c r="AE67" s="33">
        <v>27.665124869470571</v>
      </c>
      <c r="AF67" s="33">
        <v>28.063519969326819</v>
      </c>
      <c r="AG67" s="33">
        <v>28.185772039120344</v>
      </c>
      <c r="AH67" s="33">
        <v>28.401675728399365</v>
      </c>
      <c r="AI67" s="33">
        <v>27.712070461702201</v>
      </c>
      <c r="AJ67" s="33">
        <v>27.568286259494993</v>
      </c>
      <c r="AK67" s="33">
        <v>27.433725435926185</v>
      </c>
      <c r="AL67" s="33">
        <v>27.289879529858712</v>
      </c>
      <c r="AM67" s="33">
        <v>27.158130940213741</v>
      </c>
      <c r="AN67" s="33">
        <v>27.037279937867247</v>
      </c>
      <c r="AO67" s="33">
        <v>26.933972657231749</v>
      </c>
      <c r="AP67" s="33">
        <v>26.822347706567548</v>
      </c>
      <c r="AQ67" s="33">
        <v>26.727085815362937</v>
      </c>
      <c r="AR67" s="33">
        <v>26.593424080257527</v>
      </c>
      <c r="AS67" s="33">
        <v>26.503825018722875</v>
      </c>
      <c r="AT67" s="33">
        <v>26.383956270650163</v>
      </c>
      <c r="AU67" s="33">
        <v>26.281675861467441</v>
      </c>
      <c r="AV67" s="33">
        <v>26.172149670129041</v>
      </c>
      <c r="AW67" s="33">
        <v>26.071678581976467</v>
      </c>
      <c r="AX67" s="33">
        <v>26.052223064308436</v>
      </c>
      <c r="AY67" s="33">
        <v>26.044288466523547</v>
      </c>
      <c r="AZ67" s="33">
        <v>26.045305941008895</v>
      </c>
      <c r="BA67" s="33">
        <v>26.042898878767101</v>
      </c>
      <c r="BB67" s="33">
        <v>25.996220855320253</v>
      </c>
      <c r="BC67" s="33">
        <v>25.970994780000265</v>
      </c>
      <c r="BD67" s="33">
        <v>25.954984374724646</v>
      </c>
      <c r="BE67" s="33">
        <v>25.936668624170927</v>
      </c>
      <c r="BF67" s="33">
        <v>25.92154960700471</v>
      </c>
      <c r="BG67" s="33">
        <v>25.934549818420038</v>
      </c>
      <c r="BH67" s="33">
        <v>25.924159370245558</v>
      </c>
      <c r="BI67" s="33">
        <v>25.900308227498748</v>
      </c>
      <c r="BJ67" s="33">
        <v>25.871522512605001</v>
      </c>
      <c r="BK67" s="33">
        <v>25.851419101550526</v>
      </c>
      <c r="BL67" s="33">
        <v>25.844530495253775</v>
      </c>
    </row>
    <row r="68" spans="2:64" x14ac:dyDescent="0.35">
      <c r="AK68" s="3"/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DB45-7653-49C1-ADB8-64A76F2C68C9}">
  <sheetPr>
    <tabColor theme="4"/>
  </sheetPr>
  <dimension ref="A1:AD144"/>
  <sheetViews>
    <sheetView zoomScale="70" zoomScaleNormal="70" workbookViewId="0">
      <pane xSplit="3" ySplit="1" topLeftCell="F2" activePane="bottomRight" state="frozen"/>
      <selection pane="topRight"/>
      <selection pane="bottomLeft"/>
      <selection pane="bottomRight" activeCell="I11" sqref="I11"/>
    </sheetView>
  </sheetViews>
  <sheetFormatPr defaultColWidth="8.7265625" defaultRowHeight="14.5" x14ac:dyDescent="0.35"/>
  <cols>
    <col min="1" max="1" width="19.1796875" customWidth="1"/>
    <col min="2" max="2" width="37.7265625" customWidth="1"/>
    <col min="3" max="3" width="7.1796875" customWidth="1"/>
    <col min="4" max="5" width="11.1796875" hidden="1" customWidth="1"/>
    <col min="6" max="6" width="13.26953125" customWidth="1"/>
    <col min="7" max="19" width="11.81640625" customWidth="1"/>
    <col min="20" max="20" width="16.453125" customWidth="1"/>
    <col min="22" max="22" width="11.453125" bestFit="1" customWidth="1"/>
    <col min="24" max="24" width="11.1796875" customWidth="1"/>
    <col min="25" max="25" width="11.453125" bestFit="1" customWidth="1"/>
    <col min="27" max="27" width="13.26953125" bestFit="1" customWidth="1"/>
  </cols>
  <sheetData>
    <row r="1" spans="1:30" x14ac:dyDescent="0.35">
      <c r="D1">
        <v>2020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 s="1" t="s">
        <v>52</v>
      </c>
    </row>
    <row r="2" spans="1:30" s="39" customFormat="1" x14ac:dyDescent="0.35">
      <c r="A2" s="38" t="s">
        <v>10</v>
      </c>
      <c r="B2" s="38"/>
      <c r="F2" s="38"/>
      <c r="G2" s="38"/>
      <c r="H2" s="38"/>
      <c r="I2" s="38"/>
      <c r="J2" s="38"/>
      <c r="K2" s="38"/>
      <c r="T2" s="38"/>
    </row>
    <row r="3" spans="1:30" s="39" customFormat="1" x14ac:dyDescent="0.35">
      <c r="A3" s="38"/>
      <c r="B3" s="38"/>
      <c r="F3" s="38"/>
      <c r="G3" s="38"/>
      <c r="H3" s="38"/>
      <c r="I3" s="38"/>
      <c r="J3" s="38"/>
      <c r="K3" s="38"/>
      <c r="T3" s="38"/>
    </row>
    <row r="4" spans="1:30" s="5" customFormat="1" x14ac:dyDescent="0.35">
      <c r="A4" s="1" t="s">
        <v>11</v>
      </c>
      <c r="B4" s="50"/>
    </row>
    <row r="5" spans="1:30" s="5" customFormat="1" x14ac:dyDescent="0.35">
      <c r="B5" s="50" t="s">
        <v>242</v>
      </c>
      <c r="D5" s="43">
        <f>'Demonstration path data'!AH13</f>
        <v>81853.383668423121</v>
      </c>
      <c r="E5" s="43">
        <f>'Demonstration path data'!AI13</f>
        <v>82579.558950865685</v>
      </c>
      <c r="F5" s="5">
        <f>'Demonstration path data'!AJ13</f>
        <v>81240.767489933598</v>
      </c>
      <c r="G5" s="5">
        <f>'Demonstration path data'!AK13</f>
        <v>79780.553460662064</v>
      </c>
      <c r="H5" s="5">
        <f>'Demonstration path data'!AL13</f>
        <v>78173.188839064853</v>
      </c>
      <c r="I5" s="5">
        <f>'Demonstration path data'!AM13</f>
        <v>76473.496294303375</v>
      </c>
      <c r="J5" s="5">
        <f>'Demonstration path data'!AN13</f>
        <v>75463.9588344105</v>
      </c>
      <c r="K5" s="5">
        <f>'Demonstration path data'!AO13</f>
        <v>74345.448262647857</v>
      </c>
      <c r="L5" s="5">
        <f>'Demonstration path data'!AP13</f>
        <v>73138.527289639416</v>
      </c>
      <c r="M5" s="5">
        <f>'Demonstration path data'!AQ13</f>
        <v>71871.973500270091</v>
      </c>
      <c r="N5" s="5">
        <f>'Demonstration path data'!AR13</f>
        <v>69500.845487337428</v>
      </c>
      <c r="O5" s="5">
        <f>'Demonstration path data'!AS13</f>
        <v>67956.423787695021</v>
      </c>
      <c r="P5" s="5">
        <f>'Demonstration path data'!AT13</f>
        <v>66363.673920670393</v>
      </c>
      <c r="Q5" s="5">
        <f>'Demonstration path data'!AU13</f>
        <v>64867.468758357631</v>
      </c>
      <c r="R5" s="5">
        <f>'Demonstration path data'!AV13</f>
        <v>63371.974696644887</v>
      </c>
      <c r="S5" s="5">
        <f>'Demonstration path data'!AW13</f>
        <v>61784.515920141952</v>
      </c>
      <c r="T5" s="5">
        <f>SUM(H5:L5)</f>
        <v>377594.61952006601</v>
      </c>
    </row>
    <row r="6" spans="1:30" s="24" customFormat="1" x14ac:dyDescent="0.35">
      <c r="B6" s="169" t="s">
        <v>243</v>
      </c>
      <c r="D6" s="24">
        <f>'Demonstration path data'!AH12</f>
        <v>73793.158448991046</v>
      </c>
      <c r="E6" s="24">
        <f>'Demonstration path data'!AI12</f>
        <v>75307.348814282159</v>
      </c>
      <c r="F6" s="170">
        <f>'Demonstration path data'!AJ12</f>
        <v>74925.865306479027</v>
      </c>
      <c r="G6" s="170">
        <f>'Demonstration path data'!AK12</f>
        <v>73649.020622385171</v>
      </c>
      <c r="H6" s="170">
        <f>'Demonstration path data'!AL12</f>
        <v>72122.053884700057</v>
      </c>
      <c r="I6" s="170">
        <f>'Demonstration path data'!AM12</f>
        <v>69700.308569491928</v>
      </c>
      <c r="J6" s="170">
        <f>'Demonstration path data'!AN12</f>
        <v>66526.613497394224</v>
      </c>
      <c r="K6" s="170">
        <f>'Demonstration path data'!AO12</f>
        <v>63857.721327852705</v>
      </c>
      <c r="L6" s="170">
        <f>'Demonstration path data'!AP12</f>
        <v>60703.389645464289</v>
      </c>
      <c r="M6" s="170">
        <f>'Demonstration path data'!AQ12</f>
        <v>58295.868785954684</v>
      </c>
      <c r="N6" s="170">
        <f>'Demonstration path data'!AR12</f>
        <v>55377.138276367004</v>
      </c>
      <c r="O6" s="170">
        <f>'Demonstration path data'!AS12</f>
        <v>52848.969092993066</v>
      </c>
      <c r="P6" s="170">
        <f>'Demonstration path data'!AT12</f>
        <v>50431.497938212779</v>
      </c>
      <c r="Q6" s="170">
        <f>'Demonstration path data'!AU12</f>
        <v>48032.97224724172</v>
      </c>
      <c r="R6" s="170">
        <f>'Demonstration path data'!AV12</f>
        <v>45710.434732651433</v>
      </c>
      <c r="S6" s="170">
        <f>'Demonstration path data'!AW12</f>
        <v>43236.865732369064</v>
      </c>
      <c r="T6" s="171">
        <f>SUM(H6:L6)</f>
        <v>332910.08692490321</v>
      </c>
      <c r="X6" s="24" t="s">
        <v>301</v>
      </c>
    </row>
    <row r="7" spans="1:30" s="24" customFormat="1" x14ac:dyDescent="0.35">
      <c r="B7" s="26" t="s">
        <v>238</v>
      </c>
      <c r="D7" s="70">
        <f>D6/1000</f>
        <v>73.793158448991051</v>
      </c>
      <c r="E7" s="70">
        <f>E6/1000</f>
        <v>75.307348814282165</v>
      </c>
      <c r="F7" s="70">
        <f>F6/1000</f>
        <v>74.925865306479025</v>
      </c>
      <c r="G7" s="70">
        <f t="shared" ref="G7:S7" si="0">G6/1000</f>
        <v>73.649020622385166</v>
      </c>
      <c r="H7" s="70">
        <f t="shared" si="0"/>
        <v>72.122053884700051</v>
      </c>
      <c r="I7" s="70">
        <f t="shared" si="0"/>
        <v>69.700308569491924</v>
      </c>
      <c r="J7" s="70">
        <f t="shared" si="0"/>
        <v>66.526613497394223</v>
      </c>
      <c r="K7" s="70">
        <f t="shared" si="0"/>
        <v>63.857721327852708</v>
      </c>
      <c r="L7" s="70">
        <f t="shared" si="0"/>
        <v>60.703389645464291</v>
      </c>
      <c r="M7" s="70">
        <f t="shared" si="0"/>
        <v>58.295868785954681</v>
      </c>
      <c r="N7" s="70">
        <f t="shared" si="0"/>
        <v>55.377138276367006</v>
      </c>
      <c r="O7" s="70">
        <f t="shared" si="0"/>
        <v>52.848969092993066</v>
      </c>
      <c r="P7" s="70">
        <f t="shared" si="0"/>
        <v>50.431497938212779</v>
      </c>
      <c r="Q7" s="70">
        <f t="shared" si="0"/>
        <v>48.032972247241723</v>
      </c>
      <c r="R7" s="70">
        <f t="shared" si="0"/>
        <v>45.710434732651436</v>
      </c>
      <c r="S7" s="70">
        <f t="shared" si="0"/>
        <v>43.236865732369061</v>
      </c>
      <c r="T7" s="70">
        <f>SUM(H7:L7)</f>
        <v>332.91008692490323</v>
      </c>
      <c r="Y7" s="26">
        <v>2024</v>
      </c>
      <c r="Z7" s="26">
        <v>2025</v>
      </c>
      <c r="AA7" s="26">
        <v>2026</v>
      </c>
      <c r="AB7" s="26">
        <v>2027</v>
      </c>
      <c r="AC7" s="26">
        <v>2028</v>
      </c>
      <c r="AD7" s="24" t="s">
        <v>13</v>
      </c>
    </row>
    <row r="8" spans="1:30" x14ac:dyDescent="0.35">
      <c r="A8" s="1"/>
      <c r="B8" s="1"/>
      <c r="F8" s="1"/>
      <c r="G8" s="1"/>
      <c r="H8" s="1"/>
      <c r="I8" s="1"/>
      <c r="J8" s="1"/>
      <c r="K8" s="1"/>
      <c r="T8" s="1"/>
      <c r="X8" t="s">
        <v>14</v>
      </c>
      <c r="Y8" s="13">
        <f>H10/1000</f>
        <v>80.533989646387226</v>
      </c>
      <c r="Z8" s="13">
        <f>I10/1000</f>
        <v>79.8679598428849</v>
      </c>
      <c r="AA8" s="13">
        <f>J10/1000</f>
        <v>79.553396146937089</v>
      </c>
      <c r="AB8" s="13">
        <f>K10/1000</f>
        <v>79.248095563331958</v>
      </c>
      <c r="AC8" s="13">
        <f>L10/1000</f>
        <v>78.927453454264779</v>
      </c>
      <c r="AD8" s="13">
        <f>SUM(Y8:AC8)</f>
        <v>398.13089465380591</v>
      </c>
    </row>
    <row r="9" spans="1:30" x14ac:dyDescent="0.35">
      <c r="A9" s="1" t="s">
        <v>15</v>
      </c>
      <c r="F9" s="1"/>
      <c r="G9" s="1"/>
      <c r="H9" s="1"/>
      <c r="I9" s="1"/>
      <c r="J9" s="1"/>
      <c r="K9" s="1"/>
      <c r="T9" s="1"/>
      <c r="X9" t="s">
        <v>16</v>
      </c>
      <c r="Y9" s="13">
        <f>H28</f>
        <v>42.73023216286235</v>
      </c>
      <c r="Z9" s="13">
        <f>I28</f>
        <v>42.616976478328411</v>
      </c>
      <c r="AA9" s="13">
        <f>J28</f>
        <v>42.00394473287102</v>
      </c>
      <c r="AB9" s="13">
        <f>K28</f>
        <v>41.649491823647743</v>
      </c>
      <c r="AC9" s="13">
        <f>L28</f>
        <v>41.292532856573374</v>
      </c>
      <c r="AD9" s="13">
        <f t="shared" ref="AD9:AD11" si="1">SUM(Y9:AC9)</f>
        <v>210.29317805428292</v>
      </c>
    </row>
    <row r="10" spans="1:30" s="5" customFormat="1" x14ac:dyDescent="0.35">
      <c r="B10" s="50" t="s">
        <v>240</v>
      </c>
      <c r="D10" s="5">
        <f>'Current policy reference data'!AH13</f>
        <v>81853.383668423121</v>
      </c>
      <c r="E10" s="5">
        <f>'Current policy reference data'!AI13</f>
        <v>82743.509937720766</v>
      </c>
      <c r="F10" s="5">
        <f>'Current policy reference data'!AJ13</f>
        <v>82001.722672802556</v>
      </c>
      <c r="G10" s="5">
        <f>'Current policy reference data'!AK13</f>
        <v>81319.861324096026</v>
      </c>
      <c r="H10" s="5">
        <f>'Current policy reference data'!AL13</f>
        <v>80533.989646387228</v>
      </c>
      <c r="I10" s="5">
        <f>'Current policy reference data'!AM13</f>
        <v>79867.959842884899</v>
      </c>
      <c r="J10" s="5">
        <f>'Current policy reference data'!AN13</f>
        <v>79553.396146937084</v>
      </c>
      <c r="K10" s="5">
        <f>'Current policy reference data'!AO13</f>
        <v>79248.095563331954</v>
      </c>
      <c r="L10" s="5">
        <f>'Current policy reference data'!AP13</f>
        <v>78927.453454264774</v>
      </c>
      <c r="M10" s="5">
        <f>'Current policy reference data'!AQ13</f>
        <v>78842.775159947181</v>
      </c>
      <c r="N10" s="5">
        <f>'Current policy reference data'!AR13</f>
        <v>77910.459075782856</v>
      </c>
      <c r="O10" s="5">
        <f>'Current policy reference data'!AS13</f>
        <v>77766.820300126739</v>
      </c>
      <c r="P10" s="5">
        <f>'Current policy reference data'!AT13</f>
        <v>76934.098187030206</v>
      </c>
      <c r="Q10" s="5">
        <f>'Current policy reference data'!AU13</f>
        <v>76490.312864317457</v>
      </c>
      <c r="R10" s="5">
        <f>'Current policy reference data'!AV13</f>
        <v>75989.469639910167</v>
      </c>
      <c r="S10" s="5">
        <f>'Current policy reference data'!AW13</f>
        <v>75492.258605495503</v>
      </c>
      <c r="T10" s="5">
        <f>SUM(H10:L10)</f>
        <v>398130.894653806</v>
      </c>
      <c r="X10" s="5" t="s">
        <v>17</v>
      </c>
      <c r="Y10" s="12">
        <f>H32</f>
        <v>29.391821721837712</v>
      </c>
      <c r="Z10" s="12">
        <f t="shared" ref="Z10:AC10" si="2">I32</f>
        <v>27.083332091163516</v>
      </c>
      <c r="AA10" s="12">
        <f t="shared" si="2"/>
        <v>24.5226687645232</v>
      </c>
      <c r="AB10" s="12">
        <f t="shared" si="2"/>
        <v>22.208229504204958</v>
      </c>
      <c r="AC10" s="12">
        <f t="shared" si="2"/>
        <v>19.410856788890918</v>
      </c>
      <c r="AD10" s="13">
        <f t="shared" si="1"/>
        <v>122.61690887062031</v>
      </c>
    </row>
    <row r="11" spans="1:30" s="5" customFormat="1" x14ac:dyDescent="0.35">
      <c r="B11" s="50" t="s">
        <v>241</v>
      </c>
      <c r="D11" s="5">
        <f>'Current policy reference data'!AH12</f>
        <v>73793.158448991046</v>
      </c>
      <c r="E11" s="5">
        <f>'Current policy reference data'!AI12</f>
        <v>75471.29980113724</v>
      </c>
      <c r="F11" s="5">
        <f>'Current policy reference data'!AJ12</f>
        <v>75843.45992837919</v>
      </c>
      <c r="G11" s="5">
        <f>'Current policy reference data'!AK12</f>
        <v>75374.605748689573</v>
      </c>
      <c r="H11" s="5">
        <f>'Current policy reference data'!AL12</f>
        <v>74705.917754635782</v>
      </c>
      <c r="I11" s="5">
        <f>'Current policy reference data'!AM12</f>
        <v>73366.240498030136</v>
      </c>
      <c r="J11" s="5">
        <f>'Current policy reference data'!AN12</f>
        <v>71781.249503104613</v>
      </c>
      <c r="K11" s="5">
        <f>'Current policy reference data'!AO12</f>
        <v>70000.450438674743</v>
      </c>
      <c r="L11" s="5">
        <f>'Current policy reference data'!AP12</f>
        <v>67822.363408454563</v>
      </c>
      <c r="M11" s="5">
        <f>'Current policy reference data'!AQ12</f>
        <v>66702.90226406476</v>
      </c>
      <c r="N11" s="5">
        <f>'Current policy reference data'!AR12</f>
        <v>65346.038345573048</v>
      </c>
      <c r="O11" s="5">
        <f>'Current policy reference data'!AS12</f>
        <v>64370.275196348091</v>
      </c>
      <c r="P11" s="5">
        <f>'Current policy reference data'!AT12</f>
        <v>62874.674350810339</v>
      </c>
      <c r="Q11" s="5">
        <f>'Current policy reference data'!AU12</f>
        <v>61703.339388185501</v>
      </c>
      <c r="R11" s="5">
        <f>'Current policy reference data'!AV12</f>
        <v>60558.297301932791</v>
      </c>
      <c r="S11" s="5">
        <f>'Current policy reference data'!AW12</f>
        <v>59356.191455910892</v>
      </c>
      <c r="T11" s="5">
        <f t="shared" ref="T11:T12" si="3">SUM(H11:L11)</f>
        <v>357676.22160289984</v>
      </c>
      <c r="X11" s="5" t="s">
        <v>19</v>
      </c>
      <c r="Y11" s="12">
        <f>H7</f>
        <v>72.122053884700051</v>
      </c>
      <c r="Z11" s="12">
        <f t="shared" ref="Z11:AC11" si="4">I7</f>
        <v>69.700308569491924</v>
      </c>
      <c r="AA11" s="12">
        <f t="shared" si="4"/>
        <v>66.526613497394223</v>
      </c>
      <c r="AB11" s="12">
        <f t="shared" si="4"/>
        <v>63.857721327852708</v>
      </c>
      <c r="AC11" s="12">
        <f t="shared" si="4"/>
        <v>60.703389645464291</v>
      </c>
      <c r="AD11" s="13">
        <f t="shared" si="1"/>
        <v>332.91008692490323</v>
      </c>
    </row>
    <row r="12" spans="1:30" s="5" customFormat="1" x14ac:dyDescent="0.35">
      <c r="B12" s="50" t="s">
        <v>239</v>
      </c>
      <c r="D12" s="12">
        <f>D11/1000</f>
        <v>73.793158448991051</v>
      </c>
      <c r="E12" s="12">
        <f>E11/1000</f>
        <v>75.471299801137235</v>
      </c>
      <c r="F12" s="12">
        <f>F11/1000</f>
        <v>75.84345992837919</v>
      </c>
      <c r="G12" s="12">
        <f t="shared" ref="G12:S12" si="5">G11/1000</f>
        <v>75.374605748689575</v>
      </c>
      <c r="H12" s="12">
        <f t="shared" si="5"/>
        <v>74.705917754635777</v>
      </c>
      <c r="I12" s="12">
        <f t="shared" si="5"/>
        <v>73.366240498030137</v>
      </c>
      <c r="J12" s="12">
        <f t="shared" si="5"/>
        <v>71.781249503104618</v>
      </c>
      <c r="K12" s="12">
        <f t="shared" si="5"/>
        <v>70.000450438674747</v>
      </c>
      <c r="L12" s="12">
        <f t="shared" si="5"/>
        <v>67.822363408454564</v>
      </c>
      <c r="M12" s="12">
        <f t="shared" si="5"/>
        <v>66.702902264064761</v>
      </c>
      <c r="N12" s="12">
        <f t="shared" si="5"/>
        <v>65.346038345573049</v>
      </c>
      <c r="O12" s="12">
        <f t="shared" si="5"/>
        <v>64.370275196348089</v>
      </c>
      <c r="P12" s="12">
        <f t="shared" si="5"/>
        <v>62.874674350810338</v>
      </c>
      <c r="Q12" s="12">
        <f t="shared" si="5"/>
        <v>61.703339388185498</v>
      </c>
      <c r="R12" s="12">
        <f t="shared" si="5"/>
        <v>60.558297301932789</v>
      </c>
      <c r="S12" s="12">
        <f t="shared" si="5"/>
        <v>59.356191455910889</v>
      </c>
      <c r="T12" s="12">
        <f t="shared" si="3"/>
        <v>357.67622160289989</v>
      </c>
    </row>
    <row r="13" spans="1:30" s="6" customFormat="1" x14ac:dyDescent="0.35">
      <c r="B13" s="51"/>
    </row>
    <row r="14" spans="1:30" s="91" customFormat="1" x14ac:dyDescent="0.35">
      <c r="A14" s="90" t="s">
        <v>20</v>
      </c>
      <c r="B14" s="90"/>
      <c r="F14" s="92"/>
      <c r="G14" s="92"/>
      <c r="H14" s="92"/>
      <c r="I14" s="92"/>
      <c r="J14" s="92"/>
      <c r="K14" s="92"/>
      <c r="T14" s="93"/>
    </row>
    <row r="15" spans="1:30" s="91" customFormat="1" x14ac:dyDescent="0.35">
      <c r="A15" s="90"/>
      <c r="B15" s="90"/>
      <c r="F15" s="92"/>
      <c r="G15" s="92"/>
      <c r="H15" s="92"/>
      <c r="I15" s="92"/>
      <c r="J15" s="92"/>
      <c r="K15" s="92"/>
      <c r="T15" s="93"/>
    </row>
    <row r="16" spans="1:30" x14ac:dyDescent="0.35">
      <c r="A16" s="1" t="s">
        <v>21</v>
      </c>
      <c r="F16" s="88"/>
      <c r="G16" s="88"/>
      <c r="H16" s="89"/>
      <c r="I16" s="89"/>
      <c r="J16" s="89"/>
      <c r="K16" s="89"/>
      <c r="L16" s="11"/>
      <c r="T16" s="40"/>
      <c r="Y16" s="4"/>
      <c r="AB16" s="2"/>
    </row>
    <row r="17" spans="1:28" x14ac:dyDescent="0.35">
      <c r="B17" t="s">
        <v>22</v>
      </c>
      <c r="D17" s="144">
        <f>'Demonstration path data'!AH9</f>
        <v>42196.053007409682</v>
      </c>
      <c r="E17" s="144">
        <f>'Demonstration path data'!AI9</f>
        <v>41338.722464375009</v>
      </c>
      <c r="F17" s="43">
        <f>'Demonstration path data'!AJ9</f>
        <v>40731.04605066021</v>
      </c>
      <c r="G17" s="43">
        <f>'Demonstration path data'!AK9</f>
        <v>40230.832560766859</v>
      </c>
      <c r="H17" s="43">
        <f>'Demonstration path data'!AL9</f>
        <v>39764.957224016951</v>
      </c>
      <c r="I17" s="43">
        <f>'Demonstration path data'!AM9</f>
        <v>39305.255430351666</v>
      </c>
      <c r="J17" s="43">
        <f>'Demonstration path data'!AN9</f>
        <v>38946.182000135603</v>
      </c>
      <c r="K17" s="43">
        <f>'Demonstration path data'!AO9</f>
        <v>38611.716142501347</v>
      </c>
      <c r="L17" s="43">
        <f>'Demonstration path data'!AP9</f>
        <v>38236.927856504379</v>
      </c>
      <c r="M17" s="43">
        <f>'Demonstration path data'!AQ9</f>
        <v>37868.956785624025</v>
      </c>
      <c r="N17" s="43">
        <f>'Demonstration path data'!AR9</f>
        <v>37508.915932481541</v>
      </c>
      <c r="O17" s="43">
        <f>'Demonstration path data'!AS9</f>
        <v>37227.232644336218</v>
      </c>
      <c r="P17" s="43">
        <f>'Demonstration path data'!AT9</f>
        <v>36930.449057861675</v>
      </c>
      <c r="Q17" s="43">
        <f>'Demonstration path data'!AU9</f>
        <v>36657.265503719165</v>
      </c>
      <c r="R17" s="43">
        <f>'Demonstration path data'!AV9</f>
        <v>36375.348152836334</v>
      </c>
      <c r="S17" s="43">
        <f>'Demonstration path data'!AW9</f>
        <v>36099.714489053484</v>
      </c>
      <c r="T17" s="40">
        <f>SUM(H17:L17)</f>
        <v>194865.03865350998</v>
      </c>
      <c r="Y17" s="4"/>
      <c r="AB17" s="2"/>
    </row>
    <row r="18" spans="1:28" x14ac:dyDescent="0.35">
      <c r="B18" t="s">
        <v>23</v>
      </c>
      <c r="D18" s="144">
        <f>'Demonstration path data'!AH10-'Demonstration path data'!AH21</f>
        <v>2456.0193918946643</v>
      </c>
      <c r="E18" s="144">
        <f>'Demonstration path data'!AI10-'Demonstration path data'!AI21</f>
        <v>2449.4934825080063</v>
      </c>
      <c r="F18" s="43">
        <f>'Demonstration path data'!AJ10-'Demonstration path data'!AJ21</f>
        <v>2409.9202625945004</v>
      </c>
      <c r="G18" s="43">
        <f>'Demonstration path data'!AK10-'Demonstration path data'!AK21</f>
        <v>2354.1457586086199</v>
      </c>
      <c r="H18" s="43">
        <f>'Demonstration path data'!AL10-'Demonstration path data'!AL21</f>
        <v>2296.4355546371535</v>
      </c>
      <c r="I18" s="43">
        <f>'Demonstration path data'!AM10-'Demonstration path data'!AM21</f>
        <v>2238.0846460725734</v>
      </c>
      <c r="J18" s="43">
        <f>'Demonstration path data'!AN10-'Demonstration path data'!AN21</f>
        <v>2178.4652387847218</v>
      </c>
      <c r="K18" s="43">
        <f>'Demonstration path data'!AO10-'Demonstration path data'!AO21</f>
        <v>2118.2016676872381</v>
      </c>
      <c r="L18" s="43">
        <f>'Demonstration path data'!AP10-'Demonstration path data'!AP21</f>
        <v>2057.5519988128895</v>
      </c>
      <c r="M18" s="43">
        <f>'Demonstration path data'!AQ10-'Demonstration path data'!AQ21</f>
        <v>1996.8315137527143</v>
      </c>
      <c r="N18" s="43">
        <f>'Demonstration path data'!AR10-'Demonstration path data'!AR21</f>
        <v>1936.2302715894532</v>
      </c>
      <c r="O18" s="43">
        <f>'Demonstration path data'!AS10-'Demonstration path data'!AS21</f>
        <v>1893.7665841162325</v>
      </c>
      <c r="P18" s="43">
        <f>'Demonstration path data'!AT10-'Demonstration path data'!AT21</f>
        <v>1851.6230489447298</v>
      </c>
      <c r="Q18" s="43">
        <f>'Demonstration path data'!AU10-'Demonstration path data'!AU21</f>
        <v>1809.8073294927019</v>
      </c>
      <c r="R18" s="43">
        <f>'Demonstration path data'!AV10-'Demonstration path data'!AV21</f>
        <v>1768.2461466375221</v>
      </c>
      <c r="S18" s="43">
        <f>'Demonstration path data'!AW10-'Demonstration path data'!AW21</f>
        <v>1726.9422874240479</v>
      </c>
      <c r="T18" s="40">
        <f t="shared" ref="T18:T28" si="6">SUM(H18:L18)</f>
        <v>10888.739105994575</v>
      </c>
    </row>
    <row r="19" spans="1:28" x14ac:dyDescent="0.35">
      <c r="B19" t="s">
        <v>24</v>
      </c>
      <c r="C19" s="22">
        <v>0.38</v>
      </c>
      <c r="D19" s="144">
        <f>$C$19*'Demonstration path data'!AH23</f>
        <v>553.25921133599945</v>
      </c>
      <c r="E19" s="144">
        <f>$C$19*'Demonstration path data'!AI23</f>
        <v>579.51375922895136</v>
      </c>
      <c r="F19" s="43">
        <f>$C$19*'Demonstration path data'!AJ23</f>
        <v>582.4749857944397</v>
      </c>
      <c r="G19" s="43">
        <f>$C$19*'Demonstration path data'!AK23</f>
        <v>561.29291327195824</v>
      </c>
      <c r="H19" s="43">
        <f>$C$19*'Demonstration path data'!AL23</f>
        <v>573.69617964551185</v>
      </c>
      <c r="I19" s="43">
        <f>$C$19*'Demonstration path data'!AM23</f>
        <v>563.17331613992053</v>
      </c>
      <c r="J19" s="43">
        <f>$C$19*'Demonstration path data'!AN23</f>
        <v>559.26513189600178</v>
      </c>
      <c r="K19" s="43">
        <f>$C$19*'Demonstration path data'!AO23</f>
        <v>543.58528348006587</v>
      </c>
      <c r="L19" s="43">
        <f>$C$19*'Demonstration path data'!AP23</f>
        <v>529.95114379767426</v>
      </c>
      <c r="M19" s="43">
        <f>$C$19*'Demonstration path data'!AQ23</f>
        <v>523.35648450057636</v>
      </c>
      <c r="N19" s="43">
        <f>$C$19*'Demonstration path data'!AR23</f>
        <v>457.23458382861855</v>
      </c>
      <c r="O19" s="43">
        <f>$C$19*'Demonstration path data'!AS23</f>
        <v>444.18998834667724</v>
      </c>
      <c r="P19" s="43">
        <f>$C$19*'Demonstration path data'!AT23</f>
        <v>431.9915439382566</v>
      </c>
      <c r="Q19" s="43">
        <f>$C$19*'Demonstration path data'!AU23</f>
        <v>416.44236473710527</v>
      </c>
      <c r="R19" s="43">
        <f>$C$19*'Demonstration path data'!AV23</f>
        <v>403.3064950340023</v>
      </c>
      <c r="S19" s="43">
        <f>$C$19*'Demonstration path data'!AW23</f>
        <v>401.72769791708964</v>
      </c>
      <c r="T19" s="40">
        <f t="shared" si="6"/>
        <v>2769.6710549591744</v>
      </c>
    </row>
    <row r="20" spans="1:28" x14ac:dyDescent="0.35">
      <c r="B20" t="s">
        <v>25</v>
      </c>
      <c r="D20" s="144">
        <f>'Demonstration path data'!AH29</f>
        <v>226.33157889247551</v>
      </c>
      <c r="E20" s="144">
        <f>'Demonstration path data'!AI29</f>
        <v>236.89580093699919</v>
      </c>
      <c r="F20" s="43">
        <f>'Demonstration path data'!AJ29</f>
        <v>231.63399238479201</v>
      </c>
      <c r="G20" s="43">
        <f>'Demonstration path data'!AK29</f>
        <v>235.88031205724425</v>
      </c>
      <c r="H20" s="43">
        <f>'Demonstration path data'!AL29</f>
        <v>239.01888006207875</v>
      </c>
      <c r="I20" s="43">
        <f>'Demonstration path data'!AM29</f>
        <v>242.56287144721853</v>
      </c>
      <c r="J20" s="43">
        <f>'Demonstration path data'!AN29</f>
        <v>246.07429142787544</v>
      </c>
      <c r="K20" s="43">
        <f>'Demonstration path data'!AO29</f>
        <v>249.8031487049364</v>
      </c>
      <c r="L20" s="43">
        <f>'Demonstration path data'!AP29</f>
        <v>253.41290945652128</v>
      </c>
      <c r="M20" s="43">
        <f>'Demonstration path data'!AQ29</f>
        <v>257.02647561344668</v>
      </c>
      <c r="N20" s="43">
        <f>'Demonstration path data'!AR29</f>
        <v>260.49667811194422</v>
      </c>
      <c r="O20" s="43">
        <f>'Demonstration path data'!AS29</f>
        <v>263.98362964767881</v>
      </c>
      <c r="P20" s="43">
        <f>'Demonstration path data'!AT29</f>
        <v>267.40562463279423</v>
      </c>
      <c r="Q20" s="43">
        <f>'Demonstration path data'!AU29</f>
        <v>270.89091248154307</v>
      </c>
      <c r="R20" s="43">
        <f>'Demonstration path data'!AV29</f>
        <v>274.44895234232786</v>
      </c>
      <c r="S20" s="43">
        <f>'Demonstration path data'!AW29</f>
        <v>278.31652548667637</v>
      </c>
      <c r="T20" s="40">
        <f t="shared" si="6"/>
        <v>1230.8721010986303</v>
      </c>
    </row>
    <row r="21" spans="1:28" x14ac:dyDescent="0.35">
      <c r="B21" t="s">
        <v>26</v>
      </c>
      <c r="D21" s="144">
        <f>'Demonstration path data'!AH19</f>
        <v>120</v>
      </c>
      <c r="E21" s="144">
        <f>'Demonstration path data'!AI19</f>
        <v>120</v>
      </c>
      <c r="F21" s="43">
        <f>'Demonstration path data'!AJ19</f>
        <v>119.70741140819536</v>
      </c>
      <c r="G21" s="43">
        <f>'Demonstration path data'!AK19</f>
        <v>120.47023708725533</v>
      </c>
      <c r="H21" s="43">
        <f>'Demonstration path data'!AL19</f>
        <v>121.27989697286772</v>
      </c>
      <c r="I21" s="43">
        <f>'Demonstration path data'!AM19</f>
        <v>122.05730212416833</v>
      </c>
      <c r="J21" s="43">
        <f>'Demonstration path data'!AN19</f>
        <v>122.72836678149071</v>
      </c>
      <c r="K21" s="43">
        <f>'Demonstration path data'!AO19</f>
        <v>123.29096732886505</v>
      </c>
      <c r="L21" s="43">
        <f>'Demonstration path data'!AP19</f>
        <v>123.75498004588582</v>
      </c>
      <c r="M21" s="43">
        <f>'Demonstration path data'!AQ19</f>
        <v>124.13574097417836</v>
      </c>
      <c r="N21" s="43">
        <f>'Demonstration path data'!AR19</f>
        <v>124.45031781607575</v>
      </c>
      <c r="O21" s="43">
        <f>'Demonstration path data'!AS19</f>
        <v>124.81577890055688</v>
      </c>
      <c r="P21" s="43">
        <f>'Demonstration path data'!AT19</f>
        <v>125.14148828536639</v>
      </c>
      <c r="Q21" s="43">
        <f>'Demonstration path data'!AU19</f>
        <v>125.43073459718977</v>
      </c>
      <c r="R21" s="43">
        <f>'Demonstration path data'!AV19</f>
        <v>125.68474452373451</v>
      </c>
      <c r="S21" s="43">
        <f>'Demonstration path data'!AW19</f>
        <v>125.9097720672725</v>
      </c>
      <c r="T21" s="40">
        <f t="shared" si="6"/>
        <v>613.11151325327762</v>
      </c>
    </row>
    <row r="22" spans="1:28" x14ac:dyDescent="0.35">
      <c r="B22" t="s">
        <v>27</v>
      </c>
      <c r="D22" s="144">
        <f>'Demonstration path data'!AH33</f>
        <v>-736.71377373889936</v>
      </c>
      <c r="E22" s="144">
        <f>'Demonstration path data'!AI33</f>
        <v>-943.05881311267149</v>
      </c>
      <c r="F22" s="43">
        <f>'Demonstration path data'!AJ33</f>
        <v>-989.1159819699169</v>
      </c>
      <c r="G22" s="43">
        <f>'Demonstration path data'!AK33</f>
        <v>-651.87850776964206</v>
      </c>
      <c r="H22" s="43">
        <f>'Demonstration path data'!AL33</f>
        <v>-265.15557247221932</v>
      </c>
      <c r="I22" s="43">
        <f>'Demonstration path data'!AM33</f>
        <v>145.84291219286933</v>
      </c>
      <c r="J22" s="43">
        <f>'Demonstration path data'!AN33</f>
        <v>-48.770296154674725</v>
      </c>
      <c r="K22" s="43">
        <f>'Demonstration path data'!AO33</f>
        <v>2.8946139452891657</v>
      </c>
      <c r="L22" s="43">
        <f>'Demonstration path data'!AP33</f>
        <v>90.93396795602348</v>
      </c>
      <c r="M22" s="43">
        <f>'Demonstration path data'!AQ33</f>
        <v>134.05187972000022</v>
      </c>
      <c r="N22" s="43">
        <f>'Demonstration path data'!AR33</f>
        <v>212.84511783828202</v>
      </c>
      <c r="O22" s="43">
        <f>'Demonstration path data'!AS33</f>
        <v>307.78418661095748</v>
      </c>
      <c r="P22" s="43">
        <f>'Demonstration path data'!AT33</f>
        <v>485.59334492086964</v>
      </c>
      <c r="Q22" s="43">
        <f>'Demonstration path data'!AU33</f>
        <v>666.76289414192433</v>
      </c>
      <c r="R22" s="43">
        <f>'Demonstration path data'!AV33</f>
        <v>729.09122257366107</v>
      </c>
      <c r="S22" s="43">
        <f>'Demonstration path data'!AW33</f>
        <v>641.35789191940421</v>
      </c>
      <c r="T22" s="94">
        <f t="shared" si="6"/>
        <v>-74.254374532712063</v>
      </c>
    </row>
    <row r="23" spans="1:28" x14ac:dyDescent="0.35">
      <c r="B23" t="s">
        <v>233</v>
      </c>
      <c r="D23" s="145">
        <f>D22/1000</f>
        <v>-0.73671377373889935</v>
      </c>
      <c r="E23" s="145">
        <f>E22/1000</f>
        <v>-0.94305881311267148</v>
      </c>
      <c r="F23" s="66">
        <f>F22/1000</f>
        <v>-0.9891159819699169</v>
      </c>
      <c r="G23" s="66">
        <f t="shared" ref="G23:S23" si="7">G22/1000</f>
        <v>-0.65187850776964207</v>
      </c>
      <c r="H23" s="66">
        <f t="shared" si="7"/>
        <v>-0.26515557247221933</v>
      </c>
      <c r="I23" s="66">
        <f t="shared" si="7"/>
        <v>0.14584291219286932</v>
      </c>
      <c r="J23" s="66">
        <f t="shared" si="7"/>
        <v>-4.8770296154674722E-2</v>
      </c>
      <c r="K23" s="66">
        <f t="shared" si="7"/>
        <v>2.8946139452891658E-3</v>
      </c>
      <c r="L23" s="66">
        <f t="shared" si="7"/>
        <v>9.0933967956023473E-2</v>
      </c>
      <c r="M23" s="66">
        <f t="shared" si="7"/>
        <v>0.13405187972000021</v>
      </c>
      <c r="N23" s="66">
        <f t="shared" si="7"/>
        <v>0.21284511783828203</v>
      </c>
      <c r="O23" s="66">
        <f t="shared" si="7"/>
        <v>0.30778418661095747</v>
      </c>
      <c r="P23" s="66">
        <f t="shared" si="7"/>
        <v>0.48559334492086964</v>
      </c>
      <c r="Q23" s="66">
        <f t="shared" si="7"/>
        <v>0.66676289414192436</v>
      </c>
      <c r="R23" s="66">
        <f t="shared" si="7"/>
        <v>0.7290912225736611</v>
      </c>
      <c r="S23" s="66">
        <f t="shared" si="7"/>
        <v>0.64135789191940418</v>
      </c>
      <c r="T23" s="94">
        <f t="shared" si="6"/>
        <v>-7.4254374532712067E-2</v>
      </c>
    </row>
    <row r="24" spans="1:28" x14ac:dyDescent="0.35">
      <c r="D24" s="21"/>
      <c r="E24" s="21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40"/>
    </row>
    <row r="25" spans="1:28" x14ac:dyDescent="0.35">
      <c r="B25" t="s">
        <v>28</v>
      </c>
      <c r="D25" s="144">
        <f t="shared" ref="D25:E25" si="8">SUM(D17:D21)</f>
        <v>45551.663189532825</v>
      </c>
      <c r="E25" s="144">
        <f t="shared" si="8"/>
        <v>44724.625507048964</v>
      </c>
      <c r="F25" s="40">
        <f t="shared" ref="F25:S25" si="9">SUM(F17:F21)</f>
        <v>44074.782702842145</v>
      </c>
      <c r="G25" s="40">
        <f t="shared" si="9"/>
        <v>43502.621781791931</v>
      </c>
      <c r="H25" s="40">
        <f t="shared" si="9"/>
        <v>42995.387735334567</v>
      </c>
      <c r="I25" s="40">
        <f t="shared" si="9"/>
        <v>42471.133566135541</v>
      </c>
      <c r="J25" s="40">
        <f t="shared" si="9"/>
        <v>42052.715029025698</v>
      </c>
      <c r="K25" s="40">
        <f t="shared" si="9"/>
        <v>41646.597209702457</v>
      </c>
      <c r="L25" s="40">
        <f t="shared" si="9"/>
        <v>41201.598888617351</v>
      </c>
      <c r="M25" s="40">
        <f t="shared" si="9"/>
        <v>40770.307000464942</v>
      </c>
      <c r="N25" s="40">
        <f t="shared" si="9"/>
        <v>40287.327783827634</v>
      </c>
      <c r="O25" s="40">
        <f t="shared" si="9"/>
        <v>39953.98862534736</v>
      </c>
      <c r="P25" s="40">
        <f t="shared" si="9"/>
        <v>39606.610763662815</v>
      </c>
      <c r="Q25" s="40">
        <f t="shared" si="9"/>
        <v>39279.836845027705</v>
      </c>
      <c r="R25" s="40">
        <f t="shared" si="9"/>
        <v>38947.034491373925</v>
      </c>
      <c r="S25" s="40">
        <f t="shared" si="9"/>
        <v>38632.610771948574</v>
      </c>
      <c r="T25" s="40">
        <f t="shared" si="6"/>
        <v>210367.43242881563</v>
      </c>
    </row>
    <row r="26" spans="1:28" x14ac:dyDescent="0.35">
      <c r="B26" t="s">
        <v>234</v>
      </c>
      <c r="D26" s="145">
        <f>D25/1000</f>
        <v>45.551663189532825</v>
      </c>
      <c r="E26" s="145">
        <f>E25/1000</f>
        <v>44.724625507048962</v>
      </c>
      <c r="F26" s="94">
        <f>F25/1000</f>
        <v>44.074782702842143</v>
      </c>
      <c r="G26" s="94">
        <f t="shared" ref="G26:S26" si="10">G25/1000</f>
        <v>43.50262178179193</v>
      </c>
      <c r="H26" s="94">
        <f t="shared" si="10"/>
        <v>42.995387735334567</v>
      </c>
      <c r="I26" s="94">
        <f t="shared" si="10"/>
        <v>42.471133566135542</v>
      </c>
      <c r="J26" s="94">
        <f t="shared" si="10"/>
        <v>42.052715029025698</v>
      </c>
      <c r="K26" s="94">
        <f t="shared" si="10"/>
        <v>41.646597209702456</v>
      </c>
      <c r="L26" s="94">
        <f t="shared" si="10"/>
        <v>41.201598888617347</v>
      </c>
      <c r="M26" s="94">
        <f t="shared" si="10"/>
        <v>40.770307000464939</v>
      </c>
      <c r="N26" s="94">
        <f t="shared" si="10"/>
        <v>40.287327783827635</v>
      </c>
      <c r="O26" s="94">
        <f t="shared" si="10"/>
        <v>39.953988625347357</v>
      </c>
      <c r="P26" s="94">
        <f t="shared" si="10"/>
        <v>39.606610763662815</v>
      </c>
      <c r="Q26" s="94">
        <f t="shared" si="10"/>
        <v>39.279836845027702</v>
      </c>
      <c r="R26" s="94">
        <f t="shared" si="10"/>
        <v>38.947034491373927</v>
      </c>
      <c r="S26" s="94">
        <f t="shared" si="10"/>
        <v>38.632610771948571</v>
      </c>
      <c r="T26" s="40">
        <f t="shared" si="6"/>
        <v>210.36743242881562</v>
      </c>
    </row>
    <row r="27" spans="1:28" x14ac:dyDescent="0.35">
      <c r="B27" t="s">
        <v>29</v>
      </c>
      <c r="D27" s="144">
        <f t="shared" ref="D27:E27" si="11">D22+D25</f>
        <v>44814.949415793926</v>
      </c>
      <c r="E27" s="144">
        <f t="shared" si="11"/>
        <v>43781.566693936293</v>
      </c>
      <c r="F27" s="40">
        <f t="shared" ref="F27:S27" si="12">F22+F25</f>
        <v>43085.666720872228</v>
      </c>
      <c r="G27" s="40">
        <f t="shared" si="12"/>
        <v>42850.743274022287</v>
      </c>
      <c r="H27" s="40">
        <f t="shared" si="12"/>
        <v>42730.232162862347</v>
      </c>
      <c r="I27" s="40">
        <f t="shared" si="12"/>
        <v>42616.976478328412</v>
      </c>
      <c r="J27" s="40">
        <f t="shared" si="12"/>
        <v>42003.944732871023</v>
      </c>
      <c r="K27" s="40">
        <f t="shared" si="12"/>
        <v>41649.491823647746</v>
      </c>
      <c r="L27" s="40">
        <f t="shared" si="12"/>
        <v>41292.532856573373</v>
      </c>
      <c r="M27" s="40">
        <f t="shared" si="12"/>
        <v>40904.35888018494</v>
      </c>
      <c r="N27" s="40">
        <f t="shared" si="12"/>
        <v>40500.172901665916</v>
      </c>
      <c r="O27" s="40">
        <f t="shared" si="12"/>
        <v>40261.772811958319</v>
      </c>
      <c r="P27" s="40">
        <f t="shared" si="12"/>
        <v>40092.204108583683</v>
      </c>
      <c r="Q27" s="40">
        <f t="shared" si="12"/>
        <v>39946.599739169629</v>
      </c>
      <c r="R27" s="40">
        <f t="shared" si="12"/>
        <v>39676.125713947586</v>
      </c>
      <c r="S27" s="40">
        <f t="shared" si="12"/>
        <v>39273.968663867978</v>
      </c>
      <c r="T27" s="40">
        <f t="shared" si="6"/>
        <v>210293.17805428291</v>
      </c>
    </row>
    <row r="28" spans="1:28" x14ac:dyDescent="0.35">
      <c r="B28" t="s">
        <v>232</v>
      </c>
      <c r="D28" s="145">
        <f>D27/1000</f>
        <v>44.814949415793926</v>
      </c>
      <c r="E28" s="145">
        <f>E27/1000</f>
        <v>43.781566693936291</v>
      </c>
      <c r="F28" s="94">
        <f>F27/1000</f>
        <v>43.085666720872226</v>
      </c>
      <c r="G28" s="94">
        <f t="shared" ref="G28:S28" si="13">G27/1000</f>
        <v>42.850743274022285</v>
      </c>
      <c r="H28" s="94">
        <f t="shared" si="13"/>
        <v>42.73023216286235</v>
      </c>
      <c r="I28" s="94">
        <f t="shared" si="13"/>
        <v>42.616976478328411</v>
      </c>
      <c r="J28" s="94">
        <f t="shared" si="13"/>
        <v>42.00394473287102</v>
      </c>
      <c r="K28" s="94">
        <f t="shared" si="13"/>
        <v>41.649491823647743</v>
      </c>
      <c r="L28" s="94">
        <f t="shared" si="13"/>
        <v>41.292532856573374</v>
      </c>
      <c r="M28" s="94">
        <f t="shared" si="13"/>
        <v>40.904358880184937</v>
      </c>
      <c r="N28" s="94">
        <f t="shared" si="13"/>
        <v>40.500172901665913</v>
      </c>
      <c r="O28" s="94">
        <f t="shared" si="13"/>
        <v>40.261772811958316</v>
      </c>
      <c r="P28" s="94">
        <f t="shared" si="13"/>
        <v>40.09220410858368</v>
      </c>
      <c r="Q28" s="94">
        <f t="shared" si="13"/>
        <v>39.946599739169628</v>
      </c>
      <c r="R28" s="94">
        <f t="shared" si="13"/>
        <v>39.676125713947584</v>
      </c>
      <c r="S28" s="94">
        <f t="shared" si="13"/>
        <v>39.273968663867976</v>
      </c>
      <c r="T28" s="40">
        <f t="shared" si="6"/>
        <v>210.29317805428292</v>
      </c>
    </row>
    <row r="29" spans="1:28" x14ac:dyDescent="0.35">
      <c r="F29" s="43"/>
      <c r="G29" s="66"/>
      <c r="H29" s="66"/>
      <c r="I29" s="66"/>
      <c r="J29" s="66"/>
      <c r="K29" s="66"/>
      <c r="L29" s="40"/>
      <c r="M29" s="40"/>
      <c r="N29" s="40"/>
      <c r="O29" s="40"/>
      <c r="P29" s="40"/>
      <c r="Q29" s="40"/>
      <c r="R29" s="40"/>
      <c r="S29" s="40"/>
      <c r="T29" s="40"/>
    </row>
    <row r="30" spans="1:28" x14ac:dyDescent="0.35">
      <c r="A30" s="1" t="s">
        <v>244</v>
      </c>
      <c r="F30" s="43"/>
      <c r="G30" s="80"/>
      <c r="H30" s="66"/>
      <c r="I30" s="66"/>
      <c r="J30" s="66"/>
      <c r="K30" s="66"/>
      <c r="L30" s="66"/>
      <c r="M30" s="40"/>
      <c r="N30" s="40"/>
      <c r="O30" s="40"/>
      <c r="P30" s="40"/>
      <c r="Q30" s="40"/>
      <c r="R30" s="40"/>
      <c r="S30" s="40"/>
      <c r="T30" s="40"/>
    </row>
    <row r="31" spans="1:28" s="161" customFormat="1" x14ac:dyDescent="0.35">
      <c r="B31" s="162" t="s">
        <v>248</v>
      </c>
      <c r="D31" s="253">
        <f t="shared" ref="D31:E31" si="14">D$6-D27</f>
        <v>28978.209033197119</v>
      </c>
      <c r="E31" s="253">
        <f t="shared" si="14"/>
        <v>31525.782120345866</v>
      </c>
      <c r="F31" s="163">
        <f t="shared" ref="F31:S31" si="15">F$6-F27</f>
        <v>31840.198585606799</v>
      </c>
      <c r="G31" s="164">
        <f t="shared" si="15"/>
        <v>30798.277348362884</v>
      </c>
      <c r="H31" s="164">
        <f t="shared" si="15"/>
        <v>29391.82172183771</v>
      </c>
      <c r="I31" s="164">
        <f t="shared" si="15"/>
        <v>27083.332091163516</v>
      </c>
      <c r="J31" s="164">
        <f t="shared" si="15"/>
        <v>24522.668764523201</v>
      </c>
      <c r="K31" s="164">
        <f t="shared" si="15"/>
        <v>22208.229504204959</v>
      </c>
      <c r="L31" s="163">
        <f t="shared" si="15"/>
        <v>19410.856788890917</v>
      </c>
      <c r="M31" s="163">
        <f t="shared" si="15"/>
        <v>17391.509905769744</v>
      </c>
      <c r="N31" s="163">
        <f t="shared" si="15"/>
        <v>14876.965374701089</v>
      </c>
      <c r="O31" s="163">
        <f t="shared" si="15"/>
        <v>12587.196281034747</v>
      </c>
      <c r="P31" s="163">
        <f t="shared" si="15"/>
        <v>10339.293829629096</v>
      </c>
      <c r="Q31" s="163">
        <f t="shared" si="15"/>
        <v>8086.3725080720906</v>
      </c>
      <c r="R31" s="163">
        <f t="shared" si="15"/>
        <v>6034.309018703847</v>
      </c>
      <c r="S31" s="163">
        <f t="shared" si="15"/>
        <v>3962.8970685010863</v>
      </c>
      <c r="T31" s="163">
        <f>SUM(H31:L31)</f>
        <v>122616.90887062032</v>
      </c>
    </row>
    <row r="32" spans="1:28" s="161" customFormat="1" x14ac:dyDescent="0.35">
      <c r="B32" s="179" t="s">
        <v>235</v>
      </c>
      <c r="D32" s="254">
        <f>D31/1000</f>
        <v>28.978209033197121</v>
      </c>
      <c r="E32" s="254">
        <f>E31/1000</f>
        <v>31.525782120345866</v>
      </c>
      <c r="F32" s="165">
        <f>F31/1000</f>
        <v>31.840198585606799</v>
      </c>
      <c r="G32" s="166">
        <f t="shared" ref="G32:S32" si="16">G31/1000</f>
        <v>30.798277348362884</v>
      </c>
      <c r="H32" s="178">
        <f t="shared" si="16"/>
        <v>29.391821721837712</v>
      </c>
      <c r="I32" s="178">
        <f t="shared" si="16"/>
        <v>27.083332091163516</v>
      </c>
      <c r="J32" s="178">
        <f t="shared" si="16"/>
        <v>24.5226687645232</v>
      </c>
      <c r="K32" s="178">
        <f t="shared" si="16"/>
        <v>22.208229504204958</v>
      </c>
      <c r="L32" s="178">
        <f t="shared" si="16"/>
        <v>19.410856788890918</v>
      </c>
      <c r="M32" s="167">
        <f t="shared" si="16"/>
        <v>17.391509905769745</v>
      </c>
      <c r="N32" s="167">
        <f t="shared" si="16"/>
        <v>14.876965374701088</v>
      </c>
      <c r="O32" s="165">
        <f t="shared" si="16"/>
        <v>12.587196281034746</v>
      </c>
      <c r="P32" s="165">
        <f t="shared" si="16"/>
        <v>10.339293829629096</v>
      </c>
      <c r="Q32" s="165">
        <f t="shared" si="16"/>
        <v>8.0863725080720901</v>
      </c>
      <c r="R32" s="165">
        <f t="shared" si="16"/>
        <v>6.0343090187038468</v>
      </c>
      <c r="S32" s="165">
        <f t="shared" si="16"/>
        <v>3.9628970685010865</v>
      </c>
      <c r="T32" s="165">
        <f>SUM(H32:L32)</f>
        <v>122.61690887062031</v>
      </c>
    </row>
    <row r="33" spans="1:28" s="161" customFormat="1" x14ac:dyDescent="0.35">
      <c r="B33" s="162" t="s">
        <v>236</v>
      </c>
      <c r="D33" s="254">
        <f t="shared" ref="D33:E33" si="17">(D5-D25)/1000</f>
        <v>36.301720478890296</v>
      </c>
      <c r="E33" s="254">
        <f t="shared" si="17"/>
        <v>37.854933443816719</v>
      </c>
      <c r="F33" s="165">
        <f t="shared" ref="F33:S33" si="18">(F5-F25)/1000</f>
        <v>37.165984787091453</v>
      </c>
      <c r="G33" s="165">
        <f t="shared" si="18"/>
        <v>36.277931678870132</v>
      </c>
      <c r="H33" s="165">
        <f t="shared" si="18"/>
        <v>35.177801103730289</v>
      </c>
      <c r="I33" s="165">
        <f t="shared" si="18"/>
        <v>34.002362728167832</v>
      </c>
      <c r="J33" s="165">
        <f t="shared" si="18"/>
        <v>33.4112438053848</v>
      </c>
      <c r="K33" s="165">
        <f t="shared" si="18"/>
        <v>32.6988510529454</v>
      </c>
      <c r="L33" s="165">
        <f t="shared" si="18"/>
        <v>31.936928401022065</v>
      </c>
      <c r="M33" s="165">
        <f t="shared" si="18"/>
        <v>31.101666499805148</v>
      </c>
      <c r="N33" s="165">
        <f t="shared" si="18"/>
        <v>29.213517703509794</v>
      </c>
      <c r="O33" s="165">
        <f t="shared" si="18"/>
        <v>28.002435162347663</v>
      </c>
      <c r="P33" s="165">
        <f t="shared" si="18"/>
        <v>26.757063157007579</v>
      </c>
      <c r="Q33" s="165">
        <f t="shared" si="18"/>
        <v>25.587631913329925</v>
      </c>
      <c r="R33" s="165">
        <f t="shared" si="18"/>
        <v>24.424940205270964</v>
      </c>
      <c r="S33" s="165">
        <f t="shared" si="18"/>
        <v>23.151905148193379</v>
      </c>
      <c r="T33" s="165">
        <f>SUM(H33:L33)</f>
        <v>167.22718709125039</v>
      </c>
    </row>
    <row r="34" spans="1:28" s="161" customFormat="1" x14ac:dyDescent="0.35">
      <c r="B34" s="162" t="s">
        <v>237</v>
      </c>
      <c r="D34" s="254">
        <f>D33-D32</f>
        <v>7.3235114456931747</v>
      </c>
      <c r="E34" s="254">
        <f>E33-E32</f>
        <v>6.3291513234708532</v>
      </c>
      <c r="F34" s="165">
        <f>F33-F32</f>
        <v>5.3257862014846538</v>
      </c>
      <c r="G34" s="165">
        <f t="shared" ref="G34:S34" si="19">G33-G32</f>
        <v>5.4796543305072483</v>
      </c>
      <c r="H34" s="165">
        <f t="shared" si="19"/>
        <v>5.7859793818925773</v>
      </c>
      <c r="I34" s="165">
        <f t="shared" si="19"/>
        <v>6.9190306370043153</v>
      </c>
      <c r="J34" s="165">
        <f t="shared" si="19"/>
        <v>8.8885750408615998</v>
      </c>
      <c r="K34" s="165">
        <f t="shared" si="19"/>
        <v>10.490621548740442</v>
      </c>
      <c r="L34" s="165">
        <f t="shared" si="19"/>
        <v>12.526071612131148</v>
      </c>
      <c r="M34" s="165">
        <f t="shared" si="19"/>
        <v>13.710156594035404</v>
      </c>
      <c r="N34" s="165">
        <f t="shared" si="19"/>
        <v>14.336552328808706</v>
      </c>
      <c r="O34" s="165">
        <f t="shared" si="19"/>
        <v>15.415238881312916</v>
      </c>
      <c r="P34" s="165">
        <f t="shared" si="19"/>
        <v>16.417769327378483</v>
      </c>
      <c r="Q34" s="165">
        <f t="shared" si="19"/>
        <v>17.501259405257834</v>
      </c>
      <c r="R34" s="165">
        <f t="shared" si="19"/>
        <v>18.390631186567116</v>
      </c>
      <c r="S34" s="165">
        <f t="shared" si="19"/>
        <v>19.189008079692293</v>
      </c>
      <c r="T34" s="165">
        <f>SUM(H34:L34)</f>
        <v>44.610278220630079</v>
      </c>
    </row>
    <row r="35" spans="1:28" x14ac:dyDescent="0.35">
      <c r="B35" s="1"/>
      <c r="F35" s="69"/>
      <c r="G35" s="69"/>
      <c r="H35" s="113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2"/>
    </row>
    <row r="36" spans="1:28" s="130" customFormat="1" x14ac:dyDescent="0.35">
      <c r="A36" s="130" t="s">
        <v>30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9"/>
    </row>
    <row r="37" spans="1:28" s="130" customFormat="1" x14ac:dyDescent="0.35">
      <c r="F37" s="148"/>
      <c r="G37" s="148"/>
      <c r="H37" s="148"/>
      <c r="I37" s="148"/>
      <c r="J37" s="148"/>
      <c r="K37" s="148"/>
      <c r="T37" s="149"/>
    </row>
    <row r="38" spans="1:28" x14ac:dyDescent="0.35">
      <c r="A38" s="1" t="s">
        <v>21</v>
      </c>
      <c r="F38" s="88"/>
      <c r="G38" s="88"/>
      <c r="H38" s="89"/>
      <c r="I38" s="89"/>
      <c r="J38" s="89"/>
      <c r="K38" s="89"/>
      <c r="L38" s="11"/>
      <c r="T38" s="40"/>
      <c r="Y38" s="4"/>
      <c r="AB38" s="2"/>
    </row>
    <row r="39" spans="1:28" s="40" customFormat="1" x14ac:dyDescent="0.35">
      <c r="B39" t="s">
        <v>22</v>
      </c>
      <c r="D39" s="40">
        <f>D17</f>
        <v>42196.053007409682</v>
      </c>
      <c r="E39" s="40">
        <f>E17</f>
        <v>41338.722464375009</v>
      </c>
      <c r="F39" s="40">
        <f>'Current policy reference data'!AJ9</f>
        <v>41016.659333916927</v>
      </c>
      <c r="G39" s="40">
        <f>'Current policy reference data'!AK9</f>
        <v>40722.240152774648</v>
      </c>
      <c r="H39" s="40">
        <f>'Current policy reference data'!AL9</f>
        <v>40430.083051772308</v>
      </c>
      <c r="I39" s="40">
        <f>'Current policy reference data'!AM9</f>
        <v>40152.514409759344</v>
      </c>
      <c r="J39" s="40">
        <f>'Current policy reference data'!AN9</f>
        <v>39973.640407629078</v>
      </c>
      <c r="K39" s="40">
        <f>'Current policy reference data'!AO9</f>
        <v>39821.359384887648</v>
      </c>
      <c r="L39" s="40">
        <f>'Current policy reference data'!AP9</f>
        <v>39662.386093551919</v>
      </c>
      <c r="M39" s="40">
        <f>'Current policy reference data'!AQ9</f>
        <v>39518.005615673348</v>
      </c>
      <c r="N39" s="40">
        <f>'Current policy reference data'!AR9</f>
        <v>39375.860901335145</v>
      </c>
      <c r="O39" s="40">
        <f>'Current policy reference data'!AS9</f>
        <v>39238.847378401049</v>
      </c>
      <c r="P39" s="40">
        <f>'Current policy reference data'!AT9</f>
        <v>39079.94962695201</v>
      </c>
      <c r="Q39" s="40">
        <f>'Current policy reference data'!AU9</f>
        <v>38932.095200487893</v>
      </c>
      <c r="R39" s="40">
        <f>'Current policy reference data'!AV9</f>
        <v>38776.492183785493</v>
      </c>
      <c r="S39" s="40">
        <f>'Current policy reference data'!AW9</f>
        <v>38641.797965086429</v>
      </c>
      <c r="T39" s="40">
        <f>SUM(H39:L39)</f>
        <v>200039.98334760033</v>
      </c>
    </row>
    <row r="40" spans="1:28" s="40" customFormat="1" x14ac:dyDescent="0.35">
      <c r="B40" t="s">
        <v>23</v>
      </c>
      <c r="D40" s="40">
        <f t="shared" ref="D40:E40" si="20">D18</f>
        <v>2456.0193918946643</v>
      </c>
      <c r="E40" s="40">
        <f t="shared" si="20"/>
        <v>2449.4934825080063</v>
      </c>
      <c r="F40" s="40">
        <f>'Current policy reference data'!AJ10-'Current policy reference data'!AJ21</f>
        <v>2409.8964242857728</v>
      </c>
      <c r="G40" s="40">
        <f>'Current policy reference data'!AK10-'Current policy reference data'!AK21</f>
        <v>2403.7872785091959</v>
      </c>
      <c r="H40" s="40">
        <f>'Current policy reference data'!AL10-'Current policy reference data'!AL21</f>
        <v>2397.9938129689381</v>
      </c>
      <c r="I40" s="40">
        <f>'Current policy reference data'!AM10-'Current policy reference data'!AM21</f>
        <v>2393.3672276437665</v>
      </c>
      <c r="J40" s="40">
        <f>'Current policy reference data'!AN10-'Current policy reference data'!AN21</f>
        <v>2388.8119100514514</v>
      </c>
      <c r="K40" s="40">
        <f>'Current policy reference data'!AO10-'Current policy reference data'!AO21</f>
        <v>2384.5710478570591</v>
      </c>
      <c r="L40" s="40">
        <f>'Current policy reference data'!AP10-'Current policy reference data'!AP21</f>
        <v>2380.5624467933412</v>
      </c>
      <c r="M40" s="40">
        <f>'Current policy reference data'!AQ10-'Current policy reference data'!AQ21</f>
        <v>2376.8243668646692</v>
      </c>
      <c r="N40" s="40">
        <f>'Current policy reference data'!AR10-'Current policy reference data'!AR21</f>
        <v>2373.2761261411661</v>
      </c>
      <c r="O40" s="40">
        <f>'Current policy reference data'!AS10-'Current policy reference data'!AS21</f>
        <v>2369.6220873830143</v>
      </c>
      <c r="P40" s="40">
        <f>'Current policy reference data'!AT10-'Current policy reference data'!AT21</f>
        <v>2366.1199058039851</v>
      </c>
      <c r="Q40" s="40">
        <f>'Current policy reference data'!AU10-'Current policy reference data'!AU21</f>
        <v>2362.7743739613675</v>
      </c>
      <c r="R40" s="40">
        <f>'Current policy reference data'!AV10-'Current policy reference data'!AV21</f>
        <v>2359.5066363489386</v>
      </c>
      <c r="S40" s="40">
        <f>'Current policy reference data'!AW10-'Current policy reference data'!AW21</f>
        <v>2356.3113791926057</v>
      </c>
      <c r="T40" s="40">
        <f t="shared" ref="T40:T54" si="21">SUM(H40:L40)</f>
        <v>11945.306445314556</v>
      </c>
    </row>
    <row r="41" spans="1:28" ht="15" thickBot="1" x14ac:dyDescent="0.4">
      <c r="B41" t="s">
        <v>24</v>
      </c>
      <c r="C41" s="252">
        <f>C19</f>
        <v>0.38</v>
      </c>
      <c r="D41" s="40">
        <f t="shared" ref="D41:E41" si="22">D19</f>
        <v>553.25921133599945</v>
      </c>
      <c r="E41" s="40">
        <f t="shared" si="22"/>
        <v>579.51375922895136</v>
      </c>
      <c r="F41" s="40">
        <f>$C$41*'Current policy reference data'!AJ23</f>
        <v>582.44080387655811</v>
      </c>
      <c r="G41" s="40">
        <f>$C$41*'Current policy reference data'!AK23</f>
        <v>597.0546142106906</v>
      </c>
      <c r="H41" s="40">
        <f>$C$41*'Current policy reference data'!AL23</f>
        <v>609.7274070285041</v>
      </c>
      <c r="I41" s="40">
        <f>$C$41*'Current policy reference data'!AM23</f>
        <v>598.45309245720375</v>
      </c>
      <c r="J41" s="40">
        <f>$C$41*'Current policy reference data'!AN23</f>
        <v>594.38781857185211</v>
      </c>
      <c r="K41" s="40">
        <f>$C$41*'Current policy reference data'!AO23</f>
        <v>578.23809955173579</v>
      </c>
      <c r="L41" s="40">
        <f>$C$41*'Current policy reference data'!AP23</f>
        <v>564.05745807219887</v>
      </c>
      <c r="M41" s="40">
        <f>$C$41*'Current policy reference data'!AQ23</f>
        <v>557.05764809903042</v>
      </c>
      <c r="N41" s="40">
        <f>$C$41*'Current policy reference data'!AR23</f>
        <v>546.61278262241819</v>
      </c>
      <c r="O41" s="40">
        <f>$C$41*'Current policy reference data'!AS23</f>
        <v>532.1626830547691</v>
      </c>
      <c r="P41" s="40">
        <f>$C$41*'Current policy reference data'!AT23</f>
        <v>518.38888478579008</v>
      </c>
      <c r="Q41" s="40">
        <f>$C$41*'Current policy reference data'!AU23</f>
        <v>500.70054554257467</v>
      </c>
      <c r="R41" s="40">
        <f>$C$41*'Current policy reference data'!AV23</f>
        <v>485.85302665444243</v>
      </c>
      <c r="S41" s="40">
        <f>$C$41*'Current policy reference data'!AW23</f>
        <v>476.64283098540932</v>
      </c>
      <c r="T41" s="40">
        <f t="shared" si="21"/>
        <v>2944.8638756814944</v>
      </c>
    </row>
    <row r="42" spans="1:28" s="40" customFormat="1" ht="15" thickTop="1" x14ac:dyDescent="0.35">
      <c r="B42" t="s">
        <v>25</v>
      </c>
      <c r="D42" s="40">
        <f t="shared" ref="D42:E42" si="23">D20</f>
        <v>226.33157889247551</v>
      </c>
      <c r="E42" s="40">
        <f t="shared" si="23"/>
        <v>236.89580093699919</v>
      </c>
      <c r="F42" s="40">
        <f>'Current policy reference data'!AJ29</f>
        <v>230.7912012229863</v>
      </c>
      <c r="G42" s="40">
        <f>'Current policy reference data'!AK29</f>
        <v>234.54361925936306</v>
      </c>
      <c r="H42" s="40">
        <f>'Current policy reference data'!AL29</f>
        <v>236.93173160768461</v>
      </c>
      <c r="I42" s="40">
        <f>'Current policy reference data'!AM29</f>
        <v>239.652711465576</v>
      </c>
      <c r="J42" s="40">
        <f>'Current policy reference data'!AN29</f>
        <v>242.39264001998779</v>
      </c>
      <c r="K42" s="40">
        <f>'Current policy reference data'!AO29</f>
        <v>245.06235580497241</v>
      </c>
      <c r="L42" s="40">
        <f>'Current policy reference data'!AP29</f>
        <v>247.64218204036609</v>
      </c>
      <c r="M42" s="40">
        <f>'Current policy reference data'!AQ29</f>
        <v>250.00883736241119</v>
      </c>
      <c r="N42" s="40">
        <f>'Current policy reference data'!AR29</f>
        <v>252.18728832902565</v>
      </c>
      <c r="O42" s="40">
        <f>'Current policy reference data'!AS29</f>
        <v>254.29602332857206</v>
      </c>
      <c r="P42" s="40">
        <f>'Current policy reference data'!AT29</f>
        <v>256.34440580371319</v>
      </c>
      <c r="Q42" s="40">
        <f>'Current policy reference data'!AU29</f>
        <v>258.3364170615265</v>
      </c>
      <c r="R42" s="40">
        <f>'Current policy reference data'!AV29</f>
        <v>260.28728633968012</v>
      </c>
      <c r="S42" s="40">
        <f>'Current policy reference data'!AW29</f>
        <v>262.20961404882837</v>
      </c>
      <c r="T42" s="40">
        <f t="shared" si="21"/>
        <v>1211.681620938587</v>
      </c>
    </row>
    <row r="43" spans="1:28" s="40" customFormat="1" x14ac:dyDescent="0.35">
      <c r="B43" t="s">
        <v>26</v>
      </c>
      <c r="D43" s="40">
        <f t="shared" ref="D43:E43" si="24">D21</f>
        <v>120</v>
      </c>
      <c r="E43" s="40">
        <f t="shared" si="24"/>
        <v>120</v>
      </c>
      <c r="F43" s="40">
        <f>'Current policy reference data'!AJ19</f>
        <v>118.96259807191089</v>
      </c>
      <c r="G43" s="40">
        <f>'Current policy reference data'!AK19</f>
        <v>119.1936523354848</v>
      </c>
      <c r="H43" s="40">
        <f>'Current policy reference data'!AL19</f>
        <v>119.67666575848375</v>
      </c>
      <c r="I43" s="40">
        <f>'Current policy reference data'!AM19</f>
        <v>120.18987601464052</v>
      </c>
      <c r="J43" s="40">
        <f>'Current policy reference data'!AN19</f>
        <v>120.67211637945564</v>
      </c>
      <c r="K43" s="40">
        <f>'Current policy reference data'!AO19</f>
        <v>121.12977181664805</v>
      </c>
      <c r="L43" s="40">
        <f>'Current policy reference data'!AP19</f>
        <v>121.55735738720179</v>
      </c>
      <c r="M43" s="40">
        <f>'Current policy reference data'!AQ19</f>
        <v>121.97471697118148</v>
      </c>
      <c r="N43" s="40">
        <f>'Current policy reference data'!AR19</f>
        <v>122.33277427795721</v>
      </c>
      <c r="O43" s="40">
        <f>'Current policy reference data'!AS19</f>
        <v>122.65912962367568</v>
      </c>
      <c r="P43" s="40">
        <f>'Current policy reference data'!AT19</f>
        <v>122.98972981726227</v>
      </c>
      <c r="Q43" s="40">
        <f>'Current policy reference data'!AU19</f>
        <v>123.27505065429928</v>
      </c>
      <c r="R43" s="40">
        <f>'Current policy reference data'!AV19</f>
        <v>123.51241254614196</v>
      </c>
      <c r="S43" s="40">
        <f>'Current policy reference data'!AW19</f>
        <v>123.72422173752589</v>
      </c>
      <c r="T43" s="40">
        <f t="shared" si="21"/>
        <v>603.22578735642969</v>
      </c>
    </row>
    <row r="44" spans="1:28" x14ac:dyDescent="0.35">
      <c r="B44" t="s">
        <v>27</v>
      </c>
      <c r="D44" s="40">
        <f t="shared" ref="D44:E44" si="25">D22</f>
        <v>-736.71377373889936</v>
      </c>
      <c r="E44" s="40">
        <f t="shared" si="25"/>
        <v>-943.05881311267149</v>
      </c>
      <c r="F44" s="40">
        <f>'Current policy reference data'!AJ33</f>
        <v>-860.48962085880612</v>
      </c>
      <c r="G44" s="40">
        <f>'Current policy reference data'!AK33</f>
        <v>-523.25214665853127</v>
      </c>
      <c r="H44" s="40">
        <f>'Current policy reference data'!AL33</f>
        <v>-136.52921136110763</v>
      </c>
      <c r="I44" s="40">
        <f>'Current policy reference data'!AM33</f>
        <v>274.46927330398012</v>
      </c>
      <c r="J44" s="40">
        <f>'Current policy reference data'!AN33</f>
        <v>699.1068089367036</v>
      </c>
      <c r="K44" s="40">
        <f>'Current policy reference data'!AO33</f>
        <v>906.93291549525202</v>
      </c>
      <c r="L44" s="40">
        <f>'Current policy reference data'!AP33</f>
        <v>1000.1277736226857</v>
      </c>
      <c r="M44" s="40">
        <f>'Current policy reference data'!AQ33</f>
        <v>1089.3214200021721</v>
      </c>
      <c r="N44" s="40">
        <f>'Current policy reference data'!AR33</f>
        <v>1166.1288996100266</v>
      </c>
      <c r="O44" s="40">
        <f>'Current policy reference data'!AS33</f>
        <v>1259.0822098722765</v>
      </c>
      <c r="P44" s="40">
        <f>'Current policy reference data'!AT33</f>
        <v>1434.9056096717577</v>
      </c>
      <c r="Q44" s="40">
        <f>'Current policy reference data'!AU33</f>
        <v>1614.0894003823814</v>
      </c>
      <c r="R44" s="40">
        <f>'Current policy reference data'!AV33</f>
        <v>1674.4319703036927</v>
      </c>
      <c r="S44" s="40">
        <f>'Current policy reference data'!AW33</f>
        <v>1584.7128811390066</v>
      </c>
      <c r="T44" s="40">
        <f t="shared" si="21"/>
        <v>2744.1075599975138</v>
      </c>
    </row>
    <row r="45" spans="1:28" x14ac:dyDescent="0.35">
      <c r="B45" t="s">
        <v>233</v>
      </c>
      <c r="F45" s="94">
        <f>F44/1000</f>
        <v>-0.86048962085880609</v>
      </c>
      <c r="G45" s="94">
        <f t="shared" ref="G45:T45" si="26">G44/1000</f>
        <v>-0.52325214665853126</v>
      </c>
      <c r="H45" s="94">
        <f t="shared" si="26"/>
        <v>-0.13652921136110763</v>
      </c>
      <c r="I45" s="94">
        <f t="shared" si="26"/>
        <v>0.27446927330398013</v>
      </c>
      <c r="J45" s="94">
        <f t="shared" si="26"/>
        <v>0.69910680893670363</v>
      </c>
      <c r="K45" s="94">
        <f t="shared" si="26"/>
        <v>0.90693291549525201</v>
      </c>
      <c r="L45" s="94">
        <f t="shared" si="26"/>
        <v>1.0001277736226857</v>
      </c>
      <c r="M45" s="94">
        <f t="shared" si="26"/>
        <v>1.0893214200021721</v>
      </c>
      <c r="N45" s="94">
        <f t="shared" si="26"/>
        <v>1.1661288996100265</v>
      </c>
      <c r="O45" s="94">
        <f t="shared" si="26"/>
        <v>1.2590822098722765</v>
      </c>
      <c r="P45" s="94">
        <f t="shared" si="26"/>
        <v>1.4349056096717576</v>
      </c>
      <c r="Q45" s="94">
        <f t="shared" si="26"/>
        <v>1.6140894003823814</v>
      </c>
      <c r="R45" s="94">
        <f t="shared" si="26"/>
        <v>1.6744319703036927</v>
      </c>
      <c r="S45" s="94">
        <f t="shared" si="26"/>
        <v>1.5847128811390065</v>
      </c>
      <c r="T45" s="94">
        <f t="shared" si="26"/>
        <v>2.7441075599975138</v>
      </c>
    </row>
    <row r="46" spans="1:28" x14ac:dyDescent="0.35"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8" x14ac:dyDescent="0.35">
      <c r="B47" t="s">
        <v>28</v>
      </c>
      <c r="D47" s="40">
        <f>SUM(D39:D43)</f>
        <v>45551.663189532825</v>
      </c>
      <c r="E47" s="40">
        <f>SUM(E39:E43)</f>
        <v>44724.625507048964</v>
      </c>
      <c r="F47" s="40">
        <f>SUM(F39:F43)</f>
        <v>44358.750361374157</v>
      </c>
      <c r="G47" s="40">
        <f>SUM(G39:G43)</f>
        <v>44076.819317089379</v>
      </c>
      <c r="H47" s="40">
        <f t="shared" ref="H47:S47" si="27">H39+H40+H41+H43+H42</f>
        <v>43794.41266913592</v>
      </c>
      <c r="I47" s="40">
        <f t="shared" si="27"/>
        <v>43504.177317340531</v>
      </c>
      <c r="J47" s="40">
        <f t="shared" si="27"/>
        <v>43319.904892651823</v>
      </c>
      <c r="K47" s="40">
        <f t="shared" si="27"/>
        <v>43150.360659918064</v>
      </c>
      <c r="L47" s="40">
        <f t="shared" si="27"/>
        <v>42976.205537845024</v>
      </c>
      <c r="M47" s="40">
        <f t="shared" si="27"/>
        <v>42823.871184970638</v>
      </c>
      <c r="N47" s="40">
        <f t="shared" si="27"/>
        <v>42670.269872705714</v>
      </c>
      <c r="O47" s="40">
        <f t="shared" si="27"/>
        <v>42517.587301791078</v>
      </c>
      <c r="P47" s="40">
        <f t="shared" si="27"/>
        <v>42343.792553162762</v>
      </c>
      <c r="Q47" s="40">
        <f t="shared" si="27"/>
        <v>42177.181587707659</v>
      </c>
      <c r="R47" s="40">
        <f t="shared" si="27"/>
        <v>42005.651545674693</v>
      </c>
      <c r="S47" s="40">
        <f t="shared" si="27"/>
        <v>41860.686011050799</v>
      </c>
      <c r="T47" s="40">
        <f t="shared" si="21"/>
        <v>216745.06107689138</v>
      </c>
      <c r="V47" s="40"/>
    </row>
    <row r="48" spans="1:28" x14ac:dyDescent="0.35">
      <c r="B48" t="s">
        <v>29</v>
      </c>
      <c r="D48" s="40">
        <f>D44+D47</f>
        <v>44814.949415793926</v>
      </c>
      <c r="E48" s="40">
        <f>E44+E47</f>
        <v>43781.566693936293</v>
      </c>
      <c r="F48" s="40">
        <f>F44+F47</f>
        <v>43498.260740515354</v>
      </c>
      <c r="G48" s="40">
        <f>G44+G47</f>
        <v>43553.567170430848</v>
      </c>
      <c r="H48" s="40">
        <f t="shared" ref="H48:S48" si="28">H44+H47</f>
        <v>43657.883457774813</v>
      </c>
      <c r="I48" s="40">
        <f t="shared" si="28"/>
        <v>43778.646590644508</v>
      </c>
      <c r="J48" s="40">
        <f t="shared" si="28"/>
        <v>44019.011701588526</v>
      </c>
      <c r="K48" s="40">
        <f t="shared" si="28"/>
        <v>44057.293575413314</v>
      </c>
      <c r="L48" s="40">
        <f t="shared" si="28"/>
        <v>43976.333311467708</v>
      </c>
      <c r="M48" s="40">
        <f t="shared" si="28"/>
        <v>43913.192604972806</v>
      </c>
      <c r="N48" s="40">
        <f t="shared" si="28"/>
        <v>43836.398772315741</v>
      </c>
      <c r="O48" s="40">
        <f t="shared" si="28"/>
        <v>43776.669511663356</v>
      </c>
      <c r="P48" s="40">
        <f t="shared" si="28"/>
        <v>43778.698162834524</v>
      </c>
      <c r="Q48" s="40">
        <f t="shared" si="28"/>
        <v>43791.270988090037</v>
      </c>
      <c r="R48" s="40">
        <f t="shared" si="28"/>
        <v>43680.083515978389</v>
      </c>
      <c r="S48" s="40">
        <f t="shared" si="28"/>
        <v>43445.398892189805</v>
      </c>
      <c r="T48" s="40">
        <f t="shared" si="21"/>
        <v>219489.16863688885</v>
      </c>
    </row>
    <row r="49" spans="1:25" x14ac:dyDescent="0.35"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Y49" s="40"/>
    </row>
    <row r="50" spans="1:25" x14ac:dyDescent="0.35">
      <c r="A50" s="1" t="s">
        <v>31</v>
      </c>
      <c r="F50" s="41"/>
      <c r="G50" s="41"/>
      <c r="H50" s="41"/>
      <c r="I50" s="41"/>
      <c r="J50" s="41"/>
      <c r="K50" s="41"/>
      <c r="L50" s="40"/>
      <c r="M50" s="40"/>
      <c r="N50" s="40"/>
      <c r="O50" s="40"/>
      <c r="P50" s="40"/>
      <c r="Q50" s="40"/>
      <c r="R50" s="40"/>
      <c r="S50" s="40"/>
      <c r="T50" s="40"/>
    </row>
    <row r="51" spans="1:25" s="161" customFormat="1" x14ac:dyDescent="0.35">
      <c r="B51" s="162" t="s">
        <v>249</v>
      </c>
      <c r="D51" s="163">
        <f t="shared" ref="D51:E51" si="29">D$6-D48</f>
        <v>28978.209033197119</v>
      </c>
      <c r="E51" s="163">
        <f t="shared" si="29"/>
        <v>31525.782120345866</v>
      </c>
      <c r="F51" s="163">
        <f t="shared" ref="F51:S51" si="30">F$6-F48</f>
        <v>31427.604565963673</v>
      </c>
      <c r="G51" s="163">
        <f t="shared" si="30"/>
        <v>30095.453451954323</v>
      </c>
      <c r="H51" s="163">
        <f t="shared" si="30"/>
        <v>28464.170426925244</v>
      </c>
      <c r="I51" s="163">
        <f t="shared" si="30"/>
        <v>25921.66197884742</v>
      </c>
      <c r="J51" s="163">
        <f t="shared" si="30"/>
        <v>22507.601795805698</v>
      </c>
      <c r="K51" s="163">
        <f t="shared" si="30"/>
        <v>19800.427752439391</v>
      </c>
      <c r="L51" s="163">
        <f t="shared" si="30"/>
        <v>16727.056333996581</v>
      </c>
      <c r="M51" s="163">
        <f t="shared" si="30"/>
        <v>14382.676180981878</v>
      </c>
      <c r="N51" s="163">
        <f t="shared" si="30"/>
        <v>11540.739504051264</v>
      </c>
      <c r="O51" s="163">
        <f t="shared" si="30"/>
        <v>9072.2995813297093</v>
      </c>
      <c r="P51" s="163">
        <f t="shared" si="30"/>
        <v>6652.7997753782547</v>
      </c>
      <c r="Q51" s="163">
        <f t="shared" si="30"/>
        <v>4241.7012591516832</v>
      </c>
      <c r="R51" s="163">
        <f t="shared" si="30"/>
        <v>2030.3512166730434</v>
      </c>
      <c r="S51" s="163">
        <f t="shared" si="30"/>
        <v>-208.53315982074128</v>
      </c>
      <c r="T51" s="164">
        <f t="shared" si="21"/>
        <v>113420.91828801433</v>
      </c>
    </row>
    <row r="52" spans="1:25" s="161" customFormat="1" x14ac:dyDescent="0.35">
      <c r="B52" s="162" t="s">
        <v>245</v>
      </c>
      <c r="D52" s="165">
        <f>D51/1000</f>
        <v>28.978209033197121</v>
      </c>
      <c r="E52" s="165">
        <f>E51/1000</f>
        <v>31.525782120345866</v>
      </c>
      <c r="F52" s="165">
        <f>F51/1000</f>
        <v>31.427604565963673</v>
      </c>
      <c r="G52" s="165">
        <f t="shared" ref="G52:S52" si="31">G51/1000</f>
        <v>30.095453451954324</v>
      </c>
      <c r="H52" s="165">
        <f t="shared" si="31"/>
        <v>28.464170426925243</v>
      </c>
      <c r="I52" s="165">
        <f t="shared" si="31"/>
        <v>25.921661978847421</v>
      </c>
      <c r="J52" s="165">
        <f t="shared" si="31"/>
        <v>22.507601795805698</v>
      </c>
      <c r="K52" s="165">
        <f t="shared" si="31"/>
        <v>19.80042775243939</v>
      </c>
      <c r="L52" s="165">
        <f t="shared" si="31"/>
        <v>16.727056333996583</v>
      </c>
      <c r="M52" s="165">
        <f t="shared" si="31"/>
        <v>14.382676180981878</v>
      </c>
      <c r="N52" s="165">
        <f t="shared" si="31"/>
        <v>11.540739504051263</v>
      </c>
      <c r="O52" s="165">
        <f t="shared" si="31"/>
        <v>9.0722995813297089</v>
      </c>
      <c r="P52" s="165">
        <f t="shared" si="31"/>
        <v>6.6527997753782548</v>
      </c>
      <c r="Q52" s="165">
        <f t="shared" si="31"/>
        <v>4.2417012591516832</v>
      </c>
      <c r="R52" s="165">
        <f t="shared" si="31"/>
        <v>2.0303512166730435</v>
      </c>
      <c r="S52" s="165">
        <f t="shared" si="31"/>
        <v>-0.20853315982074128</v>
      </c>
      <c r="T52" s="228">
        <f t="shared" si="21"/>
        <v>113.42091828801433</v>
      </c>
    </row>
    <row r="53" spans="1:25" s="161" customFormat="1" x14ac:dyDescent="0.35">
      <c r="B53" s="162" t="s">
        <v>246</v>
      </c>
      <c r="D53" s="165">
        <f t="shared" ref="D53:E53" si="32">(D10-D47)/1000</f>
        <v>36.301720478890296</v>
      </c>
      <c r="E53" s="165">
        <f t="shared" si="32"/>
        <v>38.018884430671804</v>
      </c>
      <c r="F53" s="165">
        <f t="shared" ref="F53:S53" si="33">(F10-F47)/1000</f>
        <v>37.642972311428402</v>
      </c>
      <c r="G53" s="165">
        <f t="shared" si="33"/>
        <v>37.243042007006643</v>
      </c>
      <c r="H53" s="165">
        <f t="shared" si="33"/>
        <v>36.739576977251311</v>
      </c>
      <c r="I53" s="165">
        <f t="shared" si="33"/>
        <v>36.363782525544366</v>
      </c>
      <c r="J53" s="165">
        <f t="shared" si="33"/>
        <v>36.233491254285262</v>
      </c>
      <c r="K53" s="165">
        <f t="shared" si="33"/>
        <v>36.097734903413887</v>
      </c>
      <c r="L53" s="165">
        <f t="shared" si="33"/>
        <v>35.951247916419753</v>
      </c>
      <c r="M53" s="165">
        <f t="shared" si="33"/>
        <v>36.018903974976546</v>
      </c>
      <c r="N53" s="165">
        <f t="shared" si="33"/>
        <v>35.240189203077144</v>
      </c>
      <c r="O53" s="165">
        <f t="shared" si="33"/>
        <v>35.249232998335664</v>
      </c>
      <c r="P53" s="165">
        <f t="shared" si="33"/>
        <v>34.590305633867445</v>
      </c>
      <c r="Q53" s="165">
        <f t="shared" si="33"/>
        <v>34.313131276609795</v>
      </c>
      <c r="R53" s="165">
        <f t="shared" si="33"/>
        <v>33.983818094235474</v>
      </c>
      <c r="S53" s="165">
        <f t="shared" si="33"/>
        <v>33.631572594444705</v>
      </c>
      <c r="T53" s="228">
        <f t="shared" si="21"/>
        <v>181.38583357691459</v>
      </c>
    </row>
    <row r="54" spans="1:25" s="161" customFormat="1" x14ac:dyDescent="0.35">
      <c r="B54" s="162" t="s">
        <v>237</v>
      </c>
      <c r="D54" s="165">
        <f>D53-D52</f>
        <v>7.3235114456931747</v>
      </c>
      <c r="E54" s="165">
        <f>E53-E52</f>
        <v>6.4931023103259378</v>
      </c>
      <c r="F54" s="165">
        <f t="shared" ref="F54:S54" si="34">F53-F52</f>
        <v>6.2153677454647287</v>
      </c>
      <c r="G54" s="165">
        <f t="shared" si="34"/>
        <v>7.1475885550523195</v>
      </c>
      <c r="H54" s="165">
        <f t="shared" si="34"/>
        <v>8.2754065503260676</v>
      </c>
      <c r="I54" s="165">
        <f t="shared" si="34"/>
        <v>10.442120546696945</v>
      </c>
      <c r="J54" s="165">
        <f t="shared" si="34"/>
        <v>13.725889458479564</v>
      </c>
      <c r="K54" s="165">
        <f t="shared" si="34"/>
        <v>16.297307150974497</v>
      </c>
      <c r="L54" s="165">
        <f t="shared" si="34"/>
        <v>19.22419158242317</v>
      </c>
      <c r="M54" s="165">
        <f t="shared" si="34"/>
        <v>21.636227793994667</v>
      </c>
      <c r="N54" s="165">
        <f t="shared" si="34"/>
        <v>23.69944969902588</v>
      </c>
      <c r="O54" s="165">
        <f t="shared" si="34"/>
        <v>26.176933417005955</v>
      </c>
      <c r="P54" s="165">
        <f t="shared" si="34"/>
        <v>27.937505858489189</v>
      </c>
      <c r="Q54" s="165">
        <f t="shared" si="34"/>
        <v>30.071430017458113</v>
      </c>
      <c r="R54" s="165">
        <f t="shared" si="34"/>
        <v>31.95346687756243</v>
      </c>
      <c r="S54" s="165">
        <f t="shared" si="34"/>
        <v>33.840105754265444</v>
      </c>
      <c r="T54" s="228">
        <f t="shared" si="21"/>
        <v>67.964915288900244</v>
      </c>
    </row>
    <row r="55" spans="1:25" x14ac:dyDescent="0.35">
      <c r="B55" s="1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</row>
    <row r="56" spans="1:25" s="39" customFormat="1" x14ac:dyDescent="0.35">
      <c r="A56" s="38" t="s">
        <v>247</v>
      </c>
      <c r="B56" s="38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5"/>
    </row>
    <row r="57" spans="1:25" ht="32.5" customHeight="1" x14ac:dyDescent="0.35">
      <c r="B57" s="1" t="s">
        <v>273</v>
      </c>
      <c r="G57" s="86">
        <v>32.33</v>
      </c>
      <c r="H57" s="86">
        <v>31.08</v>
      </c>
      <c r="I57" s="82">
        <v>28.7</v>
      </c>
      <c r="J57" s="82">
        <v>26.17</v>
      </c>
      <c r="K57" s="82">
        <v>23.69</v>
      </c>
      <c r="L57" s="222">
        <v>20.88</v>
      </c>
      <c r="M57" s="222">
        <v>18.79</v>
      </c>
      <c r="N57" s="223">
        <v>16.29</v>
      </c>
      <c r="O57" s="223">
        <v>14</v>
      </c>
      <c r="P57" s="223">
        <v>11.74</v>
      </c>
      <c r="Q57" s="223">
        <v>9.4600000000000009</v>
      </c>
      <c r="R57" s="223">
        <v>7.33</v>
      </c>
      <c r="S57" s="223">
        <v>5.16</v>
      </c>
      <c r="T57" s="72">
        <f>SUM(H57:L57)</f>
        <v>130.52000000000001</v>
      </c>
    </row>
    <row r="58" spans="1:25" x14ac:dyDescent="0.35">
      <c r="B58" t="s">
        <v>250</v>
      </c>
      <c r="G58" s="13">
        <f>G32-G57</f>
        <v>-1.5317226516371143</v>
      </c>
      <c r="H58" s="13">
        <f t="shared" ref="H58:S58" si="35">H32-H57</f>
        <v>-1.6881782781622867</v>
      </c>
      <c r="I58" s="13">
        <f t="shared" si="35"/>
        <v>-1.616667908836483</v>
      </c>
      <c r="J58" s="13">
        <f t="shared" si="35"/>
        <v>-1.6473312354768019</v>
      </c>
      <c r="K58" s="13">
        <f>K32-K57</f>
        <v>-1.4817704957950433</v>
      </c>
      <c r="L58" s="13">
        <f t="shared" si="35"/>
        <v>-1.4691432111090812</v>
      </c>
      <c r="M58" s="14">
        <f t="shared" si="35"/>
        <v>-1.3984900942302545</v>
      </c>
      <c r="N58" s="14">
        <f t="shared" si="35"/>
        <v>-1.413034625298911</v>
      </c>
      <c r="O58" s="14">
        <f t="shared" si="35"/>
        <v>-1.4128037189652538</v>
      </c>
      <c r="P58" s="14">
        <f t="shared" si="35"/>
        <v>-1.4007061703709045</v>
      </c>
      <c r="Q58" s="14">
        <f t="shared" si="35"/>
        <v>-1.3736274919279108</v>
      </c>
      <c r="R58" s="14">
        <f t="shared" si="35"/>
        <v>-1.2956909812961532</v>
      </c>
      <c r="S58" s="14">
        <f t="shared" si="35"/>
        <v>-1.1971029314989137</v>
      </c>
      <c r="T58" s="72">
        <f>SUM(H58:L58)</f>
        <v>-7.9030911293796962</v>
      </c>
    </row>
    <row r="59" spans="1:25" x14ac:dyDescent="0.35"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72"/>
    </row>
    <row r="60" spans="1:25" x14ac:dyDescent="0.35">
      <c r="B60" s="173" t="s">
        <v>298</v>
      </c>
      <c r="F60" s="33">
        <f>'Demonstration path data'!AJ70/1000</f>
        <v>-2.3017160945525266</v>
      </c>
      <c r="G60" s="33">
        <f>'Demonstration path data'!AK70/1000</f>
        <v>-2.1792283315018506</v>
      </c>
      <c r="H60" s="33">
        <f>'Demonstration path data'!AL70/1000</f>
        <v>-1.9501458703437111</v>
      </c>
      <c r="I60" s="33">
        <f>'Demonstration path data'!AM70/1000</f>
        <v>-1.4700786942463437</v>
      </c>
      <c r="J60" s="33">
        <f>'Demonstration path data'!AN70/1000</f>
        <v>-1.7009189661542397</v>
      </c>
      <c r="K60" s="33">
        <f>'Demonstration path data'!AO70/1000</f>
        <v>-1.4753890263347058</v>
      </c>
      <c r="L60" s="33">
        <f>'Demonstration path data'!AP70/1000</f>
        <v>-1.3824252034916154</v>
      </c>
      <c r="M60" s="33">
        <f>'Demonstration path data'!AQ70/1000</f>
        <v>-1.2639235912065032</v>
      </c>
      <c r="N60" s="33">
        <f>'Demonstration path data'!AR70/1000</f>
        <v>-1.1956121675368614</v>
      </c>
      <c r="O60" s="33">
        <f>'Demonstration path data'!AS70/1000</f>
        <v>-1.1079118751174701</v>
      </c>
      <c r="P60" s="33">
        <f>'Demonstration path data'!AT70/1000</f>
        <v>-0.91051101034245585</v>
      </c>
      <c r="Q60" s="33">
        <f>'Demonstration path data'!AU70/1000</f>
        <v>-0.70493086668638893</v>
      </c>
      <c r="R60" s="33">
        <f>'Demonstration path data'!AV70/1000</f>
        <v>-0.56207390358198606</v>
      </c>
      <c r="S60" s="33">
        <f>'Demonstration path data'!AW70/1000</f>
        <v>-0.55131548366728023</v>
      </c>
      <c r="T60" s="72">
        <f t="shared" ref="T60:T62" si="36">SUM(H60:L60)</f>
        <v>-7.9789577605706157</v>
      </c>
    </row>
    <row r="61" spans="1:25" x14ac:dyDescent="0.35">
      <c r="B61" t="s">
        <v>32</v>
      </c>
      <c r="F61" s="14">
        <f t="shared" ref="F61:S61" si="37">F60-(F22/1000)</f>
        <v>-1.3126001125826097</v>
      </c>
      <c r="G61" s="14">
        <f t="shared" si="37"/>
        <v>-1.5273498237322085</v>
      </c>
      <c r="H61" s="14">
        <f t="shared" si="37"/>
        <v>-1.6849902978714919</v>
      </c>
      <c r="I61" s="14">
        <f t="shared" si="37"/>
        <v>-1.615921606439213</v>
      </c>
      <c r="J61" s="14">
        <f t="shared" si="37"/>
        <v>-1.6521486699995649</v>
      </c>
      <c r="K61" s="14">
        <f t="shared" si="37"/>
        <v>-1.478283640279995</v>
      </c>
      <c r="L61" s="14">
        <f t="shared" si="37"/>
        <v>-1.4733591714476388</v>
      </c>
      <c r="M61" s="14">
        <f t="shared" si="37"/>
        <v>-1.3979754709265033</v>
      </c>
      <c r="N61" s="14">
        <f t="shared" si="37"/>
        <v>-1.4084572853751434</v>
      </c>
      <c r="O61" s="14">
        <f t="shared" si="37"/>
        <v>-1.4156960617284275</v>
      </c>
      <c r="P61" s="14">
        <f t="shared" si="37"/>
        <v>-1.3961043552633254</v>
      </c>
      <c r="Q61" s="14">
        <f t="shared" si="37"/>
        <v>-1.3716937608283133</v>
      </c>
      <c r="R61" s="14">
        <f t="shared" si="37"/>
        <v>-1.2911651261556472</v>
      </c>
      <c r="S61" s="14">
        <f t="shared" si="37"/>
        <v>-1.1926733755866845</v>
      </c>
      <c r="T61" s="72">
        <f t="shared" si="36"/>
        <v>-7.9047033860379035</v>
      </c>
    </row>
    <row r="62" spans="1:25" x14ac:dyDescent="0.35">
      <c r="B62" t="s">
        <v>299</v>
      </c>
      <c r="F62" s="8">
        <f>(('Demonstration path data'!AJ34/1000)-'Allocate emissions budget'!F60)</f>
        <v>-4.0131860889020947</v>
      </c>
      <c r="G62" s="8">
        <f>(('Demonstration path data'!AK34/1000)-'Allocate emissions budget'!G60)</f>
        <v>-3.9523045067750453</v>
      </c>
      <c r="H62" s="8">
        <f>(('Demonstration path data'!AL34/1000)-'Allocate emissions budget'!H60)</f>
        <v>-4.1009890840210792</v>
      </c>
      <c r="I62" s="8">
        <f>(('Demonstration path data'!AM34/1000)-'Allocate emissions budget'!I60)</f>
        <v>-5.3031090305650954</v>
      </c>
      <c r="J62" s="8">
        <f>(('Demonstration path data'!AN34/1000)-'Allocate emissions budget'!J60)</f>
        <v>-7.2364263708620351</v>
      </c>
      <c r="K62" s="8">
        <f>(('Demonstration path data'!AO34/1000)-'Allocate emissions budget'!K60)</f>
        <v>-9.0123379084604416</v>
      </c>
      <c r="L62" s="8">
        <f>(('Demonstration path data'!AP34/1000)-'Allocate emissions budget'!L60)</f>
        <v>-11.052712440683511</v>
      </c>
      <c r="M62" s="8">
        <f>(('Demonstration path data'!AQ34/1000)-'Allocate emissions budget'!M60)</f>
        <v>-12.312181123108905</v>
      </c>
      <c r="N62" s="8">
        <f>(('Demonstration path data'!AR34/1000)-'Allocate emissions budget'!N60)</f>
        <v>-12.928095043433562</v>
      </c>
      <c r="O62" s="8">
        <f>(('Demonstration path data'!AS34/1000)-'Allocate emissions budget'!O60)</f>
        <v>-13.999542819584482</v>
      </c>
      <c r="P62" s="8">
        <f>(('Demonstration path data'!AT34/1000)-'Allocate emissions budget'!P60)</f>
        <v>-15.021664972115161</v>
      </c>
      <c r="Q62" s="8">
        <f>(('Demonstration path data'!AU34/1000)-'Allocate emissions budget'!Q60)</f>
        <v>-16.129565644429523</v>
      </c>
      <c r="R62" s="8">
        <f>(('Demonstration path data'!AV34/1000)-'Allocate emissions budget'!R60)</f>
        <v>-17.099466060411469</v>
      </c>
      <c r="S62" s="8">
        <f>(('Demonstration path data'!AW34/1000)-'Allocate emissions budget'!S60)</f>
        <v>-17.996334704105607</v>
      </c>
      <c r="T62" s="72">
        <f t="shared" si="36"/>
        <v>-36.705574834592163</v>
      </c>
    </row>
    <row r="63" spans="1:25" x14ac:dyDescent="0.35"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72"/>
    </row>
    <row r="64" spans="1:25" s="131" customFormat="1" x14ac:dyDescent="0.35">
      <c r="A64" s="127" t="s">
        <v>33</v>
      </c>
      <c r="F64" s="174"/>
      <c r="G64" s="174"/>
      <c r="H64" s="174"/>
      <c r="I64" s="174"/>
      <c r="J64" s="174"/>
      <c r="K64" s="174"/>
      <c r="L64" s="174"/>
      <c r="M64" s="175"/>
      <c r="T64" s="174"/>
    </row>
    <row r="66" spans="1:20" x14ac:dyDescent="0.35">
      <c r="A66" s="1" t="s">
        <v>34</v>
      </c>
      <c r="H66" s="13"/>
      <c r="I66" s="13"/>
      <c r="J66" s="13"/>
      <c r="K66" s="13"/>
      <c r="L66" s="52"/>
      <c r="M66" s="42"/>
      <c r="T66" s="11"/>
    </row>
    <row r="67" spans="1:20" x14ac:dyDescent="0.35">
      <c r="B67" t="s">
        <v>35</v>
      </c>
      <c r="F67" s="11">
        <f t="shared" ref="F67:S67" si="38">F11-F6</f>
        <v>917.59462190016347</v>
      </c>
      <c r="G67" s="11">
        <f t="shared" si="38"/>
        <v>1725.5851263044024</v>
      </c>
      <c r="H67" s="11">
        <f t="shared" si="38"/>
        <v>2583.8638699357252</v>
      </c>
      <c r="I67" s="11">
        <f t="shared" si="38"/>
        <v>3665.931928538208</v>
      </c>
      <c r="J67" s="11">
        <f t="shared" si="38"/>
        <v>5254.6360057103884</v>
      </c>
      <c r="K67" s="11">
        <f t="shared" si="38"/>
        <v>6142.7291108220379</v>
      </c>
      <c r="L67" s="11">
        <f t="shared" si="38"/>
        <v>7118.9737629902738</v>
      </c>
      <c r="M67" s="11">
        <f t="shared" si="38"/>
        <v>8407.0334781100755</v>
      </c>
      <c r="N67" s="11">
        <f t="shared" si="38"/>
        <v>9968.9000692060436</v>
      </c>
      <c r="O67" s="11">
        <f t="shared" si="38"/>
        <v>11521.306103355026</v>
      </c>
      <c r="P67" s="11">
        <f t="shared" si="38"/>
        <v>12443.176412597561</v>
      </c>
      <c r="Q67" s="11">
        <f t="shared" si="38"/>
        <v>13670.367140943781</v>
      </c>
      <c r="R67" s="11">
        <f t="shared" si="38"/>
        <v>14847.862569281358</v>
      </c>
      <c r="S67" s="11">
        <f t="shared" si="38"/>
        <v>16119.325723541828</v>
      </c>
      <c r="T67" s="47">
        <f>SUM(H67:L67)</f>
        <v>24766.134677996633</v>
      </c>
    </row>
    <row r="68" spans="1:20" x14ac:dyDescent="0.35">
      <c r="B68" t="s">
        <v>36</v>
      </c>
      <c r="F68" s="11">
        <f t="shared" ref="F68:S68" si="39">F48-F27</f>
        <v>412.59401964312565</v>
      </c>
      <c r="G68" s="11">
        <f t="shared" si="39"/>
        <v>702.82389640856127</v>
      </c>
      <c r="H68" s="11">
        <f t="shared" si="39"/>
        <v>927.65129491246626</v>
      </c>
      <c r="I68" s="11">
        <f t="shared" si="39"/>
        <v>1161.6701123160965</v>
      </c>
      <c r="J68" s="11">
        <f t="shared" si="39"/>
        <v>2015.0669687175032</v>
      </c>
      <c r="K68" s="11">
        <f t="shared" si="39"/>
        <v>2407.801751765568</v>
      </c>
      <c r="L68" s="11">
        <f t="shared" si="39"/>
        <v>2683.8004548943354</v>
      </c>
      <c r="M68" s="11">
        <f t="shared" si="39"/>
        <v>3008.8337247878662</v>
      </c>
      <c r="N68" s="11">
        <f t="shared" si="39"/>
        <v>3336.2258706498251</v>
      </c>
      <c r="O68" s="11">
        <f t="shared" si="39"/>
        <v>3514.8966997050375</v>
      </c>
      <c r="P68" s="11">
        <f t="shared" si="39"/>
        <v>3686.4940542508411</v>
      </c>
      <c r="Q68" s="11">
        <f t="shared" si="39"/>
        <v>3844.6712489204074</v>
      </c>
      <c r="R68" s="11">
        <f t="shared" si="39"/>
        <v>4003.9578020308036</v>
      </c>
      <c r="S68" s="11">
        <f t="shared" si="39"/>
        <v>4171.4302283218276</v>
      </c>
      <c r="T68" s="47">
        <f t="shared" ref="T68:T73" si="40">SUM(H68:L68)</f>
        <v>9195.9905826059694</v>
      </c>
    </row>
    <row r="69" spans="1:20" x14ac:dyDescent="0.35">
      <c r="B69" t="s">
        <v>37</v>
      </c>
      <c r="F69" s="11">
        <f t="shared" ref="F69:S69" si="41">F67-F68</f>
        <v>505.00060225703783</v>
      </c>
      <c r="G69" s="11">
        <f t="shared" si="41"/>
        <v>1022.7612298958411</v>
      </c>
      <c r="H69" s="11">
        <f t="shared" si="41"/>
        <v>1656.212575023259</v>
      </c>
      <c r="I69" s="11">
        <f t="shared" si="41"/>
        <v>2504.2618162221115</v>
      </c>
      <c r="J69" s="11">
        <f t="shared" si="41"/>
        <v>3239.5690369928852</v>
      </c>
      <c r="K69" s="11">
        <f t="shared" si="41"/>
        <v>3734.9273590564699</v>
      </c>
      <c r="L69" s="11">
        <f t="shared" si="41"/>
        <v>4435.1733080959384</v>
      </c>
      <c r="M69" s="11">
        <f t="shared" si="41"/>
        <v>5398.1997533222093</v>
      </c>
      <c r="N69" s="11">
        <f t="shared" si="41"/>
        <v>6632.6741985562185</v>
      </c>
      <c r="O69" s="11">
        <f t="shared" si="41"/>
        <v>8006.4094036499882</v>
      </c>
      <c r="P69" s="11">
        <f t="shared" si="41"/>
        <v>8756.6823583467194</v>
      </c>
      <c r="Q69" s="11">
        <f t="shared" si="41"/>
        <v>9825.6958920233737</v>
      </c>
      <c r="R69" s="11">
        <f t="shared" si="41"/>
        <v>10843.904767250555</v>
      </c>
      <c r="S69" s="11">
        <f t="shared" si="41"/>
        <v>11947.89549522</v>
      </c>
      <c r="T69" s="47">
        <f t="shared" si="40"/>
        <v>15570.144095390664</v>
      </c>
    </row>
    <row r="70" spans="1:20" x14ac:dyDescent="0.35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47"/>
    </row>
    <row r="71" spans="1:20" x14ac:dyDescent="0.35">
      <c r="A71" s="1" t="s">
        <v>252</v>
      </c>
      <c r="B71" t="s">
        <v>35</v>
      </c>
      <c r="F71" s="13">
        <f>F67/1000</f>
        <v>0.9175946219001635</v>
      </c>
      <c r="G71" s="13">
        <f t="shared" ref="G71:S71" si="42">G67/1000</f>
        <v>1.7255851263044024</v>
      </c>
      <c r="H71" s="13">
        <f t="shared" si="42"/>
        <v>2.5838638699357253</v>
      </c>
      <c r="I71" s="13">
        <f t="shared" si="42"/>
        <v>3.6659319285382082</v>
      </c>
      <c r="J71" s="13">
        <f t="shared" si="42"/>
        <v>5.2546360057103882</v>
      </c>
      <c r="K71" s="13">
        <f t="shared" si="42"/>
        <v>6.1427291108220379</v>
      </c>
      <c r="L71" s="13">
        <f t="shared" si="42"/>
        <v>7.1189737629902741</v>
      </c>
      <c r="M71" s="13">
        <f t="shared" si="42"/>
        <v>8.4070334781100762</v>
      </c>
      <c r="N71" s="13">
        <f t="shared" si="42"/>
        <v>9.9689000692060432</v>
      </c>
      <c r="O71" s="13">
        <f t="shared" si="42"/>
        <v>11.521306103355025</v>
      </c>
      <c r="P71" s="13">
        <f t="shared" si="42"/>
        <v>12.443176412597561</v>
      </c>
      <c r="Q71" s="13">
        <f t="shared" si="42"/>
        <v>13.670367140943782</v>
      </c>
      <c r="R71" s="13">
        <f t="shared" si="42"/>
        <v>14.847862569281359</v>
      </c>
      <c r="S71" s="13">
        <f t="shared" si="42"/>
        <v>16.119325723541827</v>
      </c>
      <c r="T71" s="72">
        <f t="shared" si="40"/>
        <v>24.766134677996632</v>
      </c>
    </row>
    <row r="72" spans="1:20" x14ac:dyDescent="0.35">
      <c r="B72" t="s">
        <v>36</v>
      </c>
      <c r="F72" s="13">
        <f>(F68/1000)</f>
        <v>0.41259401964312564</v>
      </c>
      <c r="G72" s="13">
        <f t="shared" ref="G72:S72" si="43">(G68/1000)</f>
        <v>0.70282389640856124</v>
      </c>
      <c r="H72" s="13">
        <f t="shared" si="43"/>
        <v>0.92765129491246623</v>
      </c>
      <c r="I72" s="13">
        <f t="shared" si="43"/>
        <v>1.1616701123160964</v>
      </c>
      <c r="J72" s="13">
        <f t="shared" si="43"/>
        <v>2.0150669687175031</v>
      </c>
      <c r="K72" s="13">
        <f t="shared" si="43"/>
        <v>2.4078017517655681</v>
      </c>
      <c r="L72" s="13">
        <f t="shared" si="43"/>
        <v>2.6838004548943353</v>
      </c>
      <c r="M72" s="13">
        <f t="shared" si="43"/>
        <v>3.0088337247878663</v>
      </c>
      <c r="N72" s="13">
        <f t="shared" si="43"/>
        <v>3.3362258706498249</v>
      </c>
      <c r="O72" s="13">
        <f t="shared" si="43"/>
        <v>3.5148966997050373</v>
      </c>
      <c r="P72" s="13">
        <f t="shared" si="43"/>
        <v>3.6864940542508413</v>
      </c>
      <c r="Q72" s="13">
        <f t="shared" si="43"/>
        <v>3.8446712489204073</v>
      </c>
      <c r="R72" s="13">
        <f t="shared" si="43"/>
        <v>4.0039578020308033</v>
      </c>
      <c r="S72" s="13">
        <f t="shared" si="43"/>
        <v>4.1714302283218272</v>
      </c>
      <c r="T72" s="72">
        <f t="shared" si="40"/>
        <v>9.1959905826059689</v>
      </c>
    </row>
    <row r="73" spans="1:20" x14ac:dyDescent="0.35">
      <c r="B73" t="s">
        <v>37</v>
      </c>
      <c r="F73" s="13">
        <f>(F69/1000)</f>
        <v>0.5050006022570378</v>
      </c>
      <c r="G73" s="13">
        <f t="shared" ref="G73:S73" si="44">(G69/1000)</f>
        <v>1.0227612298958411</v>
      </c>
      <c r="H73" s="13">
        <f t="shared" si="44"/>
        <v>1.656212575023259</v>
      </c>
      <c r="I73" s="13">
        <f t="shared" si="44"/>
        <v>2.5042618162221113</v>
      </c>
      <c r="J73" s="13">
        <f t="shared" si="44"/>
        <v>3.2395690369928851</v>
      </c>
      <c r="K73" s="13">
        <f t="shared" si="44"/>
        <v>3.7349273590564698</v>
      </c>
      <c r="L73" s="13">
        <f t="shared" si="44"/>
        <v>4.4351733080959388</v>
      </c>
      <c r="M73" s="13">
        <f t="shared" si="44"/>
        <v>5.398199753322209</v>
      </c>
      <c r="N73" s="13">
        <f t="shared" si="44"/>
        <v>6.6326741985562183</v>
      </c>
      <c r="O73" s="13">
        <f t="shared" si="44"/>
        <v>8.0064094036499878</v>
      </c>
      <c r="P73" s="13">
        <f t="shared" si="44"/>
        <v>8.756682358346719</v>
      </c>
      <c r="Q73" s="13">
        <f t="shared" si="44"/>
        <v>9.8256958920233739</v>
      </c>
      <c r="R73" s="13">
        <f t="shared" si="44"/>
        <v>10.843904767250555</v>
      </c>
      <c r="S73" s="13">
        <f t="shared" si="44"/>
        <v>11.947895495220001</v>
      </c>
      <c r="T73" s="72">
        <f t="shared" si="40"/>
        <v>15.570144095390665</v>
      </c>
    </row>
    <row r="74" spans="1:20" s="161" customFormat="1" x14ac:dyDescent="0.35">
      <c r="B74" s="161" t="s">
        <v>38</v>
      </c>
      <c r="F74" s="27">
        <f>F73/F71</f>
        <v>0.55035261781643607</v>
      </c>
      <c r="G74" s="27">
        <f t="shared" ref="G74:L74" si="45">G73/G71</f>
        <v>0.59270401344165302</v>
      </c>
      <c r="H74" s="27">
        <f t="shared" si="45"/>
        <v>0.64098290714690709</v>
      </c>
      <c r="I74" s="27">
        <f t="shared" si="45"/>
        <v>0.68311738052939974</v>
      </c>
      <c r="J74" s="27">
        <f t="shared" si="45"/>
        <v>0.61651635498107527</v>
      </c>
      <c r="K74" s="27">
        <f t="shared" si="45"/>
        <v>0.60802410324043266</v>
      </c>
      <c r="L74" s="27">
        <f t="shared" si="45"/>
        <v>0.62300739625608281</v>
      </c>
      <c r="M74" s="27">
        <f t="shared" ref="M74" si="46">M73/M71</f>
        <v>0.64210518102227643</v>
      </c>
      <c r="N74" s="27">
        <f t="shared" ref="N74" si="47">N73/N71</f>
        <v>0.66533661211476736</v>
      </c>
      <c r="O74" s="27">
        <f t="shared" ref="O74" si="48">O73/O71</f>
        <v>0.69492202809527881</v>
      </c>
      <c r="P74" s="27">
        <f t="shared" ref="P74" si="49">P73/P71</f>
        <v>0.7037336824608057</v>
      </c>
      <c r="Q74" s="27">
        <f t="shared" ref="Q74:R74" si="50">Q73/Q71</f>
        <v>0.7187587422282663</v>
      </c>
      <c r="R74" s="27">
        <f t="shared" si="50"/>
        <v>0.73033439773920283</v>
      </c>
      <c r="S74" s="27">
        <f t="shared" ref="S74:T74" si="51">S73/S71</f>
        <v>0.74121558805468091</v>
      </c>
      <c r="T74" s="27">
        <f t="shared" si="51"/>
        <v>0.62868688625940061</v>
      </c>
    </row>
    <row r="75" spans="1:20" x14ac:dyDescent="0.35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47"/>
    </row>
    <row r="76" spans="1:20" x14ac:dyDescent="0.35">
      <c r="G76" s="8"/>
      <c r="H76" s="8"/>
      <c r="I76" s="8"/>
      <c r="J76" s="8"/>
      <c r="K76" s="8"/>
      <c r="L76" s="8"/>
      <c r="M76" s="8"/>
      <c r="N76" s="8"/>
      <c r="O76" s="31"/>
      <c r="P76" s="31"/>
      <c r="Q76" s="31"/>
      <c r="R76" s="31"/>
      <c r="S76" s="31"/>
    </row>
    <row r="77" spans="1:20" s="177" customFormat="1" x14ac:dyDescent="0.35">
      <c r="A77" s="176" t="s">
        <v>251</v>
      </c>
    </row>
    <row r="78" spans="1:20" x14ac:dyDescent="0.35">
      <c r="A78" s="1"/>
      <c r="B78" t="s">
        <v>39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7"/>
    </row>
    <row r="79" spans="1:20" x14ac:dyDescent="0.35">
      <c r="A79" s="1"/>
      <c r="B79" t="s">
        <v>40</v>
      </c>
      <c r="F79" s="40">
        <f t="shared" ref="F79:S79" si="52">F21</f>
        <v>119.70741140819536</v>
      </c>
      <c r="G79" s="40">
        <f t="shared" si="52"/>
        <v>120.47023708725533</v>
      </c>
      <c r="H79" s="40">
        <f t="shared" si="52"/>
        <v>121.27989697286772</v>
      </c>
      <c r="I79" s="40">
        <f t="shared" si="52"/>
        <v>122.05730212416833</v>
      </c>
      <c r="J79" s="40">
        <f t="shared" si="52"/>
        <v>122.72836678149071</v>
      </c>
      <c r="K79" s="40">
        <f t="shared" si="52"/>
        <v>123.29096732886505</v>
      </c>
      <c r="L79" s="40">
        <f t="shared" si="52"/>
        <v>123.75498004588582</v>
      </c>
      <c r="M79" s="40">
        <f t="shared" si="52"/>
        <v>124.13574097417836</v>
      </c>
      <c r="N79" s="40">
        <f t="shared" si="52"/>
        <v>124.45031781607575</v>
      </c>
      <c r="O79" s="40">
        <f t="shared" si="52"/>
        <v>124.81577890055688</v>
      </c>
      <c r="P79" s="40">
        <f t="shared" si="52"/>
        <v>125.14148828536639</v>
      </c>
      <c r="Q79" s="40">
        <f t="shared" si="52"/>
        <v>125.43073459718977</v>
      </c>
      <c r="R79" s="40">
        <f t="shared" si="52"/>
        <v>125.68474452373451</v>
      </c>
      <c r="S79" s="40">
        <f t="shared" si="52"/>
        <v>125.9097720672725</v>
      </c>
      <c r="T79" s="47">
        <f>SUM(H79:L79)</f>
        <v>613.11151325327762</v>
      </c>
    </row>
    <row r="80" spans="1:20" x14ac:dyDescent="0.35">
      <c r="A80" s="1"/>
      <c r="B80" t="s">
        <v>41</v>
      </c>
      <c r="F80" s="40">
        <f t="shared" ref="F80:S80" si="53">F19+F20</f>
        <v>814.10897817923171</v>
      </c>
      <c r="G80" s="40">
        <f t="shared" si="53"/>
        <v>797.17322532920252</v>
      </c>
      <c r="H80" s="40">
        <f t="shared" si="53"/>
        <v>812.71505970759063</v>
      </c>
      <c r="I80" s="40">
        <f t="shared" si="53"/>
        <v>805.73618758713906</v>
      </c>
      <c r="J80" s="40">
        <f t="shared" si="53"/>
        <v>805.33942332387721</v>
      </c>
      <c r="K80" s="40">
        <f t="shared" si="53"/>
        <v>793.38843218500233</v>
      </c>
      <c r="L80" s="40">
        <f t="shared" si="53"/>
        <v>783.3640532541956</v>
      </c>
      <c r="M80" s="40">
        <f t="shared" si="53"/>
        <v>780.38296011402304</v>
      </c>
      <c r="N80" s="40">
        <f t="shared" si="53"/>
        <v>717.73126194056272</v>
      </c>
      <c r="O80" s="40">
        <f t="shared" si="53"/>
        <v>708.17361799435605</v>
      </c>
      <c r="P80" s="40">
        <f t="shared" si="53"/>
        <v>699.39716857105077</v>
      </c>
      <c r="Q80" s="40">
        <f t="shared" si="53"/>
        <v>687.33327721864839</v>
      </c>
      <c r="R80" s="40">
        <f t="shared" si="53"/>
        <v>677.75544737633015</v>
      </c>
      <c r="S80" s="40">
        <f t="shared" si="53"/>
        <v>680.04422340376595</v>
      </c>
      <c r="T80" s="47">
        <f t="shared" ref="T80:T108" si="54">SUM(H80:L80)</f>
        <v>4000.5431560578045</v>
      </c>
    </row>
    <row r="81" spans="1:20" x14ac:dyDescent="0.35">
      <c r="A81" s="1"/>
      <c r="B81" t="s">
        <v>22</v>
      </c>
      <c r="F81" s="40">
        <f t="shared" ref="F81:S81" si="55">F17</f>
        <v>40731.04605066021</v>
      </c>
      <c r="G81" s="40">
        <f t="shared" si="55"/>
        <v>40230.832560766859</v>
      </c>
      <c r="H81" s="40">
        <f t="shared" si="55"/>
        <v>39764.957224016951</v>
      </c>
      <c r="I81" s="40">
        <f t="shared" si="55"/>
        <v>39305.255430351666</v>
      </c>
      <c r="J81" s="40">
        <f t="shared" si="55"/>
        <v>38946.182000135603</v>
      </c>
      <c r="K81" s="40">
        <f t="shared" si="55"/>
        <v>38611.716142501347</v>
      </c>
      <c r="L81" s="40">
        <f t="shared" si="55"/>
        <v>38236.927856504379</v>
      </c>
      <c r="M81" s="40">
        <f t="shared" si="55"/>
        <v>37868.956785624025</v>
      </c>
      <c r="N81" s="40">
        <f t="shared" si="55"/>
        <v>37508.915932481541</v>
      </c>
      <c r="O81" s="40">
        <f t="shared" si="55"/>
        <v>37227.232644336218</v>
      </c>
      <c r="P81" s="40">
        <f t="shared" si="55"/>
        <v>36930.449057861675</v>
      </c>
      <c r="Q81" s="40">
        <f t="shared" si="55"/>
        <v>36657.265503719165</v>
      </c>
      <c r="R81" s="40">
        <f t="shared" si="55"/>
        <v>36375.348152836334</v>
      </c>
      <c r="S81" s="40">
        <f t="shared" si="55"/>
        <v>36099.714489053484</v>
      </c>
      <c r="T81" s="47">
        <f t="shared" si="54"/>
        <v>194865.03865350998</v>
      </c>
    </row>
    <row r="82" spans="1:20" x14ac:dyDescent="0.35">
      <c r="A82" s="1"/>
      <c r="B82" t="s">
        <v>23</v>
      </c>
      <c r="F82" s="40">
        <f t="shared" ref="F82:S82" si="56">F18</f>
        <v>2409.9202625945004</v>
      </c>
      <c r="G82" s="40">
        <f t="shared" si="56"/>
        <v>2354.1457586086199</v>
      </c>
      <c r="H82" s="40">
        <f t="shared" si="56"/>
        <v>2296.4355546371535</v>
      </c>
      <c r="I82" s="40">
        <f t="shared" si="56"/>
        <v>2238.0846460725734</v>
      </c>
      <c r="J82" s="40">
        <f t="shared" si="56"/>
        <v>2178.4652387847218</v>
      </c>
      <c r="K82" s="40">
        <f t="shared" si="56"/>
        <v>2118.2016676872381</v>
      </c>
      <c r="L82" s="40">
        <f t="shared" si="56"/>
        <v>2057.5519988128895</v>
      </c>
      <c r="M82" s="40">
        <f t="shared" si="56"/>
        <v>1996.8315137527143</v>
      </c>
      <c r="N82" s="40">
        <f t="shared" si="56"/>
        <v>1936.2302715894532</v>
      </c>
      <c r="O82" s="40">
        <f t="shared" si="56"/>
        <v>1893.7665841162325</v>
      </c>
      <c r="P82" s="40">
        <f t="shared" si="56"/>
        <v>1851.6230489447298</v>
      </c>
      <c r="Q82" s="40">
        <f t="shared" si="56"/>
        <v>1809.8073294927019</v>
      </c>
      <c r="R82" s="40">
        <f t="shared" si="56"/>
        <v>1768.2461466375221</v>
      </c>
      <c r="S82" s="40">
        <f t="shared" si="56"/>
        <v>1726.9422874240479</v>
      </c>
      <c r="T82" s="47">
        <f t="shared" si="54"/>
        <v>10888.739105994575</v>
      </c>
    </row>
    <row r="83" spans="1:20" x14ac:dyDescent="0.35">
      <c r="A83" s="1"/>
      <c r="B83" t="s">
        <v>42</v>
      </c>
      <c r="F83" s="40">
        <f t="shared" ref="F83:S83" si="57">F22</f>
        <v>-989.1159819699169</v>
      </c>
      <c r="G83" s="40">
        <f t="shared" si="57"/>
        <v>-651.87850776964206</v>
      </c>
      <c r="H83" s="40">
        <f t="shared" si="57"/>
        <v>-265.15557247221932</v>
      </c>
      <c r="I83" s="40">
        <f t="shared" si="57"/>
        <v>145.84291219286933</v>
      </c>
      <c r="J83" s="40">
        <f t="shared" si="57"/>
        <v>-48.770296154674725</v>
      </c>
      <c r="K83" s="40">
        <f t="shared" si="57"/>
        <v>2.8946139452891657</v>
      </c>
      <c r="L83" s="40">
        <f t="shared" si="57"/>
        <v>90.93396795602348</v>
      </c>
      <c r="M83" s="40">
        <f t="shared" si="57"/>
        <v>134.05187972000022</v>
      </c>
      <c r="N83" s="40">
        <f t="shared" si="57"/>
        <v>212.84511783828202</v>
      </c>
      <c r="O83" s="40">
        <f t="shared" si="57"/>
        <v>307.78418661095748</v>
      </c>
      <c r="P83" s="40">
        <f t="shared" si="57"/>
        <v>485.59334492086964</v>
      </c>
      <c r="Q83" s="40">
        <f t="shared" si="57"/>
        <v>666.76289414192433</v>
      </c>
      <c r="R83" s="40">
        <f t="shared" si="57"/>
        <v>729.09122257366107</v>
      </c>
      <c r="S83" s="40">
        <f t="shared" si="57"/>
        <v>641.35789191940421</v>
      </c>
      <c r="T83" s="47">
        <f t="shared" si="54"/>
        <v>-74.254374532712063</v>
      </c>
    </row>
    <row r="84" spans="1:20" x14ac:dyDescent="0.35">
      <c r="A84" s="1"/>
      <c r="B84" t="s">
        <v>12</v>
      </c>
      <c r="F84" s="40">
        <f t="shared" ref="F84:S84" si="58">SUM(F78:F82)</f>
        <v>44074.782702842138</v>
      </c>
      <c r="G84" s="40">
        <f t="shared" si="58"/>
        <v>43502.621781791939</v>
      </c>
      <c r="H84" s="40">
        <f t="shared" si="58"/>
        <v>42995.38773533456</v>
      </c>
      <c r="I84" s="40">
        <f t="shared" si="58"/>
        <v>42471.133566135548</v>
      </c>
      <c r="J84" s="40">
        <f t="shared" si="58"/>
        <v>42052.715029025698</v>
      </c>
      <c r="K84" s="40">
        <f t="shared" si="58"/>
        <v>41646.59720970245</v>
      </c>
      <c r="L84" s="40">
        <f t="shared" si="58"/>
        <v>41201.598888617351</v>
      </c>
      <c r="M84" s="40">
        <f t="shared" si="58"/>
        <v>40770.307000464942</v>
      </c>
      <c r="N84" s="40">
        <f t="shared" si="58"/>
        <v>40287.327783827634</v>
      </c>
      <c r="O84" s="40">
        <f t="shared" si="58"/>
        <v>39953.98862534736</v>
      </c>
      <c r="P84" s="40">
        <f t="shared" si="58"/>
        <v>39606.610763662829</v>
      </c>
      <c r="Q84" s="40">
        <f t="shared" si="58"/>
        <v>39279.836845027705</v>
      </c>
      <c r="R84" s="40">
        <f t="shared" si="58"/>
        <v>38947.034491373925</v>
      </c>
      <c r="S84" s="40">
        <f t="shared" si="58"/>
        <v>38632.610771948574</v>
      </c>
      <c r="T84" s="47">
        <f t="shared" si="54"/>
        <v>210367.43242881563</v>
      </c>
    </row>
    <row r="85" spans="1:20" x14ac:dyDescent="0.35">
      <c r="A85" s="1"/>
      <c r="B85" t="s">
        <v>18</v>
      </c>
      <c r="F85" s="40">
        <f t="shared" ref="F85:S85" si="59">F84+F83</f>
        <v>43085.666720872221</v>
      </c>
      <c r="G85" s="40">
        <f t="shared" si="59"/>
        <v>42850.743274022294</v>
      </c>
      <c r="H85" s="40">
        <f t="shared" si="59"/>
        <v>42730.232162862339</v>
      </c>
      <c r="I85" s="40">
        <f t="shared" si="59"/>
        <v>42616.976478328419</v>
      </c>
      <c r="J85" s="40">
        <f t="shared" si="59"/>
        <v>42003.944732871023</v>
      </c>
      <c r="K85" s="40">
        <f t="shared" si="59"/>
        <v>41649.491823647739</v>
      </c>
      <c r="L85" s="40">
        <f t="shared" si="59"/>
        <v>41292.532856573373</v>
      </c>
      <c r="M85" s="40">
        <f t="shared" si="59"/>
        <v>40904.35888018494</v>
      </c>
      <c r="N85" s="40">
        <f t="shared" si="59"/>
        <v>40500.172901665916</v>
      </c>
      <c r="O85" s="40">
        <f t="shared" si="59"/>
        <v>40261.772811958319</v>
      </c>
      <c r="P85" s="40">
        <f t="shared" si="59"/>
        <v>40092.204108583697</v>
      </c>
      <c r="Q85" s="40">
        <f t="shared" si="59"/>
        <v>39946.599739169629</v>
      </c>
      <c r="R85" s="40">
        <f t="shared" si="59"/>
        <v>39676.125713947586</v>
      </c>
      <c r="S85" s="40">
        <f t="shared" si="59"/>
        <v>39273.968663867978</v>
      </c>
      <c r="T85" s="47">
        <f t="shared" si="54"/>
        <v>210293.17805428288</v>
      </c>
    </row>
    <row r="86" spans="1:20" x14ac:dyDescent="0.35">
      <c r="A86" s="1"/>
      <c r="T86" s="47"/>
    </row>
    <row r="87" spans="1:20" x14ac:dyDescent="0.35">
      <c r="A87" s="1" t="s">
        <v>43</v>
      </c>
      <c r="T87" s="47"/>
    </row>
    <row r="88" spans="1:20" x14ac:dyDescent="0.35">
      <c r="A88" s="1"/>
      <c r="B88" t="s">
        <v>39</v>
      </c>
      <c r="F88" s="11">
        <f>'Demonstration path data'!AJ6-F78</f>
        <v>15128.968874994676</v>
      </c>
      <c r="G88" s="11">
        <f>'Demonstration path data'!AK6-G78</f>
        <v>15259.567468236215</v>
      </c>
      <c r="H88" s="11">
        <f>'Demonstration path data'!AL6-H78</f>
        <v>15140.070010179808</v>
      </c>
      <c r="I88" s="11">
        <f>'Demonstration path data'!AM6-I78</f>
        <v>14985.437009891983</v>
      </c>
      <c r="J88" s="11">
        <f>'Demonstration path data'!AN6-J78</f>
        <v>14736.221421772678</v>
      </c>
      <c r="K88" s="11">
        <f>'Demonstration path data'!AO6-K78</f>
        <v>14436.928327575199</v>
      </c>
      <c r="L88" s="11">
        <f>'Demonstration path data'!AP6-L78</f>
        <v>14013.572993853402</v>
      </c>
      <c r="M88" s="11">
        <f>'Demonstration path data'!AQ6-M78</f>
        <v>13471.687965075223</v>
      </c>
      <c r="N88" s="11">
        <f>'Demonstration path data'!AR6-N78</f>
        <v>12812.416934443696</v>
      </c>
      <c r="O88" s="11">
        <f>'Demonstration path data'!AS6-O78</f>
        <v>12012.970672576779</v>
      </c>
      <c r="P88" s="11">
        <f>'Demonstration path data'!AT6-P78</f>
        <v>11201.393400169771</v>
      </c>
      <c r="Q88" s="11">
        <f>'Demonstration path data'!AU6-Q78</f>
        <v>10362.791763005995</v>
      </c>
      <c r="R88" s="11">
        <f>'Demonstration path data'!AV6-R78</f>
        <v>9568.3436605325442</v>
      </c>
      <c r="S88" s="11">
        <f>'Demonstration path data'!AW6-S78</f>
        <v>8733.7493359329765</v>
      </c>
      <c r="T88" s="47">
        <f t="shared" si="54"/>
        <v>73312.229763273077</v>
      </c>
    </row>
    <row r="89" spans="1:20" x14ac:dyDescent="0.35">
      <c r="A89" s="1"/>
      <c r="B89" t="s">
        <v>40</v>
      </c>
      <c r="F89" s="11">
        <f>'Demonstration path data'!AJ7-F79</f>
        <v>17024.215168309289</v>
      </c>
      <c r="G89" s="11">
        <f>'Demonstration path data'!AK7-G79</f>
        <v>16110.064674626477</v>
      </c>
      <c r="H89" s="11">
        <f>'Demonstration path data'!AL7-H79</f>
        <v>15149.329871366333</v>
      </c>
      <c r="I89" s="11">
        <f>'Demonstration path data'!AM7-I79</f>
        <v>14186.113404343278</v>
      </c>
      <c r="J89" s="11">
        <f>'Demonstration path data'!AN7-J79</f>
        <v>13891.319383563685</v>
      </c>
      <c r="K89" s="11">
        <f>'Demonstration path data'!AO7-K79</f>
        <v>13544.218652406951</v>
      </c>
      <c r="L89" s="11">
        <f>'Demonstration path data'!AP7-L79</f>
        <v>13267.767005198915</v>
      </c>
      <c r="M89" s="11">
        <f>'Demonstration path data'!AQ7-M79</f>
        <v>13024.435882329377</v>
      </c>
      <c r="N89" s="11">
        <f>'Demonstration path data'!AR7-N79</f>
        <v>11990.825036695273</v>
      </c>
      <c r="O89" s="11">
        <f>'Demonstration path data'!AS7-O79</f>
        <v>11641.045210421045</v>
      </c>
      <c r="P89" s="11">
        <f>'Demonstration path data'!AT7-P79</f>
        <v>11262.66435934652</v>
      </c>
      <c r="Q89" s="11">
        <f>'Demonstration path data'!AU7-Q79</f>
        <v>10989.709550245097</v>
      </c>
      <c r="R89" s="11">
        <f>'Demonstration path data'!AV7-R79</f>
        <v>10673.484540689376</v>
      </c>
      <c r="S89" s="11">
        <f>'Demonstration path data'!AW7-S79</f>
        <v>10266.70534056912</v>
      </c>
      <c r="T89" s="47">
        <f t="shared" si="54"/>
        <v>70038.748316879166</v>
      </c>
    </row>
    <row r="90" spans="1:20" x14ac:dyDescent="0.35">
      <c r="A90" s="1"/>
      <c r="B90" t="s">
        <v>41</v>
      </c>
      <c r="F90" s="11">
        <f>'Demonstration path data'!AJ8-F80</f>
        <v>3855.6029670502521</v>
      </c>
      <c r="G90" s="11">
        <f>'Demonstration path data'!AK8-G80</f>
        <v>3792.4251535080225</v>
      </c>
      <c r="H90" s="11">
        <f>'Demonstration path data'!AL8-H80</f>
        <v>3812.3168644479701</v>
      </c>
      <c r="I90" s="11">
        <f>'Demonstration path data'!AM8-I80</f>
        <v>3794.7581937898731</v>
      </c>
      <c r="J90" s="11">
        <f>'Demonstration path data'!AN8-J80</f>
        <v>3787.9954769448927</v>
      </c>
      <c r="K90" s="11">
        <f>'Demonstration path data'!AO8-K80</f>
        <v>3762.0024456850983</v>
      </c>
      <c r="L90" s="11">
        <f>'Demonstration path data'!AP8-L80</f>
        <v>3739.3602486328173</v>
      </c>
      <c r="M90" s="11">
        <f>'Demonstration path data'!AQ8-M80</f>
        <v>3728.2031010377223</v>
      </c>
      <c r="N90" s="11">
        <f>'Demonstration path data'!AR8-N80</f>
        <v>3571.3883224460824</v>
      </c>
      <c r="O90" s="11">
        <f>'Demonstration path data'!AS8-O80</f>
        <v>3549.7215205477728</v>
      </c>
      <c r="P90" s="11">
        <f>'Demonstration path data'!AT8-P80</f>
        <v>3529.4424252139283</v>
      </c>
      <c r="Q90" s="11">
        <f>'Demonstration path data'!AU8-Q80</f>
        <v>3503.6893802290842</v>
      </c>
      <c r="R90" s="11">
        <f>'Demonstration path data'!AV8-R80</f>
        <v>3481.8658385394538</v>
      </c>
      <c r="S90" s="11">
        <f>'Demonstration path data'!AW8-S80</f>
        <v>3478.864528963983</v>
      </c>
      <c r="T90" s="47">
        <f t="shared" si="54"/>
        <v>18896.433229500653</v>
      </c>
    </row>
    <row r="91" spans="1:20" x14ac:dyDescent="0.35">
      <c r="A91" s="1"/>
      <c r="B91" t="s">
        <v>22</v>
      </c>
      <c r="F91" s="11">
        <f>'Demonstration path data'!AJ9-F81</f>
        <v>0</v>
      </c>
      <c r="G91" s="11">
        <f>'Demonstration path data'!AK9-G81</f>
        <v>0</v>
      </c>
      <c r="H91" s="11">
        <f>'Demonstration path data'!AL9-H81</f>
        <v>0</v>
      </c>
      <c r="I91" s="11">
        <f>'Demonstration path data'!AM9-I81</f>
        <v>0</v>
      </c>
      <c r="J91" s="11">
        <f>'Demonstration path data'!AN9-J81</f>
        <v>0</v>
      </c>
      <c r="K91" s="11">
        <f>'Demonstration path data'!AO9-K81</f>
        <v>0</v>
      </c>
      <c r="L91" s="11">
        <f>'Demonstration path data'!AP9-L81</f>
        <v>0</v>
      </c>
      <c r="M91" s="11">
        <f>'Demonstration path data'!AQ9-M81</f>
        <v>0</v>
      </c>
      <c r="N91" s="11">
        <f>'Demonstration path data'!AR9-N81</f>
        <v>0</v>
      </c>
      <c r="O91" s="11">
        <f>'Demonstration path data'!AS9-O81</f>
        <v>0</v>
      </c>
      <c r="P91" s="11">
        <f>'Demonstration path data'!AT9-P81</f>
        <v>0</v>
      </c>
      <c r="Q91" s="11">
        <f>'Demonstration path data'!AU9-Q81</f>
        <v>0</v>
      </c>
      <c r="R91" s="11">
        <f>'Demonstration path data'!AV9-R81</f>
        <v>0</v>
      </c>
      <c r="S91" s="11">
        <f>'Demonstration path data'!AW9-S81</f>
        <v>0</v>
      </c>
      <c r="T91" s="47"/>
    </row>
    <row r="92" spans="1:20" x14ac:dyDescent="0.35">
      <c r="A92" s="1"/>
      <c r="B92" t="s">
        <v>23</v>
      </c>
      <c r="F92" s="11">
        <f>'Demonstration path data'!AJ10-F82</f>
        <v>1157.1977767372805</v>
      </c>
      <c r="G92" s="11">
        <f>'Demonstration path data'!AK10-G82</f>
        <v>1115.874382499414</v>
      </c>
      <c r="H92" s="11">
        <f>'Demonstration path data'!AL10-H82</f>
        <v>1076.0843577361793</v>
      </c>
      <c r="I92" s="11">
        <f>'Demonstration path data'!AM10-I82</f>
        <v>1036.054120142684</v>
      </c>
      <c r="J92" s="11">
        <f>'Demonstration path data'!AN10-J82</f>
        <v>995.70752310355147</v>
      </c>
      <c r="K92" s="11">
        <f>'Demonstration path data'!AO10-K82</f>
        <v>955.70162727814841</v>
      </c>
      <c r="L92" s="11">
        <f>'Demonstration path data'!AP10-L82</f>
        <v>916.22815333693416</v>
      </c>
      <c r="M92" s="11">
        <f>'Demonstration path data'!AQ10-M82</f>
        <v>877.33955136282611</v>
      </c>
      <c r="N92" s="11">
        <f>'Demonstration path data'!AR10-N82</f>
        <v>838.887409924743</v>
      </c>
      <c r="O92" s="11">
        <f>'Demonstration path data'!AS10-O82</f>
        <v>798.69775880205725</v>
      </c>
      <c r="P92" s="11">
        <f>'Demonstration path data'!AT10-P82</f>
        <v>763.56297227735377</v>
      </c>
      <c r="Q92" s="11">
        <f>'Demonstration path data'!AU10-Q82</f>
        <v>731.44121984974322</v>
      </c>
      <c r="R92" s="11">
        <f>'Demonstration path data'!AV10-R82</f>
        <v>701.24616550959399</v>
      </c>
      <c r="S92" s="11">
        <f>'Demonstration path data'!AW10-S82</f>
        <v>672.58594272730011</v>
      </c>
      <c r="T92" s="47">
        <f t="shared" si="54"/>
        <v>4979.7757815974974</v>
      </c>
    </row>
    <row r="93" spans="1:20" x14ac:dyDescent="0.35">
      <c r="A93" s="1"/>
      <c r="B93" t="s">
        <v>42</v>
      </c>
      <c r="F93" s="11">
        <f>'Demonstration path data'!AJ11-F83</f>
        <v>-5325.7862014847042</v>
      </c>
      <c r="G93" s="11">
        <f>'Demonstration path data'!AK11-G83</f>
        <v>-5479.6543305072537</v>
      </c>
      <c r="H93" s="11">
        <f>'Demonstration path data'!AL11-H83</f>
        <v>-5785.9793818925709</v>
      </c>
      <c r="I93" s="11">
        <f>'Demonstration path data'!AM11-I83</f>
        <v>-6919.030637004309</v>
      </c>
      <c r="J93" s="11">
        <f>'Demonstration path data'!AN11-J83</f>
        <v>-8888.5750408616004</v>
      </c>
      <c r="K93" s="11">
        <f>'Demonstration path data'!AO11-K83</f>
        <v>-10490.621548740437</v>
      </c>
      <c r="L93" s="11">
        <f>'Demonstration path data'!AP11-L83</f>
        <v>-12526.071612131151</v>
      </c>
      <c r="M93" s="11">
        <f>'Demonstration path data'!AQ11-M83</f>
        <v>-13710.156594035408</v>
      </c>
      <c r="N93" s="11">
        <f>'Demonstration path data'!AR11-N83</f>
        <v>-14336.552328808704</v>
      </c>
      <c r="O93" s="11">
        <f>'Demonstration path data'!AS11-O83</f>
        <v>-15415.238881312909</v>
      </c>
      <c r="P93" s="11">
        <f>'Demonstration path data'!AT11-P83</f>
        <v>-16417.769327378486</v>
      </c>
      <c r="Q93" s="11">
        <f>'Demonstration path data'!AU11-Q83</f>
        <v>-17501.259405257835</v>
      </c>
      <c r="R93" s="11">
        <f>'Demonstration path data'!AV11-R83</f>
        <v>-18390.631186567116</v>
      </c>
      <c r="S93" s="11">
        <f>'Demonstration path data'!AW11-S83</f>
        <v>-19189.008079692292</v>
      </c>
      <c r="T93" s="47">
        <f t="shared" si="54"/>
        <v>-44610.278220630069</v>
      </c>
    </row>
    <row r="94" spans="1:20" x14ac:dyDescent="0.35">
      <c r="A94" s="1"/>
      <c r="B94" t="s">
        <v>12</v>
      </c>
      <c r="F94" s="40">
        <f t="shared" ref="F94:S94" si="60">SUM(F88:F92)</f>
        <v>37165.984787091496</v>
      </c>
      <c r="G94" s="40">
        <f t="shared" si="60"/>
        <v>36277.931678870133</v>
      </c>
      <c r="H94" s="40">
        <f t="shared" si="60"/>
        <v>35177.801103730293</v>
      </c>
      <c r="I94" s="40">
        <f t="shared" si="60"/>
        <v>34002.362728167813</v>
      </c>
      <c r="J94" s="40">
        <f t="shared" si="60"/>
        <v>33411.243805384809</v>
      </c>
      <c r="K94" s="40">
        <f t="shared" si="60"/>
        <v>32698.851052945396</v>
      </c>
      <c r="L94" s="40">
        <f t="shared" si="60"/>
        <v>31936.928401022069</v>
      </c>
      <c r="M94" s="40">
        <f t="shared" si="60"/>
        <v>31101.666499805149</v>
      </c>
      <c r="N94" s="40">
        <f t="shared" si="60"/>
        <v>29213.517703509791</v>
      </c>
      <c r="O94" s="40">
        <f t="shared" si="60"/>
        <v>28002.435162347654</v>
      </c>
      <c r="P94" s="40">
        <f t="shared" si="60"/>
        <v>26757.063157007571</v>
      </c>
      <c r="Q94" s="40">
        <f t="shared" si="60"/>
        <v>25587.631913329922</v>
      </c>
      <c r="R94" s="40">
        <f t="shared" si="60"/>
        <v>24424.940205270967</v>
      </c>
      <c r="S94" s="40">
        <f t="shared" si="60"/>
        <v>23151.905148193378</v>
      </c>
      <c r="T94" s="47">
        <f t="shared" si="54"/>
        <v>167227.18709125038</v>
      </c>
    </row>
    <row r="95" spans="1:20" x14ac:dyDescent="0.35">
      <c r="A95" s="1"/>
      <c r="B95" t="s">
        <v>18</v>
      </c>
      <c r="F95" s="40">
        <f t="shared" ref="F95:S95" si="61">F94+F93</f>
        <v>31840.198585606791</v>
      </c>
      <c r="G95" s="40">
        <f t="shared" si="61"/>
        <v>30798.277348362877</v>
      </c>
      <c r="H95" s="40">
        <f t="shared" si="61"/>
        <v>29391.821721837721</v>
      </c>
      <c r="I95" s="40">
        <f t="shared" si="61"/>
        <v>27083.332091163502</v>
      </c>
      <c r="J95" s="40">
        <f t="shared" si="61"/>
        <v>24522.668764523209</v>
      </c>
      <c r="K95" s="40">
        <f t="shared" si="61"/>
        <v>22208.229504204959</v>
      </c>
      <c r="L95" s="40">
        <f t="shared" si="61"/>
        <v>19410.856788890917</v>
      </c>
      <c r="M95" s="40">
        <f t="shared" si="61"/>
        <v>17391.509905769741</v>
      </c>
      <c r="N95" s="40">
        <f t="shared" si="61"/>
        <v>14876.965374701087</v>
      </c>
      <c r="O95" s="40">
        <f t="shared" si="61"/>
        <v>12587.196281034745</v>
      </c>
      <c r="P95" s="40">
        <f t="shared" si="61"/>
        <v>10339.293829629085</v>
      </c>
      <c r="Q95" s="40">
        <f t="shared" si="61"/>
        <v>8086.3725080720869</v>
      </c>
      <c r="R95" s="40">
        <f t="shared" si="61"/>
        <v>6034.3090187038506</v>
      </c>
      <c r="S95" s="40">
        <f t="shared" si="61"/>
        <v>3962.8970685010863</v>
      </c>
      <c r="T95" s="47">
        <f t="shared" si="54"/>
        <v>122616.90887062032</v>
      </c>
    </row>
    <row r="96" spans="1:20" x14ac:dyDescent="0.35">
      <c r="A96" s="1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7"/>
    </row>
    <row r="97" spans="1:20" x14ac:dyDescent="0.35">
      <c r="A97" s="21" t="s">
        <v>44</v>
      </c>
      <c r="T97" s="47"/>
    </row>
    <row r="98" spans="1:20" x14ac:dyDescent="0.35">
      <c r="B98" t="s">
        <v>242</v>
      </c>
      <c r="F98" s="40">
        <f t="shared" ref="F98:S98" si="62">F84+F94</f>
        <v>81240.767489933642</v>
      </c>
      <c r="G98" s="40">
        <f t="shared" si="62"/>
        <v>79780.553460662079</v>
      </c>
      <c r="H98" s="40">
        <f t="shared" si="62"/>
        <v>78173.188839064853</v>
      </c>
      <c r="I98" s="40">
        <f t="shared" si="62"/>
        <v>76473.496294303361</v>
      </c>
      <c r="J98" s="40">
        <f t="shared" si="62"/>
        <v>75463.9588344105</v>
      </c>
      <c r="K98" s="40">
        <f t="shared" si="62"/>
        <v>74345.448262647842</v>
      </c>
      <c r="L98" s="40">
        <f t="shared" si="62"/>
        <v>73138.527289639416</v>
      </c>
      <c r="M98" s="40">
        <f t="shared" si="62"/>
        <v>71871.973500270091</v>
      </c>
      <c r="N98" s="40">
        <f t="shared" si="62"/>
        <v>69500.845487337428</v>
      </c>
      <c r="O98" s="40">
        <f t="shared" si="62"/>
        <v>67956.423787695006</v>
      </c>
      <c r="P98" s="40">
        <f t="shared" si="62"/>
        <v>66363.673920670408</v>
      </c>
      <c r="Q98" s="40">
        <f t="shared" si="62"/>
        <v>64867.468758357631</v>
      </c>
      <c r="R98" s="40">
        <f t="shared" si="62"/>
        <v>63371.974696644887</v>
      </c>
      <c r="S98" s="40">
        <f t="shared" si="62"/>
        <v>61784.515920141952</v>
      </c>
      <c r="T98" s="47">
        <f>SUM(H98:L98)</f>
        <v>377594.61952006596</v>
      </c>
    </row>
    <row r="99" spans="1:20" x14ac:dyDescent="0.35">
      <c r="A99" s="1"/>
      <c r="B99" t="s">
        <v>243</v>
      </c>
      <c r="F99" s="11">
        <f t="shared" ref="F99:S99" si="63">F85+F95</f>
        <v>74925.865306479012</v>
      </c>
      <c r="G99" s="11">
        <f t="shared" si="63"/>
        <v>73649.020622385171</v>
      </c>
      <c r="H99" s="11">
        <f t="shared" si="63"/>
        <v>72122.053884700057</v>
      </c>
      <c r="I99" s="11">
        <f t="shared" si="63"/>
        <v>69700.308569491928</v>
      </c>
      <c r="J99" s="11">
        <f t="shared" si="63"/>
        <v>66526.613497394224</v>
      </c>
      <c r="K99" s="11">
        <f t="shared" si="63"/>
        <v>63857.721327852698</v>
      </c>
      <c r="L99" s="11">
        <f t="shared" si="63"/>
        <v>60703.389645464289</v>
      </c>
      <c r="M99" s="11">
        <f t="shared" si="63"/>
        <v>58295.868785954677</v>
      </c>
      <c r="N99" s="11">
        <f t="shared" si="63"/>
        <v>55377.138276367004</v>
      </c>
      <c r="O99" s="11">
        <f t="shared" si="63"/>
        <v>52848.969092993066</v>
      </c>
      <c r="P99" s="11">
        <f t="shared" si="63"/>
        <v>50431.497938212779</v>
      </c>
      <c r="Q99" s="11">
        <f t="shared" si="63"/>
        <v>48032.97224724172</v>
      </c>
      <c r="R99" s="11">
        <f t="shared" si="63"/>
        <v>45710.43473265144</v>
      </c>
      <c r="S99" s="11">
        <f t="shared" si="63"/>
        <v>43236.865732369064</v>
      </c>
      <c r="T99" s="47">
        <f t="shared" si="54"/>
        <v>332910.08692490321</v>
      </c>
    </row>
    <row r="100" spans="1:20" x14ac:dyDescent="0.35">
      <c r="A100" s="1"/>
      <c r="T100" s="47"/>
    </row>
    <row r="101" spans="1:20" s="181" customFormat="1" x14ac:dyDescent="0.35">
      <c r="A101" s="180" t="s">
        <v>47</v>
      </c>
      <c r="T101" s="182"/>
    </row>
    <row r="102" spans="1:20" x14ac:dyDescent="0.35">
      <c r="A102" s="1"/>
      <c r="B102" t="s">
        <v>48</v>
      </c>
      <c r="F102" s="11">
        <f>'Demonstration path data'!AJ18</f>
        <v>20416.094218215625</v>
      </c>
      <c r="G102" s="11">
        <f>'Demonstration path data'!AK18</f>
        <v>20452.655033376632</v>
      </c>
      <c r="H102" s="11">
        <f>'Demonstration path data'!AL18</f>
        <v>20344.295177427801</v>
      </c>
      <c r="I102" s="11">
        <f>'Demonstration path data'!AM18</f>
        <v>20194.829228157723</v>
      </c>
      <c r="J102" s="11">
        <f>'Demonstration path data'!AN18</f>
        <v>19926.726607918445</v>
      </c>
      <c r="K102" s="11">
        <f>'Demonstration path data'!AO18</f>
        <v>19607.38517330767</v>
      </c>
      <c r="L102" s="11">
        <f>'Demonstration path data'!AP18</f>
        <v>19163.097716511802</v>
      </c>
      <c r="M102" s="11">
        <f>'Demonstration path data'!AQ18</f>
        <v>18592.589383960116</v>
      </c>
      <c r="N102" s="11">
        <f>'Demonstration path data'!AR18</f>
        <v>17893.126849922981</v>
      </c>
      <c r="O102" s="11">
        <f>'Demonstration path data'!AS18</f>
        <v>17030.453995135267</v>
      </c>
      <c r="P102" s="11">
        <f>'Demonstration path data'!AT18</f>
        <v>16133.809428978593</v>
      </c>
      <c r="Q102" s="11">
        <f>'Demonstration path data'!AU18</f>
        <v>15192.298145995384</v>
      </c>
      <c r="R102" s="11">
        <f>'Demonstration path data'!AV18</f>
        <v>14249.527500484161</v>
      </c>
      <c r="S102" s="11">
        <f>'Demonstration path data'!AW18</f>
        <v>13200.750128371654</v>
      </c>
      <c r="T102" s="47">
        <f t="shared" si="54"/>
        <v>99236.333903323452</v>
      </c>
    </row>
    <row r="103" spans="1:20" x14ac:dyDescent="0.35">
      <c r="A103" s="1"/>
      <c r="B103" t="s">
        <v>49</v>
      </c>
      <c r="F103" s="11">
        <f t="shared" ref="F103:S103" si="64">SUM(F88:F89)-F102</f>
        <v>11737.08982508834</v>
      </c>
      <c r="G103" s="11">
        <f t="shared" si="64"/>
        <v>10916.977109486059</v>
      </c>
      <c r="H103" s="11">
        <f t="shared" si="64"/>
        <v>9945.104704118341</v>
      </c>
      <c r="I103" s="11">
        <f t="shared" si="64"/>
        <v>8976.7211860775351</v>
      </c>
      <c r="J103" s="11">
        <f t="shared" si="64"/>
        <v>8700.8141974179198</v>
      </c>
      <c r="K103" s="11">
        <f t="shared" si="64"/>
        <v>8373.7618066744799</v>
      </c>
      <c r="L103" s="11">
        <f t="shared" si="64"/>
        <v>8118.2422825405156</v>
      </c>
      <c r="M103" s="11">
        <f t="shared" si="64"/>
        <v>7903.5344634444846</v>
      </c>
      <c r="N103" s="11">
        <f t="shared" si="64"/>
        <v>6910.1151212159857</v>
      </c>
      <c r="O103" s="11">
        <f t="shared" si="64"/>
        <v>6623.5618878625573</v>
      </c>
      <c r="P103" s="11">
        <f t="shared" si="64"/>
        <v>6330.2483305376973</v>
      </c>
      <c r="Q103" s="11">
        <f t="shared" si="64"/>
        <v>6160.2031672557096</v>
      </c>
      <c r="R103" s="11">
        <f t="shared" si="64"/>
        <v>5992.3007007377601</v>
      </c>
      <c r="S103" s="11">
        <f t="shared" si="64"/>
        <v>5799.7045481304431</v>
      </c>
      <c r="T103" s="47">
        <f t="shared" si="54"/>
        <v>44114.644176828791</v>
      </c>
    </row>
    <row r="104" spans="1:20" x14ac:dyDescent="0.35">
      <c r="A104" s="1"/>
      <c r="B104" t="s">
        <v>50</v>
      </c>
      <c r="F104" s="11">
        <f t="shared" ref="F104:S104" si="65">F90</f>
        <v>3855.6029670502521</v>
      </c>
      <c r="G104" s="11">
        <f t="shared" si="65"/>
        <v>3792.4251535080225</v>
      </c>
      <c r="H104" s="11">
        <f t="shared" si="65"/>
        <v>3812.3168644479701</v>
      </c>
      <c r="I104" s="11">
        <f t="shared" si="65"/>
        <v>3794.7581937898731</v>
      </c>
      <c r="J104" s="11">
        <f t="shared" si="65"/>
        <v>3787.9954769448927</v>
      </c>
      <c r="K104" s="11">
        <f t="shared" si="65"/>
        <v>3762.0024456850983</v>
      </c>
      <c r="L104" s="11">
        <f t="shared" si="65"/>
        <v>3739.3602486328173</v>
      </c>
      <c r="M104" s="11">
        <f t="shared" si="65"/>
        <v>3728.2031010377223</v>
      </c>
      <c r="N104" s="11">
        <f t="shared" si="65"/>
        <v>3571.3883224460824</v>
      </c>
      <c r="O104" s="11">
        <f t="shared" si="65"/>
        <v>3549.7215205477728</v>
      </c>
      <c r="P104" s="11">
        <f t="shared" si="65"/>
        <v>3529.4424252139283</v>
      </c>
      <c r="Q104" s="11">
        <f t="shared" si="65"/>
        <v>3503.6893802290842</v>
      </c>
      <c r="R104" s="11">
        <f t="shared" si="65"/>
        <v>3481.8658385394538</v>
      </c>
      <c r="S104" s="11">
        <f t="shared" si="65"/>
        <v>3478.864528963983</v>
      </c>
      <c r="T104" s="47">
        <f t="shared" si="54"/>
        <v>18896.433229500653</v>
      </c>
    </row>
    <row r="105" spans="1:20" x14ac:dyDescent="0.35">
      <c r="A105" s="10"/>
      <c r="B105" t="s">
        <v>51</v>
      </c>
      <c r="F105" s="11">
        <f t="shared" ref="F105:S105" si="66">F92</f>
        <v>1157.1977767372805</v>
      </c>
      <c r="G105" s="11">
        <f t="shared" si="66"/>
        <v>1115.874382499414</v>
      </c>
      <c r="H105" s="11">
        <f t="shared" si="66"/>
        <v>1076.0843577361793</v>
      </c>
      <c r="I105" s="11">
        <f t="shared" si="66"/>
        <v>1036.054120142684</v>
      </c>
      <c r="J105" s="11">
        <f t="shared" si="66"/>
        <v>995.70752310355147</v>
      </c>
      <c r="K105" s="11">
        <f t="shared" si="66"/>
        <v>955.70162727814841</v>
      </c>
      <c r="L105" s="11">
        <f t="shared" si="66"/>
        <v>916.22815333693416</v>
      </c>
      <c r="M105" s="11">
        <f t="shared" si="66"/>
        <v>877.33955136282611</v>
      </c>
      <c r="N105" s="11">
        <f t="shared" si="66"/>
        <v>838.887409924743</v>
      </c>
      <c r="O105" s="11">
        <f t="shared" si="66"/>
        <v>798.69775880205725</v>
      </c>
      <c r="P105" s="11">
        <f t="shared" si="66"/>
        <v>763.56297227735377</v>
      </c>
      <c r="Q105" s="11">
        <f t="shared" si="66"/>
        <v>731.44121984974322</v>
      </c>
      <c r="R105" s="11">
        <f t="shared" si="66"/>
        <v>701.24616550959399</v>
      </c>
      <c r="S105" s="11">
        <f t="shared" si="66"/>
        <v>672.58594272730011</v>
      </c>
      <c r="T105" s="47">
        <f t="shared" si="54"/>
        <v>4979.7757815974974</v>
      </c>
    </row>
    <row r="106" spans="1:20" x14ac:dyDescent="0.35">
      <c r="A106" s="1"/>
      <c r="B106" t="s">
        <v>42</v>
      </c>
      <c r="F106" s="11">
        <f t="shared" ref="F106:S106" si="67">F93</f>
        <v>-5325.7862014847042</v>
      </c>
      <c r="G106" s="11">
        <f t="shared" si="67"/>
        <v>-5479.6543305072537</v>
      </c>
      <c r="H106" s="11">
        <f t="shared" si="67"/>
        <v>-5785.9793818925709</v>
      </c>
      <c r="I106" s="11">
        <f t="shared" si="67"/>
        <v>-6919.030637004309</v>
      </c>
      <c r="J106" s="11">
        <f t="shared" si="67"/>
        <v>-8888.5750408616004</v>
      </c>
      <c r="K106" s="11">
        <f t="shared" si="67"/>
        <v>-10490.621548740437</v>
      </c>
      <c r="L106" s="11">
        <f t="shared" si="67"/>
        <v>-12526.071612131151</v>
      </c>
      <c r="M106" s="11">
        <f t="shared" si="67"/>
        <v>-13710.156594035408</v>
      </c>
      <c r="N106" s="11">
        <f t="shared" si="67"/>
        <v>-14336.552328808704</v>
      </c>
      <c r="O106" s="11">
        <f t="shared" si="67"/>
        <v>-15415.238881312909</v>
      </c>
      <c r="P106" s="11">
        <f t="shared" si="67"/>
        <v>-16417.769327378486</v>
      </c>
      <c r="Q106" s="11">
        <f t="shared" si="67"/>
        <v>-17501.259405257835</v>
      </c>
      <c r="R106" s="11">
        <f t="shared" si="67"/>
        <v>-18390.631186567116</v>
      </c>
      <c r="S106" s="11">
        <f t="shared" si="67"/>
        <v>-19189.008079692292</v>
      </c>
      <c r="T106" s="47">
        <f t="shared" si="54"/>
        <v>-44610.278220630069</v>
      </c>
    </row>
    <row r="107" spans="1:20" x14ac:dyDescent="0.35">
      <c r="B107" t="s">
        <v>253</v>
      </c>
      <c r="F107" s="11">
        <f>SUM(F102:F106)</f>
        <v>31840.198585606791</v>
      </c>
      <c r="G107" s="11">
        <f t="shared" ref="G107:S107" si="68">SUM(G102:G106)</f>
        <v>30798.277348362877</v>
      </c>
      <c r="H107" s="11">
        <f t="shared" si="68"/>
        <v>29391.821721837721</v>
      </c>
      <c r="I107" s="11">
        <f t="shared" si="68"/>
        <v>27083.332091163502</v>
      </c>
      <c r="J107" s="11">
        <f t="shared" si="68"/>
        <v>24522.668764523209</v>
      </c>
      <c r="K107" s="11">
        <f t="shared" si="68"/>
        <v>22208.229504204959</v>
      </c>
      <c r="L107" s="11">
        <f t="shared" si="68"/>
        <v>19410.856788890917</v>
      </c>
      <c r="M107" s="11">
        <f t="shared" si="68"/>
        <v>17391.509905769741</v>
      </c>
      <c r="N107" s="11">
        <f t="shared" si="68"/>
        <v>14876.965374701087</v>
      </c>
      <c r="O107" s="11">
        <f t="shared" si="68"/>
        <v>12587.196281034745</v>
      </c>
      <c r="P107" s="11">
        <f t="shared" si="68"/>
        <v>10339.293829629085</v>
      </c>
      <c r="Q107" s="11">
        <f t="shared" si="68"/>
        <v>8086.3725080720869</v>
      </c>
      <c r="R107" s="11">
        <f t="shared" si="68"/>
        <v>6034.3090187038506</v>
      </c>
      <c r="S107" s="11">
        <f t="shared" si="68"/>
        <v>3962.8970685010863</v>
      </c>
      <c r="T107" s="47">
        <f t="shared" si="54"/>
        <v>122616.90887062032</v>
      </c>
    </row>
    <row r="108" spans="1:20" x14ac:dyDescent="0.35">
      <c r="B108" t="s">
        <v>254</v>
      </c>
      <c r="F108" s="11">
        <f t="shared" ref="F108:S108" si="69">F6-F107</f>
        <v>43085.666720872236</v>
      </c>
      <c r="G108" s="11">
        <f t="shared" si="69"/>
        <v>42850.743274022294</v>
      </c>
      <c r="H108" s="11">
        <f t="shared" si="69"/>
        <v>42730.232162862332</v>
      </c>
      <c r="I108" s="11">
        <f t="shared" si="69"/>
        <v>42616.976478328426</v>
      </c>
      <c r="J108" s="11">
        <f t="shared" si="69"/>
        <v>42003.944732871016</v>
      </c>
      <c r="K108" s="11">
        <f t="shared" si="69"/>
        <v>41649.491823647746</v>
      </c>
      <c r="L108" s="11">
        <f t="shared" si="69"/>
        <v>41292.532856573373</v>
      </c>
      <c r="M108" s="11">
        <f t="shared" si="69"/>
        <v>40904.35888018494</v>
      </c>
      <c r="N108" s="11">
        <f t="shared" si="69"/>
        <v>40500.172901665916</v>
      </c>
      <c r="O108" s="11">
        <f t="shared" si="69"/>
        <v>40261.772811958319</v>
      </c>
      <c r="P108" s="11">
        <f t="shared" si="69"/>
        <v>40092.204108583697</v>
      </c>
      <c r="Q108" s="11">
        <f t="shared" si="69"/>
        <v>39946.599739169629</v>
      </c>
      <c r="R108" s="11">
        <f t="shared" si="69"/>
        <v>39676.125713947578</v>
      </c>
      <c r="S108" s="11">
        <f t="shared" si="69"/>
        <v>39273.968663867978</v>
      </c>
      <c r="T108" s="47">
        <f t="shared" si="54"/>
        <v>210293.17805428291</v>
      </c>
    </row>
    <row r="120" spans="7:11" x14ac:dyDescent="0.35">
      <c r="G120" s="11"/>
      <c r="H120" s="11"/>
      <c r="I120" s="11"/>
      <c r="J120" s="11"/>
      <c r="K120" s="11"/>
    </row>
    <row r="121" spans="7:11" x14ac:dyDescent="0.35">
      <c r="G121" s="11"/>
      <c r="H121" s="11"/>
      <c r="I121" s="11"/>
      <c r="J121" s="11"/>
      <c r="K121" s="11"/>
    </row>
    <row r="122" spans="7:11" x14ac:dyDescent="0.35">
      <c r="G122" s="11"/>
      <c r="H122" s="11"/>
      <c r="I122" s="11"/>
      <c r="J122" s="11"/>
      <c r="K122" s="11"/>
    </row>
    <row r="123" spans="7:11" x14ac:dyDescent="0.35">
      <c r="G123" s="11"/>
      <c r="H123" s="11"/>
      <c r="I123" s="11"/>
      <c r="J123" s="11"/>
      <c r="K123" s="11"/>
    </row>
    <row r="125" spans="7:11" x14ac:dyDescent="0.35">
      <c r="G125" s="11"/>
      <c r="H125" s="11"/>
      <c r="I125" s="11"/>
      <c r="J125" s="11"/>
      <c r="K125" s="11"/>
    </row>
    <row r="126" spans="7:11" x14ac:dyDescent="0.35">
      <c r="G126" s="11"/>
      <c r="H126" s="11"/>
      <c r="I126" s="11"/>
      <c r="J126" s="11"/>
      <c r="K126" s="11"/>
    </row>
    <row r="127" spans="7:11" x14ac:dyDescent="0.35">
      <c r="G127" s="11"/>
      <c r="H127" s="11"/>
      <c r="I127" s="11"/>
      <c r="J127" s="11"/>
      <c r="K127" s="11"/>
    </row>
    <row r="129" spans="7:11" x14ac:dyDescent="0.35">
      <c r="G129" s="11"/>
      <c r="H129" s="11"/>
      <c r="I129" s="11"/>
      <c r="J129" s="11"/>
      <c r="K129" s="11"/>
    </row>
    <row r="132" spans="7:11" x14ac:dyDescent="0.35">
      <c r="G132" s="11"/>
      <c r="H132" s="11"/>
      <c r="I132" s="11"/>
      <c r="J132" s="11"/>
      <c r="K132" s="11"/>
    </row>
    <row r="134" spans="7:11" x14ac:dyDescent="0.35">
      <c r="G134" s="11"/>
      <c r="H134" s="11"/>
      <c r="I134" s="11"/>
      <c r="J134" s="11"/>
      <c r="K134" s="11"/>
    </row>
    <row r="137" spans="7:11" x14ac:dyDescent="0.35">
      <c r="G137" s="11"/>
      <c r="H137" s="11"/>
      <c r="I137" s="11"/>
      <c r="J137" s="11"/>
      <c r="K137" s="11"/>
    </row>
    <row r="139" spans="7:11" x14ac:dyDescent="0.35">
      <c r="G139" s="11"/>
      <c r="H139" s="11"/>
      <c r="I139" s="11"/>
      <c r="J139" s="11"/>
      <c r="K139" s="11"/>
    </row>
    <row r="142" spans="7:11" x14ac:dyDescent="0.35">
      <c r="G142" s="11"/>
      <c r="H142" s="11"/>
      <c r="I142" s="11"/>
      <c r="J142" s="11"/>
      <c r="K142" s="11"/>
    </row>
    <row r="143" spans="7:11" x14ac:dyDescent="0.35">
      <c r="G143" s="11"/>
      <c r="H143" s="11"/>
      <c r="I143" s="11"/>
      <c r="J143" s="11"/>
      <c r="K143" s="11"/>
    </row>
    <row r="144" spans="7:11" x14ac:dyDescent="0.35">
      <c r="G144" s="11"/>
      <c r="H144" s="11"/>
      <c r="I144" s="11"/>
      <c r="J144" s="11"/>
      <c r="K144" s="11"/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7B93-A2C4-49E1-B478-A1C0AAD8FC9B}">
  <sheetPr codeName="Sheet2">
    <tabColor theme="6"/>
  </sheetPr>
  <dimension ref="A1:P24"/>
  <sheetViews>
    <sheetView zoomScale="90" zoomScaleNormal="90" workbookViewId="0">
      <selection activeCell="G27" sqref="G27"/>
    </sheetView>
  </sheetViews>
  <sheetFormatPr defaultRowHeight="14.5" x14ac:dyDescent="0.35"/>
  <cols>
    <col min="1" max="1" width="26.1796875" customWidth="1"/>
    <col min="2" max="2" width="30" customWidth="1"/>
    <col min="3" max="3" width="10.26953125" bestFit="1" customWidth="1"/>
    <col min="4" max="4" width="12.1796875" bestFit="1" customWidth="1"/>
    <col min="5" max="7" width="10.26953125" bestFit="1" customWidth="1"/>
    <col min="8" max="8" width="10.7265625" bestFit="1" customWidth="1"/>
    <col min="9" max="14" width="10.26953125" bestFit="1" customWidth="1"/>
    <col min="15" max="15" width="10" bestFit="1" customWidth="1"/>
    <col min="16" max="16" width="10.81640625" customWidth="1"/>
  </cols>
  <sheetData>
    <row r="1" spans="1:16" x14ac:dyDescent="0.35"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 s="1" t="s">
        <v>52</v>
      </c>
    </row>
    <row r="2" spans="1:16" s="39" customFormat="1" x14ac:dyDescent="0.35">
      <c r="A2" s="38" t="s">
        <v>53</v>
      </c>
    </row>
    <row r="4" spans="1:16" x14ac:dyDescent="0.35">
      <c r="A4" s="1" t="s">
        <v>54</v>
      </c>
      <c r="B4" t="s">
        <v>55</v>
      </c>
      <c r="C4" s="40">
        <f>'Demonstration path data'!AK18</f>
        <v>20452.655033376632</v>
      </c>
      <c r="D4" s="40">
        <f>'Demonstration path data'!AL18</f>
        <v>20344.295177427801</v>
      </c>
      <c r="E4" s="40">
        <f>'Demonstration path data'!AM18</f>
        <v>20194.829228157723</v>
      </c>
      <c r="F4" s="40">
        <f>'Demonstration path data'!AN18</f>
        <v>19926.726607918445</v>
      </c>
      <c r="G4" s="40">
        <f>'Demonstration path data'!AO18</f>
        <v>19607.38517330767</v>
      </c>
      <c r="H4" s="40">
        <f>'Demonstration path data'!AP18</f>
        <v>19163.097716511802</v>
      </c>
      <c r="I4" s="40">
        <f>'Demonstration path data'!AQ18</f>
        <v>18592.589383960116</v>
      </c>
      <c r="J4" s="40">
        <f>'Demonstration path data'!AR18</f>
        <v>17893.126849922981</v>
      </c>
      <c r="K4" s="40">
        <f>'Demonstration path data'!AS18</f>
        <v>17030.453995135267</v>
      </c>
      <c r="L4" s="40">
        <f>'Demonstration path data'!AT18</f>
        <v>16133.809428978593</v>
      </c>
      <c r="M4" s="40">
        <f>'Demonstration path data'!AU18</f>
        <v>15192.298145995384</v>
      </c>
      <c r="N4" s="40">
        <f>'Demonstration path data'!AV18</f>
        <v>14249.527500484161</v>
      </c>
      <c r="O4" s="40">
        <f>'Demonstration path data'!AW18</f>
        <v>13200.750128371654</v>
      </c>
      <c r="P4" s="11">
        <f>SUM(D4:H4)</f>
        <v>99236.333903323452</v>
      </c>
    </row>
    <row r="5" spans="1:16" x14ac:dyDescent="0.35">
      <c r="A5" s="18">
        <v>800</v>
      </c>
      <c r="B5" t="s">
        <v>56</v>
      </c>
      <c r="C5" s="5">
        <f>$A$5</f>
        <v>800</v>
      </c>
      <c r="D5" s="5">
        <f t="shared" ref="D5:O5" si="0">$A$5</f>
        <v>800</v>
      </c>
      <c r="E5" s="5">
        <f t="shared" si="0"/>
        <v>800</v>
      </c>
      <c r="F5" s="5">
        <f t="shared" si="0"/>
        <v>800</v>
      </c>
      <c r="G5" s="5">
        <f t="shared" si="0"/>
        <v>800</v>
      </c>
      <c r="H5" s="5">
        <f t="shared" si="0"/>
        <v>800</v>
      </c>
      <c r="I5" s="5">
        <f t="shared" si="0"/>
        <v>800</v>
      </c>
      <c r="J5" s="5">
        <f t="shared" si="0"/>
        <v>800</v>
      </c>
      <c r="K5" s="5">
        <f t="shared" si="0"/>
        <v>800</v>
      </c>
      <c r="L5" s="5">
        <f t="shared" si="0"/>
        <v>800</v>
      </c>
      <c r="M5" s="5">
        <f t="shared" si="0"/>
        <v>800</v>
      </c>
      <c r="N5" s="5">
        <f t="shared" si="0"/>
        <v>800</v>
      </c>
      <c r="O5" s="5">
        <f t="shared" si="0"/>
        <v>800</v>
      </c>
      <c r="P5" s="11">
        <f>SUM(D5:H5)</f>
        <v>4000</v>
      </c>
    </row>
    <row r="6" spans="1:16" x14ac:dyDescent="0.35">
      <c r="A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1"/>
    </row>
    <row r="7" spans="1:16" x14ac:dyDescent="0.35">
      <c r="A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1"/>
    </row>
    <row r="8" spans="1:16" x14ac:dyDescent="0.35">
      <c r="A8" s="1" t="s">
        <v>57</v>
      </c>
      <c r="B8" t="s">
        <v>55</v>
      </c>
      <c r="C8" s="40">
        <f>SUM('Demonstration path data'!AK17,'Demonstration path data'!AK25,'Demonstration path data'!AK27)</f>
        <v>4806.6950117475008</v>
      </c>
      <c r="D8" s="40">
        <f>SUM('Demonstration path data'!AL17,'Demonstration path data'!AL25,'Demonstration path data'!AL27)</f>
        <v>4047.0559812750989</v>
      </c>
      <c r="E8" s="40">
        <f>SUM('Demonstration path data'!AM17,'Demonstration path data'!AM25,'Demonstration path data'!AM27)</f>
        <v>3371.1912922590773</v>
      </c>
      <c r="F8" s="40">
        <f>SUM('Demonstration path data'!AN17,'Demonstration path data'!AN25,'Demonstration path data'!AN27)</f>
        <v>3265.8818828204262</v>
      </c>
      <c r="G8" s="40">
        <f>SUM('Demonstration path data'!AO17,'Demonstration path data'!AO25,'Demonstration path data'!AO27)</f>
        <v>3115.5833787282277</v>
      </c>
      <c r="H8" s="40">
        <f>SUM('Demonstration path data'!AP17,'Demonstration path data'!AP25,'Demonstration path data'!AP27)</f>
        <v>3010.4421428180926</v>
      </c>
      <c r="I8" s="40">
        <f>SUM('Demonstration path data'!AQ17,'Demonstration path data'!AQ25,'Demonstration path data'!AQ27)</f>
        <v>2887.9915151513655</v>
      </c>
      <c r="J8" s="40">
        <f>SUM('Demonstration path data'!AR17,'Demonstration path data'!AR25,'Demonstration path data'!AR27)</f>
        <v>2767.187576361735</v>
      </c>
      <c r="K8" s="40">
        <f>SUM('Demonstration path data'!AS17,'Demonstration path data'!AS25,'Demonstration path data'!AS27)</f>
        <v>2655.160235734123</v>
      </c>
      <c r="L8" s="40">
        <f>SUM('Demonstration path data'!AT17,'Demonstration path data'!AT25,'Demonstration path data'!AT27)</f>
        <v>2567.952466162229</v>
      </c>
      <c r="M8" s="40">
        <f>SUM('Demonstration path data'!AU17,'Demonstration path data'!AU25,'Demonstration path data'!AU27)</f>
        <v>2511.408796213138</v>
      </c>
      <c r="N8" s="40">
        <f>SUM('Demonstration path data'!AV17,'Demonstration path data'!AV25,'Demonstration path data'!AV27)</f>
        <v>2462.7784281016543</v>
      </c>
      <c r="O8" s="40">
        <f>SUM('Demonstration path data'!AW17,'Demonstration path data'!AW25,'Demonstration path data'!AW27)</f>
        <v>2409.8731915361118</v>
      </c>
      <c r="P8" s="11">
        <f>SUM(D8:H8)</f>
        <v>16810.154677900922</v>
      </c>
    </row>
    <row r="9" spans="1:16" x14ac:dyDescent="0.35">
      <c r="A9" s="22">
        <v>0.16</v>
      </c>
      <c r="B9" t="s">
        <v>56</v>
      </c>
      <c r="C9" s="2">
        <f>$A$9*C8</f>
        <v>769.07120187960015</v>
      </c>
      <c r="D9" s="2">
        <f>$A$9*D8</f>
        <v>647.52895700401587</v>
      </c>
      <c r="E9" s="2">
        <f t="shared" ref="E9:O9" si="1">$A$9*E8</f>
        <v>539.39060676145232</v>
      </c>
      <c r="F9" s="2">
        <f t="shared" si="1"/>
        <v>522.54110125126817</v>
      </c>
      <c r="G9" s="2">
        <f t="shared" si="1"/>
        <v>498.49334059651642</v>
      </c>
      <c r="H9" s="2">
        <f t="shared" si="1"/>
        <v>481.67074285089484</v>
      </c>
      <c r="I9" s="2">
        <f t="shared" si="1"/>
        <v>462.07864242421851</v>
      </c>
      <c r="J9" s="2">
        <f t="shared" si="1"/>
        <v>442.75001221787761</v>
      </c>
      <c r="K9" s="2">
        <f t="shared" si="1"/>
        <v>424.8256377174597</v>
      </c>
      <c r="L9" s="2">
        <f t="shared" si="1"/>
        <v>410.87239458595667</v>
      </c>
      <c r="M9" s="2">
        <f t="shared" si="1"/>
        <v>401.82540739410206</v>
      </c>
      <c r="N9" s="2">
        <f t="shared" si="1"/>
        <v>394.04454849626472</v>
      </c>
      <c r="O9" s="2">
        <f t="shared" si="1"/>
        <v>385.57971064577788</v>
      </c>
      <c r="P9" s="11">
        <f>SUM(D9:H9)</f>
        <v>2689.6247484641476</v>
      </c>
    </row>
    <row r="10" spans="1:16" x14ac:dyDescent="0.35">
      <c r="P10" s="11"/>
    </row>
    <row r="11" spans="1:16" s="161" customFormat="1" x14ac:dyDescent="0.35">
      <c r="B11" s="185" t="s">
        <v>58</v>
      </c>
      <c r="C11" s="25">
        <f>C5+C9</f>
        <v>1569.0712018796003</v>
      </c>
      <c r="D11" s="25">
        <f t="shared" ref="D11:O11" si="2">D5+D9</f>
        <v>1447.5289570040159</v>
      </c>
      <c r="E11" s="25">
        <f t="shared" si="2"/>
        <v>1339.3906067614523</v>
      </c>
      <c r="F11" s="25">
        <f t="shared" si="2"/>
        <v>1322.5411012512682</v>
      </c>
      <c r="G11" s="25">
        <f t="shared" si="2"/>
        <v>1298.4933405965164</v>
      </c>
      <c r="H11" s="25">
        <f t="shared" si="2"/>
        <v>1281.6707428508948</v>
      </c>
      <c r="I11" s="25">
        <f t="shared" si="2"/>
        <v>1262.0786424242185</v>
      </c>
      <c r="J11" s="25">
        <f t="shared" si="2"/>
        <v>1242.7500122178776</v>
      </c>
      <c r="K11" s="25">
        <f t="shared" si="2"/>
        <v>1224.8256377174598</v>
      </c>
      <c r="L11" s="25">
        <f t="shared" si="2"/>
        <v>1210.8723945859567</v>
      </c>
      <c r="M11" s="25">
        <f t="shared" si="2"/>
        <v>1201.8254073941021</v>
      </c>
      <c r="N11" s="25">
        <f t="shared" si="2"/>
        <v>1194.0445484962647</v>
      </c>
      <c r="O11" s="25">
        <f t="shared" si="2"/>
        <v>1185.5797106457778</v>
      </c>
      <c r="P11" s="183">
        <f>SUM(D11:H11)</f>
        <v>6689.6247484641481</v>
      </c>
    </row>
    <row r="12" spans="1:16" s="161" customFormat="1" x14ac:dyDescent="0.35">
      <c r="B12" s="162" t="s">
        <v>255</v>
      </c>
      <c r="C12" s="184">
        <f>C11/1000</f>
        <v>1.5690712018796003</v>
      </c>
      <c r="D12" s="12">
        <f t="shared" ref="D12:O12" si="3">D11/1000</f>
        <v>1.447528957004016</v>
      </c>
      <c r="E12" s="12">
        <f t="shared" si="3"/>
        <v>1.3393906067614523</v>
      </c>
      <c r="F12" s="12">
        <f t="shared" si="3"/>
        <v>1.3225411012512682</v>
      </c>
      <c r="G12" s="12">
        <f t="shared" si="3"/>
        <v>1.2984933405965164</v>
      </c>
      <c r="H12" s="12">
        <f t="shared" si="3"/>
        <v>1.2816707428508949</v>
      </c>
      <c r="I12" s="184">
        <f t="shared" si="3"/>
        <v>1.2620786424242185</v>
      </c>
      <c r="J12" s="184">
        <f t="shared" si="3"/>
        <v>1.2427500122178776</v>
      </c>
      <c r="K12" s="184">
        <f t="shared" si="3"/>
        <v>1.2248256377174598</v>
      </c>
      <c r="L12" s="184">
        <f t="shared" si="3"/>
        <v>1.2108723945859567</v>
      </c>
      <c r="M12" s="184">
        <f t="shared" si="3"/>
        <v>1.2018254073941022</v>
      </c>
      <c r="N12" s="184">
        <f t="shared" si="3"/>
        <v>1.1940445484962647</v>
      </c>
      <c r="O12" s="184">
        <f t="shared" si="3"/>
        <v>1.1855797106457777</v>
      </c>
      <c r="P12" s="184">
        <f>SUM(D12:H12)</f>
        <v>6.6896247484641469</v>
      </c>
    </row>
    <row r="13" spans="1:16" x14ac:dyDescent="0.35">
      <c r="C13" s="14"/>
      <c r="D13" s="14"/>
      <c r="E13" s="14"/>
      <c r="F13" s="14"/>
      <c r="G13" s="14"/>
      <c r="P13" s="184"/>
    </row>
    <row r="14" spans="1:16" x14ac:dyDescent="0.35">
      <c r="B14" t="s">
        <v>59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I14" s="1"/>
      <c r="P14" s="184">
        <f>SUM(D14:H14)</f>
        <v>0</v>
      </c>
    </row>
    <row r="15" spans="1:16" x14ac:dyDescent="0.35">
      <c r="I15" s="4"/>
      <c r="P15" s="13"/>
    </row>
    <row r="16" spans="1:16" x14ac:dyDescent="0.35">
      <c r="D16">
        <v>2024</v>
      </c>
      <c r="E16">
        <v>2025</v>
      </c>
      <c r="F16">
        <v>2026</v>
      </c>
      <c r="G16">
        <v>2027</v>
      </c>
      <c r="H16">
        <v>2028</v>
      </c>
      <c r="I16" s="4"/>
      <c r="P16" s="13"/>
    </row>
    <row r="17" spans="1:16" x14ac:dyDescent="0.35">
      <c r="B17" t="s">
        <v>306</v>
      </c>
      <c r="D17" s="81">
        <f>D14</f>
        <v>0</v>
      </c>
      <c r="E17" s="81">
        <f>E14</f>
        <v>0</v>
      </c>
      <c r="F17" s="81">
        <f>F12</f>
        <v>1.3225411012512682</v>
      </c>
      <c r="G17" s="81">
        <f t="shared" ref="G17:H17" si="4">G12</f>
        <v>1.2984933405965164</v>
      </c>
      <c r="H17" s="81">
        <f t="shared" si="4"/>
        <v>1.2816707428508949</v>
      </c>
      <c r="I17" s="4"/>
      <c r="P17" s="13"/>
    </row>
    <row r="18" spans="1:16" x14ac:dyDescent="0.35">
      <c r="I18" s="14"/>
      <c r="J18" s="14"/>
      <c r="K18" s="14"/>
      <c r="L18" s="14"/>
      <c r="M18" s="14"/>
      <c r="N18" s="14"/>
      <c r="P18" s="13"/>
    </row>
    <row r="19" spans="1:16" x14ac:dyDescent="0.35">
      <c r="A19" s="44"/>
      <c r="B19" s="45"/>
      <c r="C19" s="45"/>
      <c r="D19" s="45"/>
      <c r="E19" s="45"/>
      <c r="F19" s="45"/>
      <c r="G19" s="45"/>
      <c r="H19" s="31"/>
    </row>
    <row r="20" spans="1:16" x14ac:dyDescent="0.35">
      <c r="B20" s="46"/>
      <c r="C20" s="46"/>
      <c r="D20" s="46"/>
      <c r="E20" s="46"/>
      <c r="F20" s="12"/>
      <c r="G20" s="8"/>
    </row>
    <row r="21" spans="1:16" x14ac:dyDescent="0.35">
      <c r="A21" s="1"/>
      <c r="B21" s="46"/>
      <c r="C21" s="46"/>
      <c r="D21" s="46"/>
      <c r="E21" s="46"/>
      <c r="F21" s="46"/>
      <c r="G21" s="46"/>
      <c r="H21" s="31"/>
    </row>
    <row r="22" spans="1:16" x14ac:dyDescent="0.35">
      <c r="B22" s="30"/>
      <c r="C22" s="30"/>
      <c r="D22" s="30"/>
      <c r="E22" s="30"/>
      <c r="F22" s="30"/>
      <c r="G22" s="30"/>
      <c r="H22" s="31"/>
      <c r="I22" s="5"/>
      <c r="J22" s="5"/>
      <c r="K22" s="5"/>
      <c r="L22" s="5"/>
      <c r="M22" s="5"/>
      <c r="N22" s="5"/>
    </row>
    <row r="23" spans="1:16" x14ac:dyDescent="0.35">
      <c r="B23" s="30"/>
      <c r="C23" s="30"/>
      <c r="D23" s="30"/>
      <c r="E23" s="30"/>
      <c r="F23" s="30"/>
      <c r="G23" s="30"/>
      <c r="I23" s="5"/>
      <c r="J23" s="5"/>
      <c r="K23" s="5"/>
      <c r="L23" s="5"/>
      <c r="M23" s="5"/>
      <c r="N23" s="5"/>
    </row>
    <row r="24" spans="1:16" x14ac:dyDescent="0.35">
      <c r="B24" s="13"/>
      <c r="C24" s="13"/>
      <c r="D24" s="13"/>
      <c r="E24" s="13"/>
      <c r="F24" s="13"/>
      <c r="G24" s="30"/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5172-C069-4BE4-AE75-5C2ED6D441F5}">
  <sheetPr>
    <tabColor theme="7"/>
  </sheetPr>
  <dimension ref="A1:AR73"/>
  <sheetViews>
    <sheetView zoomScale="85" zoomScaleNormal="85" workbookViewId="0">
      <pane ySplit="1" topLeftCell="A2" activePane="bottomLeft" state="frozen"/>
      <selection pane="bottomLeft" activeCell="O14" sqref="O14"/>
    </sheetView>
  </sheetViews>
  <sheetFormatPr defaultColWidth="8.7265625" defaultRowHeight="14.5" x14ac:dyDescent="0.35"/>
  <cols>
    <col min="1" max="1" width="13.81640625" customWidth="1"/>
    <col min="2" max="2" width="34.81640625" customWidth="1"/>
    <col min="3" max="3" width="13.54296875" hidden="1" customWidth="1"/>
    <col min="4" max="4" width="16.26953125" hidden="1" customWidth="1"/>
    <col min="5" max="13" width="15.26953125" hidden="1" customWidth="1"/>
    <col min="14" max="44" width="15.26953125" customWidth="1"/>
  </cols>
  <sheetData>
    <row r="1" spans="1:44" x14ac:dyDescent="0.35">
      <c r="N1" s="1">
        <v>2021</v>
      </c>
      <c r="O1" s="1">
        <v>2022</v>
      </c>
      <c r="P1" s="1">
        <v>2023</v>
      </c>
      <c r="Q1" s="1">
        <v>2024</v>
      </c>
      <c r="R1" s="1">
        <v>2025</v>
      </c>
      <c r="S1" s="1">
        <v>2026</v>
      </c>
      <c r="T1" s="1">
        <v>2027</v>
      </c>
      <c r="U1" s="1">
        <v>2028</v>
      </c>
      <c r="V1" s="1" t="s">
        <v>52</v>
      </c>
      <c r="W1" s="1">
        <v>2029</v>
      </c>
      <c r="X1" s="1">
        <v>2030</v>
      </c>
      <c r="Y1" s="1">
        <v>2031</v>
      </c>
      <c r="Z1" s="1">
        <v>2032</v>
      </c>
      <c r="AA1" s="1">
        <v>2033</v>
      </c>
      <c r="AB1" s="1">
        <v>2034</v>
      </c>
      <c r="AC1" s="1">
        <v>2035</v>
      </c>
      <c r="AD1" s="1">
        <v>2036</v>
      </c>
      <c r="AE1" s="1">
        <v>2037</v>
      </c>
      <c r="AF1" s="1">
        <v>2038</v>
      </c>
      <c r="AG1" s="1">
        <v>2039</v>
      </c>
      <c r="AH1" s="1">
        <v>2040</v>
      </c>
      <c r="AI1" s="1">
        <v>2041</v>
      </c>
      <c r="AJ1" s="1">
        <v>2042</v>
      </c>
      <c r="AK1" s="1">
        <v>2043</v>
      </c>
      <c r="AL1" s="1">
        <v>2044</v>
      </c>
      <c r="AM1" s="1">
        <v>2045</v>
      </c>
      <c r="AN1" s="1">
        <v>2046</v>
      </c>
      <c r="AO1" s="1">
        <v>2047</v>
      </c>
      <c r="AP1" s="1">
        <v>2048</v>
      </c>
      <c r="AQ1" s="1">
        <v>2049</v>
      </c>
      <c r="AR1" s="1">
        <v>2050</v>
      </c>
    </row>
    <row r="2" spans="1:44" s="38" customFormat="1" x14ac:dyDescent="0.35">
      <c r="A2" s="38" t="s">
        <v>60</v>
      </c>
      <c r="C2" s="38">
        <v>2010</v>
      </c>
      <c r="D2" s="38">
        <v>2011</v>
      </c>
      <c r="E2" s="38">
        <v>2012</v>
      </c>
      <c r="F2" s="38">
        <v>2013</v>
      </c>
      <c r="G2" s="38">
        <v>2014</v>
      </c>
      <c r="H2" s="38">
        <v>2015</v>
      </c>
      <c r="I2" s="38">
        <v>2016</v>
      </c>
      <c r="J2" s="38">
        <v>2017</v>
      </c>
      <c r="K2" s="38">
        <v>2018</v>
      </c>
      <c r="L2" s="38">
        <v>2019</v>
      </c>
      <c r="M2" s="38">
        <v>2020</v>
      </c>
    </row>
    <row r="3" spans="1:44" x14ac:dyDescent="0.35">
      <c r="A3" s="57">
        <v>0</v>
      </c>
      <c r="B3" t="s">
        <v>61</v>
      </c>
      <c r="C3" s="58">
        <v>2046224</v>
      </c>
      <c r="D3" s="58">
        <v>2050946</v>
      </c>
      <c r="E3" s="58">
        <v>2082812</v>
      </c>
      <c r="F3" s="58">
        <v>2140436</v>
      </c>
      <c r="G3" s="58">
        <v>2266638</v>
      </c>
      <c r="H3" s="58">
        <v>2231336</v>
      </c>
      <c r="I3" s="58">
        <v>2120840</v>
      </c>
      <c r="J3" s="58">
        <v>2166049.253731343</v>
      </c>
      <c r="K3" s="58">
        <v>2170983.1325301207</v>
      </c>
      <c r="L3" s="58">
        <v>2142270</v>
      </c>
      <c r="M3" s="58">
        <v>2053372</v>
      </c>
      <c r="N3" s="19">
        <v>2171621</v>
      </c>
      <c r="O3" s="5">
        <f>(N3*(1+$A$3))</f>
        <v>2171621</v>
      </c>
      <c r="P3" s="5">
        <f t="shared" ref="P3:AR3" si="0">(O3*(1+$A$3))</f>
        <v>2171621</v>
      </c>
      <c r="Q3" s="5">
        <f>(P3*(1+$A$3))</f>
        <v>2171621</v>
      </c>
      <c r="R3" s="5">
        <f>(Q3*(1+$A$3))</f>
        <v>2171621</v>
      </c>
      <c r="S3" s="5">
        <f t="shared" si="0"/>
        <v>2171621</v>
      </c>
      <c r="T3" s="5">
        <f t="shared" si="0"/>
        <v>2171621</v>
      </c>
      <c r="U3" s="5">
        <f t="shared" si="0"/>
        <v>2171621</v>
      </c>
      <c r="V3" s="5">
        <f>SUM(Q3:U3)</f>
        <v>10858105</v>
      </c>
      <c r="W3" s="5">
        <f>(U3*(1+$A$3))</f>
        <v>2171621</v>
      </c>
      <c r="X3" s="5">
        <f t="shared" si="0"/>
        <v>2171621</v>
      </c>
      <c r="Y3" s="5">
        <f t="shared" si="0"/>
        <v>2171621</v>
      </c>
      <c r="Z3" s="5">
        <f t="shared" si="0"/>
        <v>2171621</v>
      </c>
      <c r="AA3" s="5">
        <f t="shared" si="0"/>
        <v>2171621</v>
      </c>
      <c r="AB3" s="5">
        <f t="shared" si="0"/>
        <v>2171621</v>
      </c>
      <c r="AC3" s="5">
        <f t="shared" si="0"/>
        <v>2171621</v>
      </c>
      <c r="AD3" s="5">
        <f>(AC3*(1+$A$3))</f>
        <v>2171621</v>
      </c>
      <c r="AE3" s="5">
        <f t="shared" si="0"/>
        <v>2171621</v>
      </c>
      <c r="AF3" s="5">
        <f t="shared" si="0"/>
        <v>2171621</v>
      </c>
      <c r="AG3" s="5">
        <f t="shared" si="0"/>
        <v>2171621</v>
      </c>
      <c r="AH3" s="5">
        <f t="shared" si="0"/>
        <v>2171621</v>
      </c>
      <c r="AI3" s="5">
        <f t="shared" si="0"/>
        <v>2171621</v>
      </c>
      <c r="AJ3" s="5">
        <f t="shared" si="0"/>
        <v>2171621</v>
      </c>
      <c r="AK3" s="5">
        <f t="shared" si="0"/>
        <v>2171621</v>
      </c>
      <c r="AL3" s="5">
        <f t="shared" si="0"/>
        <v>2171621</v>
      </c>
      <c r="AM3" s="5">
        <f t="shared" si="0"/>
        <v>2171621</v>
      </c>
      <c r="AN3" s="5">
        <f t="shared" si="0"/>
        <v>2171621</v>
      </c>
      <c r="AO3" s="5">
        <f t="shared" si="0"/>
        <v>2171621</v>
      </c>
      <c r="AP3" s="5">
        <f t="shared" si="0"/>
        <v>2171621</v>
      </c>
      <c r="AQ3" s="5">
        <f t="shared" si="0"/>
        <v>2171621</v>
      </c>
      <c r="AR3" s="5">
        <f t="shared" si="0"/>
        <v>2171621</v>
      </c>
    </row>
    <row r="4" spans="1:44" x14ac:dyDescent="0.35">
      <c r="B4" t="s">
        <v>62</v>
      </c>
      <c r="C4" s="58">
        <v>841684</v>
      </c>
      <c r="D4" s="58">
        <v>875362</v>
      </c>
      <c r="E4" s="58">
        <v>602488</v>
      </c>
      <c r="F4" s="58">
        <v>3048344</v>
      </c>
      <c r="G4" s="58">
        <v>1511974</v>
      </c>
      <c r="H4" s="58">
        <v>1545412</v>
      </c>
      <c r="I4" s="58">
        <v>1572612</v>
      </c>
      <c r="J4" s="58">
        <v>1550617.9104477612</v>
      </c>
      <c r="K4" s="58">
        <v>1595850.6024096387</v>
      </c>
      <c r="L4" s="58">
        <v>1697437</v>
      </c>
      <c r="M4" s="58">
        <v>1558268</v>
      </c>
      <c r="N4" s="19">
        <v>628561</v>
      </c>
      <c r="O4" s="5">
        <f>(N4*(1+$A$3))</f>
        <v>628561</v>
      </c>
      <c r="P4" s="5">
        <f t="shared" ref="P4:AR4" si="1">(O4*(1+$A$3))</f>
        <v>628561</v>
      </c>
      <c r="Q4" s="5">
        <f t="shared" si="1"/>
        <v>628561</v>
      </c>
      <c r="R4" s="5">
        <f t="shared" si="1"/>
        <v>628561</v>
      </c>
      <c r="S4" s="5">
        <f t="shared" si="1"/>
        <v>628561</v>
      </c>
      <c r="T4" s="5">
        <f t="shared" si="1"/>
        <v>628561</v>
      </c>
      <c r="U4" s="5">
        <f t="shared" si="1"/>
        <v>628561</v>
      </c>
      <c r="V4" s="5">
        <f t="shared" ref="V4:V15" si="2">SUM(Q4:U4)</f>
        <v>3142805</v>
      </c>
      <c r="W4" s="5">
        <f>(U4*(1+$A$3))</f>
        <v>628561</v>
      </c>
      <c r="X4" s="5">
        <f t="shared" si="1"/>
        <v>628561</v>
      </c>
      <c r="Y4" s="5">
        <f t="shared" si="1"/>
        <v>628561</v>
      </c>
      <c r="Z4" s="5">
        <f t="shared" si="1"/>
        <v>628561</v>
      </c>
      <c r="AA4" s="5">
        <f t="shared" si="1"/>
        <v>628561</v>
      </c>
      <c r="AB4" s="5">
        <f t="shared" si="1"/>
        <v>628561</v>
      </c>
      <c r="AC4" s="5">
        <f t="shared" si="1"/>
        <v>628561</v>
      </c>
      <c r="AD4" s="5">
        <f>(AC4*(1+$A$3))</f>
        <v>628561</v>
      </c>
      <c r="AE4" s="5">
        <f t="shared" si="1"/>
        <v>628561</v>
      </c>
      <c r="AF4" s="5">
        <f t="shared" si="1"/>
        <v>628561</v>
      </c>
      <c r="AG4" s="5">
        <f t="shared" si="1"/>
        <v>628561</v>
      </c>
      <c r="AH4" s="5">
        <f t="shared" si="1"/>
        <v>628561</v>
      </c>
      <c r="AI4" s="5">
        <f t="shared" si="1"/>
        <v>628561</v>
      </c>
      <c r="AJ4" s="5">
        <f t="shared" si="1"/>
        <v>628561</v>
      </c>
      <c r="AK4" s="5">
        <f t="shared" si="1"/>
        <v>628561</v>
      </c>
      <c r="AL4" s="5">
        <f t="shared" si="1"/>
        <v>628561</v>
      </c>
      <c r="AM4" s="5">
        <f t="shared" si="1"/>
        <v>628561</v>
      </c>
      <c r="AN4" s="5">
        <f t="shared" si="1"/>
        <v>628561</v>
      </c>
      <c r="AO4" s="5">
        <f t="shared" si="1"/>
        <v>628561</v>
      </c>
      <c r="AP4" s="5">
        <f t="shared" si="1"/>
        <v>628561</v>
      </c>
      <c r="AQ4" s="5">
        <f t="shared" si="1"/>
        <v>628561</v>
      </c>
      <c r="AR4" s="5">
        <f t="shared" si="1"/>
        <v>628561</v>
      </c>
    </row>
    <row r="5" spans="1:44" x14ac:dyDescent="0.35">
      <c r="B5" t="s">
        <v>63</v>
      </c>
      <c r="C5" s="58">
        <v>572296</v>
      </c>
      <c r="D5" s="58">
        <v>588306</v>
      </c>
      <c r="E5" s="58">
        <v>780650</v>
      </c>
      <c r="F5" s="58">
        <v>999408</v>
      </c>
      <c r="G5" s="58">
        <v>1554864</v>
      </c>
      <c r="H5" s="58">
        <v>1311702</v>
      </c>
      <c r="I5" s="58">
        <v>1540066</v>
      </c>
      <c r="J5" s="58">
        <v>1370210.4477611938</v>
      </c>
      <c r="K5" s="58">
        <v>1138807.2289156627</v>
      </c>
      <c r="L5" s="58">
        <v>1318490</v>
      </c>
      <c r="M5" s="58">
        <v>1181995</v>
      </c>
      <c r="N5" s="19">
        <v>943632</v>
      </c>
      <c r="O5" s="5">
        <f t="shared" ref="O5:AR5" si="3">(N5*(1+$A$3))</f>
        <v>943632</v>
      </c>
      <c r="P5" s="5">
        <f t="shared" si="3"/>
        <v>943632</v>
      </c>
      <c r="Q5" s="5">
        <f t="shared" si="3"/>
        <v>943632</v>
      </c>
      <c r="R5" s="5">
        <f t="shared" si="3"/>
        <v>943632</v>
      </c>
      <c r="S5" s="5">
        <f t="shared" si="3"/>
        <v>943632</v>
      </c>
      <c r="T5" s="5">
        <f t="shared" si="3"/>
        <v>943632</v>
      </c>
      <c r="U5" s="5">
        <f t="shared" si="3"/>
        <v>943632</v>
      </c>
      <c r="V5" s="5">
        <f t="shared" si="2"/>
        <v>4718160</v>
      </c>
      <c r="W5" s="5">
        <f>(U5*(1+$A$3))</f>
        <v>943632</v>
      </c>
      <c r="X5" s="5">
        <f t="shared" si="3"/>
        <v>943632</v>
      </c>
      <c r="Y5" s="5">
        <f t="shared" si="3"/>
        <v>943632</v>
      </c>
      <c r="Z5" s="5">
        <f t="shared" si="3"/>
        <v>943632</v>
      </c>
      <c r="AA5" s="5">
        <f t="shared" si="3"/>
        <v>943632</v>
      </c>
      <c r="AB5" s="5">
        <f t="shared" si="3"/>
        <v>943632</v>
      </c>
      <c r="AC5" s="5">
        <f t="shared" si="3"/>
        <v>943632</v>
      </c>
      <c r="AD5" s="5">
        <f>(AC5*(1+$A$3))</f>
        <v>943632</v>
      </c>
      <c r="AE5" s="5">
        <f t="shared" si="3"/>
        <v>943632</v>
      </c>
      <c r="AF5" s="5">
        <f t="shared" si="3"/>
        <v>943632</v>
      </c>
      <c r="AG5" s="5">
        <f t="shared" si="3"/>
        <v>943632</v>
      </c>
      <c r="AH5" s="5">
        <f t="shared" si="3"/>
        <v>943632</v>
      </c>
      <c r="AI5" s="5">
        <f t="shared" si="3"/>
        <v>943632</v>
      </c>
      <c r="AJ5" s="5">
        <f t="shared" si="3"/>
        <v>943632</v>
      </c>
      <c r="AK5" s="5">
        <f t="shared" si="3"/>
        <v>943632</v>
      </c>
      <c r="AL5" s="5">
        <f t="shared" si="3"/>
        <v>943632</v>
      </c>
      <c r="AM5" s="5">
        <f t="shared" si="3"/>
        <v>943632</v>
      </c>
      <c r="AN5" s="5">
        <f t="shared" si="3"/>
        <v>943632</v>
      </c>
      <c r="AO5" s="5">
        <f t="shared" si="3"/>
        <v>943632</v>
      </c>
      <c r="AP5" s="5">
        <f t="shared" si="3"/>
        <v>943632</v>
      </c>
      <c r="AQ5" s="5">
        <f t="shared" si="3"/>
        <v>943632</v>
      </c>
      <c r="AR5" s="5">
        <f t="shared" si="3"/>
        <v>943632</v>
      </c>
    </row>
    <row r="6" spans="1:44" x14ac:dyDescent="0.35">
      <c r="B6" t="s">
        <v>64</v>
      </c>
      <c r="C6" s="58">
        <v>1200000</v>
      </c>
      <c r="D6" s="58">
        <v>1200000</v>
      </c>
      <c r="E6" s="58">
        <v>1200000</v>
      </c>
      <c r="F6" s="58">
        <v>1200000</v>
      </c>
      <c r="G6" s="58">
        <v>1200000</v>
      </c>
      <c r="H6" s="58">
        <v>1200000</v>
      </c>
      <c r="I6" s="58">
        <v>1200000</v>
      </c>
      <c r="J6" s="58">
        <v>1200000</v>
      </c>
      <c r="K6" s="58">
        <v>1200000</v>
      </c>
      <c r="L6" s="58">
        <v>1200000</v>
      </c>
      <c r="M6" s="58">
        <f>(L6*(1+$A$3))</f>
        <v>1200000</v>
      </c>
      <c r="N6" s="19">
        <v>1200000</v>
      </c>
      <c r="O6" s="5">
        <f>(N6*(1+$A$3))</f>
        <v>1200000</v>
      </c>
      <c r="P6" s="5">
        <f>(O6*(1+$A$3))</f>
        <v>1200000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f t="shared" si="2"/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</row>
    <row r="7" spans="1:44" x14ac:dyDescent="0.35">
      <c r="B7" t="s">
        <v>65</v>
      </c>
      <c r="C7" s="58">
        <v>1072644</v>
      </c>
      <c r="D7" s="58">
        <v>1080448</v>
      </c>
      <c r="E7" s="58">
        <v>1126974</v>
      </c>
      <c r="F7" s="58">
        <v>1194816</v>
      </c>
      <c r="G7" s="58">
        <v>1296520</v>
      </c>
      <c r="H7" s="58">
        <v>1342968</v>
      </c>
      <c r="I7" s="58">
        <v>1098248</v>
      </c>
      <c r="J7" s="58">
        <v>966774.6268656716</v>
      </c>
      <c r="K7" s="58">
        <v>884862.65060240962</v>
      </c>
      <c r="L7" s="58">
        <v>867222</v>
      </c>
      <c r="M7" s="58">
        <v>790640</v>
      </c>
      <c r="N7" s="19">
        <v>867084</v>
      </c>
      <c r="O7" s="5">
        <f t="shared" ref="O7:AR7" si="4">(N7*(1+$A$3))</f>
        <v>867084</v>
      </c>
      <c r="P7" s="5">
        <f t="shared" si="4"/>
        <v>867084</v>
      </c>
      <c r="Q7" s="5">
        <f t="shared" si="4"/>
        <v>867084</v>
      </c>
      <c r="R7" s="5">
        <f t="shared" si="4"/>
        <v>867084</v>
      </c>
      <c r="S7" s="5">
        <f t="shared" si="4"/>
        <v>867084</v>
      </c>
      <c r="T7" s="5">
        <f t="shared" si="4"/>
        <v>867084</v>
      </c>
      <c r="U7" s="5">
        <f t="shared" si="4"/>
        <v>867084</v>
      </c>
      <c r="V7" s="5">
        <f t="shared" si="2"/>
        <v>4335420</v>
      </c>
      <c r="W7" s="5">
        <f t="shared" ref="W7:W13" si="5">(U7*(1+$A$3))</f>
        <v>867084</v>
      </c>
      <c r="X7" s="5">
        <f t="shared" si="4"/>
        <v>867084</v>
      </c>
      <c r="Y7" s="5">
        <f t="shared" si="4"/>
        <v>867084</v>
      </c>
      <c r="Z7" s="5">
        <f t="shared" si="4"/>
        <v>867084</v>
      </c>
      <c r="AA7" s="5">
        <f t="shared" si="4"/>
        <v>867084</v>
      </c>
      <c r="AB7" s="5">
        <f t="shared" si="4"/>
        <v>867084</v>
      </c>
      <c r="AC7" s="5">
        <f t="shared" si="4"/>
        <v>867084</v>
      </c>
      <c r="AD7" s="5">
        <f t="shared" ref="AD7:AD13" si="6">(AC7*(1+$A$3))</f>
        <v>867084</v>
      </c>
      <c r="AE7" s="5">
        <f t="shared" si="4"/>
        <v>867084</v>
      </c>
      <c r="AF7" s="5">
        <f t="shared" si="4"/>
        <v>867084</v>
      </c>
      <c r="AG7" s="5">
        <f t="shared" si="4"/>
        <v>867084</v>
      </c>
      <c r="AH7" s="5">
        <f t="shared" si="4"/>
        <v>867084</v>
      </c>
      <c r="AI7" s="5">
        <f t="shared" si="4"/>
        <v>867084</v>
      </c>
      <c r="AJ7" s="5">
        <f t="shared" si="4"/>
        <v>867084</v>
      </c>
      <c r="AK7" s="5">
        <f t="shared" si="4"/>
        <v>867084</v>
      </c>
      <c r="AL7" s="5">
        <f t="shared" si="4"/>
        <v>867084</v>
      </c>
      <c r="AM7" s="5">
        <f t="shared" si="4"/>
        <v>867084</v>
      </c>
      <c r="AN7" s="5">
        <f t="shared" si="4"/>
        <v>867084</v>
      </c>
      <c r="AO7" s="5">
        <f t="shared" si="4"/>
        <v>867084</v>
      </c>
      <c r="AP7" s="5">
        <f t="shared" si="4"/>
        <v>867084</v>
      </c>
      <c r="AQ7" s="5">
        <f t="shared" si="4"/>
        <v>867084</v>
      </c>
      <c r="AR7" s="5">
        <f t="shared" si="4"/>
        <v>867084</v>
      </c>
    </row>
    <row r="8" spans="1:44" x14ac:dyDescent="0.35">
      <c r="B8" t="s">
        <v>66</v>
      </c>
      <c r="C8" s="58">
        <v>373100</v>
      </c>
      <c r="D8" s="58">
        <v>239456</v>
      </c>
      <c r="E8" s="58">
        <v>286130</v>
      </c>
      <c r="F8" s="58">
        <v>328722</v>
      </c>
      <c r="G8" s="58">
        <v>396938</v>
      </c>
      <c r="H8" s="58">
        <v>347812</v>
      </c>
      <c r="I8" s="58">
        <v>319360</v>
      </c>
      <c r="J8" s="58">
        <v>371732.8358208955</v>
      </c>
      <c r="K8" s="58">
        <v>392281.92771084339</v>
      </c>
      <c r="L8" s="58">
        <v>330233</v>
      </c>
      <c r="M8" s="58">
        <v>349257</v>
      </c>
      <c r="N8" s="19">
        <v>321854</v>
      </c>
      <c r="O8" s="5">
        <f t="shared" ref="O8:AR8" si="7">(N8*(1+$A$3))</f>
        <v>321854</v>
      </c>
      <c r="P8" s="5">
        <f t="shared" si="7"/>
        <v>321854</v>
      </c>
      <c r="Q8" s="5">
        <f t="shared" si="7"/>
        <v>321854</v>
      </c>
      <c r="R8" s="5">
        <f t="shared" si="7"/>
        <v>321854</v>
      </c>
      <c r="S8" s="5">
        <f t="shared" si="7"/>
        <v>321854</v>
      </c>
      <c r="T8" s="5">
        <f t="shared" si="7"/>
        <v>321854</v>
      </c>
      <c r="U8" s="5">
        <f t="shared" si="7"/>
        <v>321854</v>
      </c>
      <c r="V8" s="5">
        <f t="shared" si="2"/>
        <v>1609270</v>
      </c>
      <c r="W8" s="5">
        <f t="shared" si="5"/>
        <v>321854</v>
      </c>
      <c r="X8" s="5">
        <f t="shared" si="7"/>
        <v>321854</v>
      </c>
      <c r="Y8" s="5">
        <f t="shared" si="7"/>
        <v>321854</v>
      </c>
      <c r="Z8" s="5">
        <f t="shared" si="7"/>
        <v>321854</v>
      </c>
      <c r="AA8" s="5">
        <f t="shared" si="7"/>
        <v>321854</v>
      </c>
      <c r="AB8" s="5">
        <f t="shared" si="7"/>
        <v>321854</v>
      </c>
      <c r="AC8" s="5">
        <f t="shared" si="7"/>
        <v>321854</v>
      </c>
      <c r="AD8" s="5">
        <f t="shared" si="6"/>
        <v>321854</v>
      </c>
      <c r="AE8" s="5">
        <f t="shared" si="7"/>
        <v>321854</v>
      </c>
      <c r="AF8" s="5">
        <f t="shared" si="7"/>
        <v>321854</v>
      </c>
      <c r="AG8" s="5">
        <f t="shared" si="7"/>
        <v>321854</v>
      </c>
      <c r="AH8" s="5">
        <f t="shared" si="7"/>
        <v>321854</v>
      </c>
      <c r="AI8" s="5">
        <f t="shared" si="7"/>
        <v>321854</v>
      </c>
      <c r="AJ8" s="5">
        <f t="shared" si="7"/>
        <v>321854</v>
      </c>
      <c r="AK8" s="5">
        <f t="shared" si="7"/>
        <v>321854</v>
      </c>
      <c r="AL8" s="5">
        <f t="shared" si="7"/>
        <v>321854</v>
      </c>
      <c r="AM8" s="5">
        <f t="shared" si="7"/>
        <v>321854</v>
      </c>
      <c r="AN8" s="5">
        <f t="shared" si="7"/>
        <v>321854</v>
      </c>
      <c r="AO8" s="5">
        <f t="shared" si="7"/>
        <v>321854</v>
      </c>
      <c r="AP8" s="5">
        <f t="shared" si="7"/>
        <v>321854</v>
      </c>
      <c r="AQ8" s="5">
        <f t="shared" si="7"/>
        <v>321854</v>
      </c>
      <c r="AR8" s="5">
        <f t="shared" si="7"/>
        <v>321854</v>
      </c>
    </row>
    <row r="9" spans="1:44" x14ac:dyDescent="0.35">
      <c r="B9" t="s">
        <v>67</v>
      </c>
      <c r="C9" s="58">
        <v>57224</v>
      </c>
      <c r="D9" s="58">
        <v>44712</v>
      </c>
      <c r="E9" s="58">
        <v>52360</v>
      </c>
      <c r="F9" s="58">
        <v>57524</v>
      </c>
      <c r="G9" s="58">
        <v>53878</v>
      </c>
      <c r="H9" s="58">
        <v>62634</v>
      </c>
      <c r="I9" s="58">
        <v>64282</v>
      </c>
      <c r="J9" s="58">
        <v>65150.746268656716</v>
      </c>
      <c r="K9" s="58">
        <v>61040.963855421694</v>
      </c>
      <c r="L9" s="58">
        <v>57190</v>
      </c>
      <c r="M9" s="58">
        <v>59209</v>
      </c>
      <c r="N9" s="19">
        <v>57715</v>
      </c>
      <c r="O9" s="5">
        <f t="shared" ref="O9:AR9" si="8">(N9*(1+$A$3))</f>
        <v>57715</v>
      </c>
      <c r="P9" s="5">
        <f t="shared" si="8"/>
        <v>57715</v>
      </c>
      <c r="Q9" s="5">
        <f t="shared" si="8"/>
        <v>57715</v>
      </c>
      <c r="R9" s="5">
        <f t="shared" si="8"/>
        <v>57715</v>
      </c>
      <c r="S9" s="5">
        <f t="shared" si="8"/>
        <v>57715</v>
      </c>
      <c r="T9" s="5">
        <f t="shared" si="8"/>
        <v>57715</v>
      </c>
      <c r="U9" s="5">
        <f t="shared" si="8"/>
        <v>57715</v>
      </c>
      <c r="V9" s="5">
        <f t="shared" si="2"/>
        <v>288575</v>
      </c>
      <c r="W9" s="5">
        <f t="shared" si="5"/>
        <v>57715</v>
      </c>
      <c r="X9" s="5">
        <f t="shared" si="8"/>
        <v>57715</v>
      </c>
      <c r="Y9" s="5">
        <f t="shared" si="8"/>
        <v>57715</v>
      </c>
      <c r="Z9" s="5">
        <f t="shared" si="8"/>
        <v>57715</v>
      </c>
      <c r="AA9" s="5">
        <f t="shared" si="8"/>
        <v>57715</v>
      </c>
      <c r="AB9" s="5">
        <f t="shared" si="8"/>
        <v>57715</v>
      </c>
      <c r="AC9" s="5">
        <f t="shared" si="8"/>
        <v>57715</v>
      </c>
      <c r="AD9" s="5">
        <f t="shared" si="6"/>
        <v>57715</v>
      </c>
      <c r="AE9" s="5">
        <f t="shared" si="8"/>
        <v>57715</v>
      </c>
      <c r="AF9" s="5">
        <f t="shared" si="8"/>
        <v>57715</v>
      </c>
      <c r="AG9" s="5">
        <f t="shared" si="8"/>
        <v>57715</v>
      </c>
      <c r="AH9" s="5">
        <f t="shared" si="8"/>
        <v>57715</v>
      </c>
      <c r="AI9" s="5">
        <f t="shared" si="8"/>
        <v>57715</v>
      </c>
      <c r="AJ9" s="5">
        <f t="shared" si="8"/>
        <v>57715</v>
      </c>
      <c r="AK9" s="5">
        <f t="shared" si="8"/>
        <v>57715</v>
      </c>
      <c r="AL9" s="5">
        <f t="shared" si="8"/>
        <v>57715</v>
      </c>
      <c r="AM9" s="5">
        <f t="shared" si="8"/>
        <v>57715</v>
      </c>
      <c r="AN9" s="5">
        <f t="shared" si="8"/>
        <v>57715</v>
      </c>
      <c r="AO9" s="5">
        <f t="shared" si="8"/>
        <v>57715</v>
      </c>
      <c r="AP9" s="5">
        <f t="shared" si="8"/>
        <v>57715</v>
      </c>
      <c r="AQ9" s="5">
        <f t="shared" si="8"/>
        <v>57715</v>
      </c>
      <c r="AR9" s="5">
        <f t="shared" si="8"/>
        <v>57715</v>
      </c>
    </row>
    <row r="10" spans="1:44" x14ac:dyDescent="0.35">
      <c r="B10" t="s">
        <v>68</v>
      </c>
      <c r="C10" s="58">
        <v>110472</v>
      </c>
      <c r="D10" s="58">
        <v>126526</v>
      </c>
      <c r="E10" s="58">
        <v>103578</v>
      </c>
      <c r="F10" s="58">
        <v>105448</v>
      </c>
      <c r="G10" s="58">
        <v>119494</v>
      </c>
      <c r="H10" s="58">
        <v>121324</v>
      </c>
      <c r="I10" s="58">
        <v>122374</v>
      </c>
      <c r="J10" s="58">
        <v>115540.29850746268</v>
      </c>
      <c r="K10" s="58">
        <v>113991.56626506025</v>
      </c>
      <c r="L10" s="58">
        <v>112871</v>
      </c>
      <c r="M10" s="58">
        <v>111924</v>
      </c>
      <c r="N10" s="19">
        <v>114373</v>
      </c>
      <c r="O10" s="5">
        <f t="shared" ref="O10:AR10" si="9">(N10*(1+$A$3))</f>
        <v>114373</v>
      </c>
      <c r="P10" s="5">
        <f t="shared" si="9"/>
        <v>114373</v>
      </c>
      <c r="Q10" s="5">
        <f t="shared" si="9"/>
        <v>114373</v>
      </c>
      <c r="R10" s="5">
        <f t="shared" si="9"/>
        <v>114373</v>
      </c>
      <c r="S10" s="5">
        <f t="shared" si="9"/>
        <v>114373</v>
      </c>
      <c r="T10" s="5">
        <f t="shared" si="9"/>
        <v>114373</v>
      </c>
      <c r="U10" s="5">
        <f t="shared" si="9"/>
        <v>114373</v>
      </c>
      <c r="V10" s="5">
        <f t="shared" si="2"/>
        <v>571865</v>
      </c>
      <c r="W10" s="5">
        <f t="shared" si="5"/>
        <v>114373</v>
      </c>
      <c r="X10" s="5">
        <f t="shared" si="9"/>
        <v>114373</v>
      </c>
      <c r="Y10" s="5">
        <f t="shared" si="9"/>
        <v>114373</v>
      </c>
      <c r="Z10" s="5">
        <f t="shared" si="9"/>
        <v>114373</v>
      </c>
      <c r="AA10" s="5">
        <f t="shared" si="9"/>
        <v>114373</v>
      </c>
      <c r="AB10" s="5">
        <f t="shared" si="9"/>
        <v>114373</v>
      </c>
      <c r="AC10" s="5">
        <f t="shared" si="9"/>
        <v>114373</v>
      </c>
      <c r="AD10" s="5">
        <f t="shared" si="6"/>
        <v>114373</v>
      </c>
      <c r="AE10" s="5">
        <f t="shared" si="9"/>
        <v>114373</v>
      </c>
      <c r="AF10" s="5">
        <f t="shared" si="9"/>
        <v>114373</v>
      </c>
      <c r="AG10" s="5">
        <f t="shared" si="9"/>
        <v>114373</v>
      </c>
      <c r="AH10" s="5">
        <f t="shared" si="9"/>
        <v>114373</v>
      </c>
      <c r="AI10" s="5">
        <f t="shared" si="9"/>
        <v>114373</v>
      </c>
      <c r="AJ10" s="5">
        <f t="shared" si="9"/>
        <v>114373</v>
      </c>
      <c r="AK10" s="5">
        <f t="shared" si="9"/>
        <v>114373</v>
      </c>
      <c r="AL10" s="5">
        <f t="shared" si="9"/>
        <v>114373</v>
      </c>
      <c r="AM10" s="5">
        <f t="shared" si="9"/>
        <v>114373</v>
      </c>
      <c r="AN10" s="5">
        <f t="shared" si="9"/>
        <v>114373</v>
      </c>
      <c r="AO10" s="5">
        <f t="shared" si="9"/>
        <v>114373</v>
      </c>
      <c r="AP10" s="5">
        <f t="shared" si="9"/>
        <v>114373</v>
      </c>
      <c r="AQ10" s="5">
        <f t="shared" si="9"/>
        <v>114373</v>
      </c>
      <c r="AR10" s="5">
        <f t="shared" si="9"/>
        <v>114373</v>
      </c>
    </row>
    <row r="11" spans="1:44" x14ac:dyDescent="0.35">
      <c r="B11" t="s">
        <v>69</v>
      </c>
      <c r="C11" s="58">
        <v>89220</v>
      </c>
      <c r="D11" s="58">
        <v>93898</v>
      </c>
      <c r="E11" s="58">
        <v>93854</v>
      </c>
      <c r="F11" s="58">
        <v>93734</v>
      </c>
      <c r="G11" s="58">
        <v>106740</v>
      </c>
      <c r="H11" s="58">
        <v>114176</v>
      </c>
      <c r="I11" s="58">
        <v>107548</v>
      </c>
      <c r="J11" s="58">
        <v>102328.35820895522</v>
      </c>
      <c r="K11" s="58">
        <v>110893.97590361447</v>
      </c>
      <c r="L11" s="58">
        <v>112534</v>
      </c>
      <c r="M11" s="58">
        <v>95950</v>
      </c>
      <c r="N11" s="19">
        <v>88528</v>
      </c>
      <c r="O11" s="5">
        <f t="shared" ref="O11:AR11" si="10">(N11*(1+$A$3))</f>
        <v>88528</v>
      </c>
      <c r="P11" s="5">
        <f t="shared" si="10"/>
        <v>88528</v>
      </c>
      <c r="Q11" s="5">
        <f t="shared" si="10"/>
        <v>88528</v>
      </c>
      <c r="R11" s="5">
        <f t="shared" si="10"/>
        <v>88528</v>
      </c>
      <c r="S11" s="5">
        <f t="shared" si="10"/>
        <v>88528</v>
      </c>
      <c r="T11" s="5">
        <f t="shared" si="10"/>
        <v>88528</v>
      </c>
      <c r="U11" s="5">
        <f t="shared" si="10"/>
        <v>88528</v>
      </c>
      <c r="V11" s="5">
        <f t="shared" si="2"/>
        <v>442640</v>
      </c>
      <c r="W11" s="5">
        <f t="shared" si="5"/>
        <v>88528</v>
      </c>
      <c r="X11" s="5">
        <f t="shared" si="10"/>
        <v>88528</v>
      </c>
      <c r="Y11" s="5">
        <f t="shared" si="10"/>
        <v>88528</v>
      </c>
      <c r="Z11" s="5">
        <f t="shared" si="10"/>
        <v>88528</v>
      </c>
      <c r="AA11" s="5">
        <f t="shared" si="10"/>
        <v>88528</v>
      </c>
      <c r="AB11" s="5">
        <f t="shared" si="10"/>
        <v>88528</v>
      </c>
      <c r="AC11" s="5">
        <f t="shared" si="10"/>
        <v>88528</v>
      </c>
      <c r="AD11" s="5">
        <f t="shared" si="6"/>
        <v>88528</v>
      </c>
      <c r="AE11" s="5">
        <f t="shared" si="10"/>
        <v>88528</v>
      </c>
      <c r="AF11" s="5">
        <f t="shared" si="10"/>
        <v>88528</v>
      </c>
      <c r="AG11" s="5">
        <f t="shared" si="10"/>
        <v>88528</v>
      </c>
      <c r="AH11" s="5">
        <f t="shared" si="10"/>
        <v>88528</v>
      </c>
      <c r="AI11" s="5">
        <f t="shared" si="10"/>
        <v>88528</v>
      </c>
      <c r="AJ11" s="5">
        <f t="shared" si="10"/>
        <v>88528</v>
      </c>
      <c r="AK11" s="5">
        <f t="shared" si="10"/>
        <v>88528</v>
      </c>
      <c r="AL11" s="5">
        <f t="shared" si="10"/>
        <v>88528</v>
      </c>
      <c r="AM11" s="5">
        <f t="shared" si="10"/>
        <v>88528</v>
      </c>
      <c r="AN11" s="5">
        <f t="shared" si="10"/>
        <v>88528</v>
      </c>
      <c r="AO11" s="5">
        <f t="shared" si="10"/>
        <v>88528</v>
      </c>
      <c r="AP11" s="5">
        <f t="shared" si="10"/>
        <v>88528</v>
      </c>
      <c r="AQ11" s="5">
        <f t="shared" si="10"/>
        <v>88528</v>
      </c>
      <c r="AR11" s="5">
        <f t="shared" si="10"/>
        <v>88528</v>
      </c>
    </row>
    <row r="12" spans="1:44" x14ac:dyDescent="0.35">
      <c r="B12" t="s">
        <v>70</v>
      </c>
      <c r="C12" s="58">
        <v>1658832</v>
      </c>
      <c r="D12" s="58">
        <v>1593548</v>
      </c>
      <c r="E12" s="58">
        <v>1543256</v>
      </c>
      <c r="F12" s="58">
        <v>1416486</v>
      </c>
      <c r="G12" s="58">
        <v>1411956</v>
      </c>
      <c r="H12" s="58">
        <v>1414120</v>
      </c>
      <c r="I12" s="58">
        <v>1437050</v>
      </c>
      <c r="J12" s="58">
        <v>1420698.5074626864</v>
      </c>
      <c r="K12" s="58">
        <v>1411461.4457831327</v>
      </c>
      <c r="L12" s="58">
        <v>1411608</v>
      </c>
      <c r="M12" s="58">
        <v>1296381</v>
      </c>
      <c r="N12" s="19">
        <v>1180213</v>
      </c>
      <c r="O12" s="5">
        <f t="shared" ref="O12:AR12" si="11">(N12*(1+$A$3))</f>
        <v>1180213</v>
      </c>
      <c r="P12" s="5">
        <f t="shared" si="11"/>
        <v>1180213</v>
      </c>
      <c r="Q12" s="5">
        <f t="shared" si="11"/>
        <v>1180213</v>
      </c>
      <c r="R12" s="5">
        <f t="shared" si="11"/>
        <v>1180213</v>
      </c>
      <c r="S12" s="5">
        <f t="shared" si="11"/>
        <v>1180213</v>
      </c>
      <c r="T12" s="5">
        <f t="shared" si="11"/>
        <v>1180213</v>
      </c>
      <c r="U12" s="5">
        <f t="shared" si="11"/>
        <v>1180213</v>
      </c>
      <c r="V12" s="5">
        <f t="shared" si="2"/>
        <v>5901065</v>
      </c>
      <c r="W12" s="5">
        <f t="shared" si="5"/>
        <v>1180213</v>
      </c>
      <c r="X12" s="5">
        <f t="shared" si="11"/>
        <v>1180213</v>
      </c>
      <c r="Y12" s="5">
        <f t="shared" si="11"/>
        <v>1180213</v>
      </c>
      <c r="Z12" s="5">
        <f t="shared" si="11"/>
        <v>1180213</v>
      </c>
      <c r="AA12" s="5">
        <f t="shared" si="11"/>
        <v>1180213</v>
      </c>
      <c r="AB12" s="5">
        <f t="shared" si="11"/>
        <v>1180213</v>
      </c>
      <c r="AC12" s="5">
        <f t="shared" si="11"/>
        <v>1180213</v>
      </c>
      <c r="AD12" s="5">
        <f t="shared" si="6"/>
        <v>1180213</v>
      </c>
      <c r="AE12" s="5">
        <f t="shared" si="11"/>
        <v>1180213</v>
      </c>
      <c r="AF12" s="5">
        <f t="shared" si="11"/>
        <v>1180213</v>
      </c>
      <c r="AG12" s="5">
        <f t="shared" si="11"/>
        <v>1180213</v>
      </c>
      <c r="AH12" s="5">
        <f t="shared" si="11"/>
        <v>1180213</v>
      </c>
      <c r="AI12" s="5">
        <f t="shared" si="11"/>
        <v>1180213</v>
      </c>
      <c r="AJ12" s="5">
        <f t="shared" si="11"/>
        <v>1180213</v>
      </c>
      <c r="AK12" s="5">
        <f t="shared" si="11"/>
        <v>1180213</v>
      </c>
      <c r="AL12" s="5">
        <f t="shared" si="11"/>
        <v>1180213</v>
      </c>
      <c r="AM12" s="5">
        <f t="shared" si="11"/>
        <v>1180213</v>
      </c>
      <c r="AN12" s="5">
        <f t="shared" si="11"/>
        <v>1180213</v>
      </c>
      <c r="AO12" s="5">
        <f t="shared" si="11"/>
        <v>1180213</v>
      </c>
      <c r="AP12" s="5">
        <f t="shared" si="11"/>
        <v>1180213</v>
      </c>
      <c r="AQ12" s="5">
        <f t="shared" si="11"/>
        <v>1180213</v>
      </c>
      <c r="AR12" s="5">
        <f t="shared" si="11"/>
        <v>1180213</v>
      </c>
    </row>
    <row r="13" spans="1:44" x14ac:dyDescent="0.35">
      <c r="B13" t="s">
        <v>71</v>
      </c>
      <c r="C13" s="58">
        <v>43512</v>
      </c>
      <c r="D13" s="58">
        <v>38668</v>
      </c>
      <c r="E13" s="58">
        <v>39882</v>
      </c>
      <c r="F13" s="58">
        <v>40676</v>
      </c>
      <c r="G13" s="58">
        <v>41372</v>
      </c>
      <c r="H13" s="58">
        <v>43196</v>
      </c>
      <c r="I13" s="58">
        <v>43062</v>
      </c>
      <c r="J13" s="58">
        <v>40737.313432835814</v>
      </c>
      <c r="K13" s="58">
        <v>40597.590361445786</v>
      </c>
      <c r="L13" s="58">
        <v>38722</v>
      </c>
      <c r="M13" s="58">
        <v>36377</v>
      </c>
      <c r="N13" s="19">
        <v>36879</v>
      </c>
      <c r="O13" s="5">
        <f t="shared" ref="O13:AR14" si="12">(N13*(1+$A$3))</f>
        <v>36879</v>
      </c>
      <c r="P13" s="5">
        <f t="shared" si="12"/>
        <v>36879</v>
      </c>
      <c r="Q13" s="5">
        <f t="shared" si="12"/>
        <v>36879</v>
      </c>
      <c r="R13" s="5">
        <f t="shared" si="12"/>
        <v>36879</v>
      </c>
      <c r="S13" s="5">
        <f t="shared" si="12"/>
        <v>36879</v>
      </c>
      <c r="T13" s="5">
        <f t="shared" si="12"/>
        <v>36879</v>
      </c>
      <c r="U13" s="5">
        <f t="shared" si="12"/>
        <v>36879</v>
      </c>
      <c r="V13" s="5">
        <f t="shared" si="2"/>
        <v>184395</v>
      </c>
      <c r="W13" s="5">
        <f t="shared" si="5"/>
        <v>36879</v>
      </c>
      <c r="X13" s="5">
        <f t="shared" si="12"/>
        <v>36879</v>
      </c>
      <c r="Y13" s="5">
        <f t="shared" si="12"/>
        <v>36879</v>
      </c>
      <c r="Z13" s="5">
        <f t="shared" si="12"/>
        <v>36879</v>
      </c>
      <c r="AA13" s="5">
        <f t="shared" si="12"/>
        <v>36879</v>
      </c>
      <c r="AB13" s="5">
        <f t="shared" si="12"/>
        <v>36879</v>
      </c>
      <c r="AC13" s="5">
        <f t="shared" si="12"/>
        <v>36879</v>
      </c>
      <c r="AD13" s="5">
        <f t="shared" si="6"/>
        <v>36879</v>
      </c>
      <c r="AE13" s="5">
        <f t="shared" si="12"/>
        <v>36879</v>
      </c>
      <c r="AF13" s="5">
        <f t="shared" si="12"/>
        <v>36879</v>
      </c>
      <c r="AG13" s="5">
        <f t="shared" si="12"/>
        <v>36879</v>
      </c>
      <c r="AH13" s="5">
        <f t="shared" si="12"/>
        <v>36879</v>
      </c>
      <c r="AI13" s="5">
        <f t="shared" si="12"/>
        <v>36879</v>
      </c>
      <c r="AJ13" s="5">
        <f t="shared" si="12"/>
        <v>36879</v>
      </c>
      <c r="AK13" s="5">
        <f t="shared" si="12"/>
        <v>36879</v>
      </c>
      <c r="AL13" s="5">
        <f t="shared" si="12"/>
        <v>36879</v>
      </c>
      <c r="AM13" s="5">
        <f t="shared" si="12"/>
        <v>36879</v>
      </c>
      <c r="AN13" s="5">
        <f t="shared" si="12"/>
        <v>36879</v>
      </c>
      <c r="AO13" s="5">
        <f t="shared" si="12"/>
        <v>36879</v>
      </c>
      <c r="AP13" s="5">
        <f t="shared" si="12"/>
        <v>36879</v>
      </c>
      <c r="AQ13" s="5">
        <f t="shared" si="12"/>
        <v>36879</v>
      </c>
      <c r="AR13" s="5">
        <f t="shared" si="12"/>
        <v>36879</v>
      </c>
    </row>
    <row r="14" spans="1:44" x14ac:dyDescent="0.35">
      <c r="B14" t="s">
        <v>72</v>
      </c>
      <c r="C14" s="59">
        <v>200564</v>
      </c>
      <c r="D14" s="59">
        <v>201516</v>
      </c>
      <c r="E14" s="59">
        <v>202694</v>
      </c>
      <c r="F14" s="59">
        <v>209980</v>
      </c>
      <c r="G14" s="59">
        <v>202896</v>
      </c>
      <c r="H14" s="59">
        <v>204046</v>
      </c>
      <c r="I14" s="59">
        <v>189340</v>
      </c>
      <c r="J14" s="59">
        <v>197943.28358208953</v>
      </c>
      <c r="K14" s="59">
        <v>204806.02409638558</v>
      </c>
      <c r="L14" s="59">
        <v>194202</v>
      </c>
      <c r="M14" s="59">
        <v>182349</v>
      </c>
      <c r="N14" s="186">
        <v>182598</v>
      </c>
      <c r="O14" s="5">
        <f t="shared" si="12"/>
        <v>182598</v>
      </c>
      <c r="P14" s="5">
        <f>(N14*(1+$A$3))</f>
        <v>182598</v>
      </c>
      <c r="Q14" s="5">
        <f>(O14*(1+$A$3))</f>
        <v>182598</v>
      </c>
      <c r="R14" s="5">
        <f>(P14*(1+$A$3))</f>
        <v>182598</v>
      </c>
      <c r="S14" s="5">
        <f>(Q14*(1+$A$3))</f>
        <v>182598</v>
      </c>
      <c r="T14" s="5">
        <f t="shared" ref="T14:AR14" si="13">(R14*(1+$A$3))</f>
        <v>182598</v>
      </c>
      <c r="U14" s="5">
        <f t="shared" si="13"/>
        <v>182598</v>
      </c>
      <c r="V14" s="5">
        <f t="shared" si="2"/>
        <v>912990</v>
      </c>
      <c r="W14" s="5">
        <f>(T14*(1+$A$3))</f>
        <v>182598</v>
      </c>
      <c r="X14" s="5">
        <f>(U14*(1+$A$3))</f>
        <v>182598</v>
      </c>
      <c r="Y14" s="5">
        <f t="shared" si="13"/>
        <v>182598</v>
      </c>
      <c r="Z14" s="5">
        <f t="shared" si="13"/>
        <v>182598</v>
      </c>
      <c r="AA14" s="5">
        <f t="shared" si="13"/>
        <v>182598</v>
      </c>
      <c r="AB14" s="5">
        <f t="shared" si="13"/>
        <v>182598</v>
      </c>
      <c r="AC14" s="5">
        <f t="shared" si="13"/>
        <v>182598</v>
      </c>
      <c r="AD14" s="5">
        <f>(AB14*(1+$A$3))</f>
        <v>182598</v>
      </c>
      <c r="AE14" s="5">
        <f>(AC14*(1+$A$3))</f>
        <v>182598</v>
      </c>
      <c r="AF14" s="5">
        <f t="shared" si="13"/>
        <v>182598</v>
      </c>
      <c r="AG14" s="5">
        <f t="shared" si="13"/>
        <v>182598</v>
      </c>
      <c r="AH14" s="5">
        <f t="shared" si="13"/>
        <v>182598</v>
      </c>
      <c r="AI14" s="5">
        <f t="shared" si="13"/>
        <v>182598</v>
      </c>
      <c r="AJ14" s="5">
        <f t="shared" si="13"/>
        <v>182598</v>
      </c>
      <c r="AK14" s="5">
        <f t="shared" si="13"/>
        <v>182598</v>
      </c>
      <c r="AL14" s="5">
        <f t="shared" si="13"/>
        <v>182598</v>
      </c>
      <c r="AM14" s="5">
        <f t="shared" si="13"/>
        <v>182598</v>
      </c>
      <c r="AN14" s="5">
        <f t="shared" si="13"/>
        <v>182598</v>
      </c>
      <c r="AO14" s="5">
        <f t="shared" si="13"/>
        <v>182598</v>
      </c>
      <c r="AP14" s="5">
        <f t="shared" si="13"/>
        <v>182598</v>
      </c>
      <c r="AQ14" s="5">
        <f t="shared" si="13"/>
        <v>182598</v>
      </c>
      <c r="AR14" s="5">
        <f t="shared" si="13"/>
        <v>182598</v>
      </c>
    </row>
    <row r="15" spans="1:44" s="24" customFormat="1" x14ac:dyDescent="0.35">
      <c r="B15" s="24" t="s">
        <v>73</v>
      </c>
      <c r="C15" s="24">
        <f>SUM(C3:C14)</f>
        <v>8265772</v>
      </c>
      <c r="D15" s="24">
        <f t="shared" ref="D15:AQ15" si="14">SUM(D3:D14)</f>
        <v>8133386</v>
      </c>
      <c r="E15" s="24">
        <f>SUM(E3:E14)</f>
        <v>8114678</v>
      </c>
      <c r="F15" s="24">
        <f t="shared" si="14"/>
        <v>10835574</v>
      </c>
      <c r="G15" s="24">
        <f t="shared" si="14"/>
        <v>10163270</v>
      </c>
      <c r="H15" s="24">
        <f t="shared" si="14"/>
        <v>9938726</v>
      </c>
      <c r="I15" s="24">
        <f t="shared" si="14"/>
        <v>9814782</v>
      </c>
      <c r="J15" s="24">
        <f t="shared" si="14"/>
        <v>9567783.5820895508</v>
      </c>
      <c r="K15" s="24">
        <f t="shared" si="14"/>
        <v>9325577.1084337346</v>
      </c>
      <c r="L15" s="24">
        <f t="shared" si="14"/>
        <v>9482779</v>
      </c>
      <c r="M15" s="24">
        <f>SUM(M3:M14)</f>
        <v>8915722</v>
      </c>
      <c r="N15" s="24">
        <f>SUM(N3:N14)</f>
        <v>7793058</v>
      </c>
      <c r="O15" s="24">
        <f t="shared" si="14"/>
        <v>7793058</v>
      </c>
      <c r="P15" s="24">
        <f t="shared" si="14"/>
        <v>7793058</v>
      </c>
      <c r="Q15" s="24">
        <f t="shared" si="14"/>
        <v>6593058</v>
      </c>
      <c r="R15" s="24">
        <f t="shared" si="14"/>
        <v>6593058</v>
      </c>
      <c r="S15" s="24">
        <f t="shared" si="14"/>
        <v>6593058</v>
      </c>
      <c r="T15" s="24">
        <f t="shared" si="14"/>
        <v>6593058</v>
      </c>
      <c r="U15" s="24">
        <f t="shared" si="14"/>
        <v>6593058</v>
      </c>
      <c r="V15" s="5">
        <f t="shared" si="2"/>
        <v>32965290</v>
      </c>
      <c r="W15" s="24">
        <f t="shared" si="14"/>
        <v>6593058</v>
      </c>
      <c r="X15" s="24">
        <f t="shared" si="14"/>
        <v>6593058</v>
      </c>
      <c r="Y15" s="24">
        <f t="shared" si="14"/>
        <v>6593058</v>
      </c>
      <c r="Z15" s="24">
        <f t="shared" si="14"/>
        <v>6593058</v>
      </c>
      <c r="AA15" s="24">
        <f t="shared" si="14"/>
        <v>6593058</v>
      </c>
      <c r="AB15" s="24">
        <f t="shared" si="14"/>
        <v>6593058</v>
      </c>
      <c r="AC15" s="24">
        <f t="shared" si="14"/>
        <v>6593058</v>
      </c>
      <c r="AD15" s="24">
        <f t="shared" si="14"/>
        <v>6593058</v>
      </c>
      <c r="AE15" s="24">
        <f t="shared" si="14"/>
        <v>6593058</v>
      </c>
      <c r="AF15" s="24">
        <f t="shared" si="14"/>
        <v>6593058</v>
      </c>
      <c r="AG15" s="24">
        <f t="shared" si="14"/>
        <v>6593058</v>
      </c>
      <c r="AH15" s="24">
        <f t="shared" si="14"/>
        <v>6593058</v>
      </c>
      <c r="AI15" s="24">
        <f t="shared" si="14"/>
        <v>6593058</v>
      </c>
      <c r="AJ15" s="24">
        <f t="shared" si="14"/>
        <v>6593058</v>
      </c>
      <c r="AK15" s="24">
        <f t="shared" si="14"/>
        <v>6593058</v>
      </c>
      <c r="AL15" s="24">
        <f t="shared" si="14"/>
        <v>6593058</v>
      </c>
      <c r="AM15" s="24">
        <f t="shared" si="14"/>
        <v>6593058</v>
      </c>
      <c r="AN15" s="24">
        <f t="shared" si="14"/>
        <v>6593058</v>
      </c>
      <c r="AO15" s="24">
        <f t="shared" si="14"/>
        <v>6593058</v>
      </c>
      <c r="AP15" s="24">
        <f t="shared" si="14"/>
        <v>6593058</v>
      </c>
      <c r="AQ15" s="24">
        <f t="shared" si="14"/>
        <v>6593058</v>
      </c>
      <c r="AR15" s="24">
        <f>SUM(AR3:AR14)</f>
        <v>6593058</v>
      </c>
    </row>
    <row r="16" spans="1:44" x14ac:dyDescent="0.35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1"/>
    </row>
    <row r="17" spans="1:44" s="39" customFormat="1" x14ac:dyDescent="0.35">
      <c r="A17" s="38" t="s">
        <v>74</v>
      </c>
      <c r="N17" s="79"/>
    </row>
    <row r="18" spans="1:44" x14ac:dyDescent="0.35">
      <c r="B18" t="s">
        <v>75</v>
      </c>
      <c r="C18" s="22">
        <v>0.9</v>
      </c>
      <c r="D18" s="22">
        <v>0.9</v>
      </c>
      <c r="E18" s="22">
        <v>0.9</v>
      </c>
      <c r="F18" s="22">
        <v>0.9</v>
      </c>
      <c r="G18" s="22">
        <v>0.9</v>
      </c>
      <c r="H18" s="22">
        <v>0.9</v>
      </c>
      <c r="I18" s="22">
        <v>0.9</v>
      </c>
      <c r="J18" s="22">
        <v>0.9</v>
      </c>
      <c r="K18" s="22">
        <v>0.9</v>
      </c>
      <c r="L18" s="22">
        <v>0.9</v>
      </c>
      <c r="M18" s="22">
        <v>0.9</v>
      </c>
      <c r="N18" s="22">
        <v>0.89</v>
      </c>
      <c r="O18" s="22">
        <v>0.88</v>
      </c>
      <c r="P18" s="22">
        <v>0.87</v>
      </c>
      <c r="Q18" s="22">
        <v>0.86</v>
      </c>
      <c r="R18" s="22">
        <v>0.85</v>
      </c>
      <c r="S18" s="22">
        <v>0.84</v>
      </c>
      <c r="T18" s="22">
        <v>0.83</v>
      </c>
      <c r="U18" s="22">
        <v>0.82</v>
      </c>
      <c r="V18" s="22"/>
      <c r="W18" s="22">
        <v>0.81</v>
      </c>
      <c r="X18" s="22">
        <v>0.8</v>
      </c>
      <c r="Y18" s="22">
        <v>0.78</v>
      </c>
      <c r="Z18" s="22">
        <v>0.76</v>
      </c>
      <c r="AA18" s="22">
        <v>0.74</v>
      </c>
      <c r="AB18" s="22">
        <v>0.72</v>
      </c>
      <c r="AC18" s="22">
        <v>0.7</v>
      </c>
      <c r="AD18" s="22">
        <v>0.68</v>
      </c>
      <c r="AE18" s="22">
        <v>0.66</v>
      </c>
      <c r="AF18" s="22">
        <v>0.64</v>
      </c>
      <c r="AG18" s="22">
        <v>0.62</v>
      </c>
      <c r="AH18" s="22">
        <v>0.6</v>
      </c>
      <c r="AI18" s="22">
        <v>0.56999999999999995</v>
      </c>
      <c r="AJ18" s="22">
        <v>0.54</v>
      </c>
      <c r="AK18" s="22">
        <v>0.51</v>
      </c>
      <c r="AL18" s="22">
        <v>0.48</v>
      </c>
      <c r="AM18" s="22">
        <v>0.45</v>
      </c>
      <c r="AN18" s="22">
        <v>0.42</v>
      </c>
      <c r="AO18" s="22">
        <v>0.39</v>
      </c>
      <c r="AP18" s="22">
        <v>0.36</v>
      </c>
      <c r="AQ18" s="22">
        <v>0.33</v>
      </c>
      <c r="AR18" s="22">
        <v>0.3</v>
      </c>
    </row>
    <row r="19" spans="1:44" x14ac:dyDescent="0.35">
      <c r="B19" t="s">
        <v>76</v>
      </c>
      <c r="C19" s="22">
        <v>0.6</v>
      </c>
      <c r="D19" s="22">
        <v>0.6</v>
      </c>
      <c r="E19" s="22">
        <v>0.6</v>
      </c>
      <c r="F19" s="22">
        <v>0.6</v>
      </c>
      <c r="G19" s="22">
        <v>0.6</v>
      </c>
      <c r="H19" s="22">
        <v>0.6</v>
      </c>
      <c r="I19" s="22">
        <v>0.6</v>
      </c>
      <c r="J19" s="22">
        <v>0.6</v>
      </c>
      <c r="K19" s="22">
        <v>0.6</v>
      </c>
      <c r="L19" s="22">
        <v>0.6</v>
      </c>
      <c r="M19" s="22">
        <v>0.6</v>
      </c>
      <c r="N19" s="22">
        <v>0.59</v>
      </c>
      <c r="O19" s="22">
        <v>0.57999999999999996</v>
      </c>
      <c r="P19" s="22">
        <v>0.56999999999999995</v>
      </c>
      <c r="Q19" s="22">
        <v>0.56000000000000005</v>
      </c>
      <c r="R19" s="22">
        <v>0.55000000000000004</v>
      </c>
      <c r="S19" s="22">
        <v>0.54</v>
      </c>
      <c r="T19" s="22">
        <v>0.53</v>
      </c>
      <c r="U19" s="22">
        <v>0.52</v>
      </c>
      <c r="V19" s="22"/>
      <c r="W19" s="22">
        <v>0.51</v>
      </c>
      <c r="X19" s="22">
        <v>0.5</v>
      </c>
      <c r="Y19" s="22">
        <v>0.48</v>
      </c>
      <c r="Z19" s="22">
        <v>0.46</v>
      </c>
      <c r="AA19" s="22">
        <v>0.44</v>
      </c>
      <c r="AB19" s="22">
        <v>0.42</v>
      </c>
      <c r="AC19" s="22">
        <v>0.4</v>
      </c>
      <c r="AD19" s="22">
        <v>0.38</v>
      </c>
      <c r="AE19" s="22">
        <v>0.36</v>
      </c>
      <c r="AF19" s="22">
        <v>0.34</v>
      </c>
      <c r="AG19" s="22">
        <v>0.32</v>
      </c>
      <c r="AH19" s="22">
        <v>0.3</v>
      </c>
      <c r="AI19" s="22">
        <v>0.27</v>
      </c>
      <c r="AJ19" s="22">
        <v>0.24</v>
      </c>
      <c r="AK19" s="22">
        <v>0.21</v>
      </c>
      <c r="AL19" s="22">
        <v>0.18</v>
      </c>
      <c r="AM19" s="22">
        <v>0.15</v>
      </c>
      <c r="AN19" s="22">
        <v>0.12</v>
      </c>
      <c r="AO19" s="22">
        <v>0.09</v>
      </c>
      <c r="AP19" s="22">
        <v>0.06</v>
      </c>
      <c r="AQ19" s="22">
        <v>0.03</v>
      </c>
      <c r="AR19" s="22">
        <v>0</v>
      </c>
    </row>
    <row r="20" spans="1:44" x14ac:dyDescent="0.35">
      <c r="B20" t="s">
        <v>61</v>
      </c>
      <c r="C20" s="22">
        <v>0.9</v>
      </c>
      <c r="D20" s="5">
        <f>(D3/$C$20)*D$18</f>
        <v>2050946.0000000002</v>
      </c>
      <c r="E20" s="5">
        <f t="shared" ref="E20:L20" si="15">(E3/$C$20)*E$18</f>
        <v>2082812</v>
      </c>
      <c r="F20" s="5">
        <f t="shared" si="15"/>
        <v>2140436</v>
      </c>
      <c r="G20" s="5">
        <f t="shared" si="15"/>
        <v>2266638</v>
      </c>
      <c r="H20" s="5">
        <f t="shared" si="15"/>
        <v>2231336</v>
      </c>
      <c r="I20" s="5">
        <f t="shared" si="15"/>
        <v>2120840</v>
      </c>
      <c r="J20" s="5">
        <f t="shared" si="15"/>
        <v>2166049.253731343</v>
      </c>
      <c r="K20" s="5">
        <f t="shared" si="15"/>
        <v>2170983.1325301207</v>
      </c>
      <c r="L20" s="5">
        <f t="shared" si="15"/>
        <v>2142270</v>
      </c>
      <c r="M20" s="5">
        <f>(M3/$C$20)*M$18</f>
        <v>2053372</v>
      </c>
      <c r="N20" s="5">
        <f t="shared" ref="N20:AR20" si="16">(N3/$C$18)*N$18</f>
        <v>2147491.8777777776</v>
      </c>
      <c r="O20" s="5">
        <f t="shared" si="16"/>
        <v>2123362.7555555552</v>
      </c>
      <c r="P20" s="5">
        <f t="shared" si="16"/>
        <v>2099233.6333333333</v>
      </c>
      <c r="Q20" s="5">
        <f t="shared" si="16"/>
        <v>2075104.5111111109</v>
      </c>
      <c r="R20" s="5">
        <f t="shared" si="16"/>
        <v>2050975.3888888888</v>
      </c>
      <c r="S20" s="5">
        <f t="shared" si="16"/>
        <v>2026846.2666666664</v>
      </c>
      <c r="T20" s="5">
        <f t="shared" si="16"/>
        <v>2002717.1444444442</v>
      </c>
      <c r="U20" s="5">
        <f t="shared" si="16"/>
        <v>1978588.0222222218</v>
      </c>
      <c r="V20" s="5">
        <f>SUM(Q20:U20)</f>
        <v>10134231.333333332</v>
      </c>
      <c r="W20" s="5">
        <f t="shared" si="16"/>
        <v>1954458.9</v>
      </c>
      <c r="X20" s="5">
        <f t="shared" si="16"/>
        <v>1930329.7777777778</v>
      </c>
      <c r="Y20" s="5">
        <f t="shared" si="16"/>
        <v>1882071.5333333332</v>
      </c>
      <c r="Z20" s="5">
        <f t="shared" si="16"/>
        <v>1833813.2888888887</v>
      </c>
      <c r="AA20" s="5">
        <f t="shared" si="16"/>
        <v>1785555.0444444444</v>
      </c>
      <c r="AB20" s="5">
        <f t="shared" si="16"/>
        <v>1737296.7999999998</v>
      </c>
      <c r="AC20" s="5">
        <f t="shared" si="16"/>
        <v>1689038.5555555553</v>
      </c>
      <c r="AD20" s="5">
        <f t="shared" si="16"/>
        <v>1640780.3111111112</v>
      </c>
      <c r="AE20" s="5">
        <f t="shared" si="16"/>
        <v>1592522.0666666667</v>
      </c>
      <c r="AF20" s="5">
        <f t="shared" si="16"/>
        <v>1544263.8222222221</v>
      </c>
      <c r="AG20" s="5">
        <f t="shared" si="16"/>
        <v>1496005.5777777776</v>
      </c>
      <c r="AH20" s="5">
        <f t="shared" si="16"/>
        <v>1447747.3333333333</v>
      </c>
      <c r="AI20" s="5">
        <f t="shared" si="16"/>
        <v>1375359.9666666663</v>
      </c>
      <c r="AJ20" s="5">
        <f t="shared" si="16"/>
        <v>1302972.5999999999</v>
      </c>
      <c r="AK20" s="5">
        <f t="shared" si="16"/>
        <v>1230585.2333333332</v>
      </c>
      <c r="AL20" s="5">
        <f t="shared" si="16"/>
        <v>1158197.8666666665</v>
      </c>
      <c r="AM20" s="5">
        <f t="shared" si="16"/>
        <v>1085810.5</v>
      </c>
      <c r="AN20" s="5">
        <f t="shared" si="16"/>
        <v>1013423.1333333332</v>
      </c>
      <c r="AO20" s="5">
        <f t="shared" si="16"/>
        <v>941035.7666666666</v>
      </c>
      <c r="AP20" s="5">
        <f t="shared" si="16"/>
        <v>868648.39999999991</v>
      </c>
      <c r="AQ20" s="5">
        <f t="shared" si="16"/>
        <v>796261.03333333333</v>
      </c>
      <c r="AR20" s="5">
        <f t="shared" si="16"/>
        <v>723873.66666666663</v>
      </c>
    </row>
    <row r="21" spans="1:44" x14ac:dyDescent="0.35">
      <c r="B21" t="s">
        <v>62</v>
      </c>
      <c r="C21" s="22">
        <v>0.9</v>
      </c>
      <c r="D21" s="5">
        <f>(D4/$C$21)*D$18</f>
        <v>875362</v>
      </c>
      <c r="E21" s="5">
        <f>(E4/$C$21)*E$18</f>
        <v>602488</v>
      </c>
      <c r="F21" s="5">
        <f t="shared" ref="F21:L21" si="17">(F4/$C$21)*F$18</f>
        <v>3048344</v>
      </c>
      <c r="G21" s="5">
        <f t="shared" si="17"/>
        <v>1511974</v>
      </c>
      <c r="H21" s="5">
        <f t="shared" si="17"/>
        <v>1545412</v>
      </c>
      <c r="I21" s="5">
        <f t="shared" si="17"/>
        <v>1572612</v>
      </c>
      <c r="J21" s="5">
        <f t="shared" si="17"/>
        <v>1550617.9104477612</v>
      </c>
      <c r="K21" s="5">
        <f t="shared" si="17"/>
        <v>1595850.6024096387</v>
      </c>
      <c r="L21" s="5">
        <f t="shared" si="17"/>
        <v>1697437</v>
      </c>
      <c r="M21" s="5">
        <f>(M4/$C$21)*M$18</f>
        <v>1558268</v>
      </c>
      <c r="N21" s="5">
        <f t="shared" ref="N21:AR23" si="18">(N4/$C21)*N$18</f>
        <v>621576.98888888885</v>
      </c>
      <c r="O21" s="5">
        <f t="shared" si="18"/>
        <v>614592.97777777782</v>
      </c>
      <c r="P21" s="5">
        <f t="shared" si="18"/>
        <v>607608.96666666667</v>
      </c>
      <c r="Q21" s="5">
        <f t="shared" si="18"/>
        <v>600624.95555555553</v>
      </c>
      <c r="R21" s="5">
        <f t="shared" si="18"/>
        <v>593640.9444444445</v>
      </c>
      <c r="S21" s="5">
        <f t="shared" si="18"/>
        <v>586656.93333333335</v>
      </c>
      <c r="T21" s="5">
        <f t="shared" si="18"/>
        <v>579672.9222222222</v>
      </c>
      <c r="U21" s="5">
        <f t="shared" si="18"/>
        <v>572688.91111111105</v>
      </c>
      <c r="V21" s="5">
        <f t="shared" ref="V21:V32" si="19">SUM(Q21:U21)</f>
        <v>2933284.666666666</v>
      </c>
      <c r="W21" s="5">
        <f t="shared" si="18"/>
        <v>565704.9</v>
      </c>
      <c r="X21" s="5">
        <f t="shared" si="18"/>
        <v>558720.88888888888</v>
      </c>
      <c r="Y21" s="5">
        <f t="shared" si="18"/>
        <v>544752.8666666667</v>
      </c>
      <c r="Z21" s="5">
        <f t="shared" si="18"/>
        <v>530784.8444444444</v>
      </c>
      <c r="AA21" s="5">
        <f t="shared" si="18"/>
        <v>516816.82222222222</v>
      </c>
      <c r="AB21" s="5">
        <f t="shared" si="18"/>
        <v>502848.8</v>
      </c>
      <c r="AC21" s="5">
        <f t="shared" si="18"/>
        <v>488880.77777777775</v>
      </c>
      <c r="AD21" s="5">
        <f t="shared" si="18"/>
        <v>474912.75555555557</v>
      </c>
      <c r="AE21" s="5">
        <f t="shared" si="18"/>
        <v>460944.73333333334</v>
      </c>
      <c r="AF21" s="5">
        <f t="shared" si="18"/>
        <v>446976.7111111111</v>
      </c>
      <c r="AG21" s="5">
        <f t="shared" si="18"/>
        <v>433008.68888888892</v>
      </c>
      <c r="AH21" s="5">
        <f t="shared" si="18"/>
        <v>419040.66666666669</v>
      </c>
      <c r="AI21" s="5">
        <f t="shared" si="18"/>
        <v>398088.6333333333</v>
      </c>
      <c r="AJ21" s="5">
        <f t="shared" si="18"/>
        <v>377136.60000000003</v>
      </c>
      <c r="AK21" s="5">
        <f t="shared" si="18"/>
        <v>356184.56666666665</v>
      </c>
      <c r="AL21" s="5">
        <f t="shared" si="18"/>
        <v>335232.53333333333</v>
      </c>
      <c r="AM21" s="5">
        <f t="shared" si="18"/>
        <v>314280.5</v>
      </c>
      <c r="AN21" s="5">
        <f t="shared" si="18"/>
        <v>293328.46666666667</v>
      </c>
      <c r="AO21" s="5">
        <f t="shared" si="18"/>
        <v>272376.43333333335</v>
      </c>
      <c r="AP21" s="5">
        <f t="shared" si="18"/>
        <v>251424.4</v>
      </c>
      <c r="AQ21" s="5">
        <f t="shared" si="18"/>
        <v>230472.36666666667</v>
      </c>
      <c r="AR21" s="5">
        <f t="shared" si="18"/>
        <v>209520.33333333334</v>
      </c>
    </row>
    <row r="22" spans="1:44" x14ac:dyDescent="0.35">
      <c r="B22" t="s">
        <v>63</v>
      </c>
      <c r="C22" s="22">
        <v>0.9</v>
      </c>
      <c r="D22" s="5">
        <f>(D5/$C$22)*D$18</f>
        <v>588306</v>
      </c>
      <c r="E22" s="5">
        <f t="shared" ref="E22:L22" si="20">(E5/$C$22)*E$18</f>
        <v>780650</v>
      </c>
      <c r="F22" s="5">
        <f t="shared" si="20"/>
        <v>999408</v>
      </c>
      <c r="G22" s="5">
        <f t="shared" si="20"/>
        <v>1554864</v>
      </c>
      <c r="H22" s="5">
        <f t="shared" si="20"/>
        <v>1311702</v>
      </c>
      <c r="I22" s="5">
        <f t="shared" si="20"/>
        <v>1540066</v>
      </c>
      <c r="J22" s="5">
        <f t="shared" si="20"/>
        <v>1370210.4477611938</v>
      </c>
      <c r="K22" s="5">
        <f t="shared" si="20"/>
        <v>1138807.2289156627</v>
      </c>
      <c r="L22" s="5">
        <f t="shared" si="20"/>
        <v>1318490</v>
      </c>
      <c r="M22" s="5">
        <f>(M5/$C$22)*M$18</f>
        <v>1181995</v>
      </c>
      <c r="N22" s="5">
        <f t="shared" si="18"/>
        <v>933147.20000000007</v>
      </c>
      <c r="O22" s="5">
        <f t="shared" si="18"/>
        <v>922662.40000000002</v>
      </c>
      <c r="P22" s="5">
        <f t="shared" si="18"/>
        <v>912177.6</v>
      </c>
      <c r="Q22" s="5">
        <f t="shared" si="18"/>
        <v>901692.79999999993</v>
      </c>
      <c r="R22" s="5">
        <f t="shared" si="18"/>
        <v>891208</v>
      </c>
      <c r="S22" s="5">
        <f t="shared" si="18"/>
        <v>880723.2</v>
      </c>
      <c r="T22" s="5">
        <f t="shared" si="18"/>
        <v>870238.39999999991</v>
      </c>
      <c r="U22" s="5">
        <f t="shared" si="18"/>
        <v>859753.6</v>
      </c>
      <c r="V22" s="5">
        <f t="shared" si="19"/>
        <v>4403616</v>
      </c>
      <c r="W22" s="5">
        <f t="shared" si="18"/>
        <v>849268.8</v>
      </c>
      <c r="X22" s="5">
        <f t="shared" si="18"/>
        <v>838784</v>
      </c>
      <c r="Y22" s="5">
        <f t="shared" si="18"/>
        <v>817814.4</v>
      </c>
      <c r="Z22" s="5">
        <f t="shared" si="18"/>
        <v>796844.8</v>
      </c>
      <c r="AA22" s="5">
        <f t="shared" si="18"/>
        <v>775875.2</v>
      </c>
      <c r="AB22" s="5">
        <f t="shared" si="18"/>
        <v>754905.59999999998</v>
      </c>
      <c r="AC22" s="5">
        <f t="shared" si="18"/>
        <v>733936</v>
      </c>
      <c r="AD22" s="5">
        <f t="shared" si="18"/>
        <v>712966.4</v>
      </c>
      <c r="AE22" s="5">
        <f t="shared" si="18"/>
        <v>691996.8</v>
      </c>
      <c r="AF22" s="5">
        <f t="shared" si="18"/>
        <v>671027.20000000007</v>
      </c>
      <c r="AG22" s="5">
        <f t="shared" si="18"/>
        <v>650057.6</v>
      </c>
      <c r="AH22" s="5">
        <f t="shared" si="18"/>
        <v>629088</v>
      </c>
      <c r="AI22" s="5">
        <f t="shared" si="18"/>
        <v>597633.6</v>
      </c>
      <c r="AJ22" s="5">
        <f t="shared" si="18"/>
        <v>566179.20000000007</v>
      </c>
      <c r="AK22" s="5">
        <f t="shared" si="18"/>
        <v>534724.80000000005</v>
      </c>
      <c r="AL22" s="5">
        <f t="shared" si="18"/>
        <v>503270.39999999997</v>
      </c>
      <c r="AM22" s="5">
        <f t="shared" si="18"/>
        <v>471816</v>
      </c>
      <c r="AN22" s="5">
        <f t="shared" si="18"/>
        <v>440361.6</v>
      </c>
      <c r="AO22" s="5">
        <f t="shared" si="18"/>
        <v>408907.2</v>
      </c>
      <c r="AP22" s="5">
        <f t="shared" si="18"/>
        <v>377452.79999999999</v>
      </c>
      <c r="AQ22" s="5">
        <f t="shared" si="18"/>
        <v>345998.4</v>
      </c>
      <c r="AR22" s="5">
        <f t="shared" si="18"/>
        <v>314544</v>
      </c>
    </row>
    <row r="23" spans="1:44" x14ac:dyDescent="0.35">
      <c r="B23" t="s">
        <v>64</v>
      </c>
      <c r="C23" s="22">
        <v>0.9</v>
      </c>
      <c r="D23" s="5">
        <f>(D6/$C$23)*D$18</f>
        <v>1200000</v>
      </c>
      <c r="E23" s="5">
        <f t="shared" ref="E23:L23" si="21">(E6/$C$23)*E$18</f>
        <v>1200000</v>
      </c>
      <c r="F23" s="5">
        <f t="shared" si="21"/>
        <v>1200000</v>
      </c>
      <c r="G23" s="5">
        <f t="shared" si="21"/>
        <v>1200000</v>
      </c>
      <c r="H23" s="5">
        <f t="shared" si="21"/>
        <v>1200000</v>
      </c>
      <c r="I23" s="5">
        <f t="shared" si="21"/>
        <v>1200000</v>
      </c>
      <c r="J23" s="5">
        <f t="shared" si="21"/>
        <v>1200000</v>
      </c>
      <c r="K23" s="5">
        <f t="shared" si="21"/>
        <v>1200000</v>
      </c>
      <c r="L23" s="5">
        <f t="shared" si="21"/>
        <v>1200000</v>
      </c>
      <c r="M23" s="5">
        <f>(M6/$C$23)*M$18</f>
        <v>1200000</v>
      </c>
      <c r="N23" s="5">
        <f t="shared" si="18"/>
        <v>1186666.6666666665</v>
      </c>
      <c r="O23" s="5">
        <f t="shared" si="18"/>
        <v>1173333.3333333333</v>
      </c>
      <c r="P23" s="5">
        <f t="shared" si="18"/>
        <v>1160000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f t="shared" si="19"/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</row>
    <row r="24" spans="1:44" x14ac:dyDescent="0.35">
      <c r="B24" t="s">
        <v>65</v>
      </c>
      <c r="C24" s="22">
        <v>0.9</v>
      </c>
      <c r="D24" s="5">
        <f>(D7/$C$24)*D$18</f>
        <v>1080448</v>
      </c>
      <c r="E24" s="5">
        <f t="shared" ref="E24:AR25" si="22">(E7/$C$24)*E$18</f>
        <v>1126974</v>
      </c>
      <c r="F24" s="5">
        <f t="shared" si="22"/>
        <v>1194816</v>
      </c>
      <c r="G24" s="5">
        <f t="shared" si="22"/>
        <v>1296520</v>
      </c>
      <c r="H24" s="5">
        <f t="shared" si="22"/>
        <v>1342968</v>
      </c>
      <c r="I24" s="5">
        <f t="shared" si="22"/>
        <v>1098248</v>
      </c>
      <c r="J24" s="5">
        <f t="shared" si="22"/>
        <v>966774.62686567171</v>
      </c>
      <c r="K24" s="5">
        <f t="shared" si="22"/>
        <v>884862.65060240962</v>
      </c>
      <c r="L24" s="5">
        <f t="shared" si="22"/>
        <v>867222</v>
      </c>
      <c r="M24" s="5">
        <f>(M7/$C$24)*M$18</f>
        <v>790640</v>
      </c>
      <c r="N24" s="5">
        <f t="shared" si="22"/>
        <v>857449.73333333328</v>
      </c>
      <c r="O24" s="5">
        <f t="shared" si="22"/>
        <v>847815.46666666667</v>
      </c>
      <c r="P24" s="5">
        <f t="shared" si="22"/>
        <v>838181.2</v>
      </c>
      <c r="Q24" s="5">
        <f t="shared" si="22"/>
        <v>828546.93333333323</v>
      </c>
      <c r="R24" s="5">
        <f t="shared" si="22"/>
        <v>818912.66666666663</v>
      </c>
      <c r="S24" s="5">
        <f t="shared" si="22"/>
        <v>809278.39999999991</v>
      </c>
      <c r="T24" s="5">
        <f t="shared" si="22"/>
        <v>799644.1333333333</v>
      </c>
      <c r="U24" s="5">
        <f t="shared" si="22"/>
        <v>790009.86666666658</v>
      </c>
      <c r="V24" s="5">
        <f t="shared" si="19"/>
        <v>4046392</v>
      </c>
      <c r="W24" s="5">
        <f t="shared" si="22"/>
        <v>780375.6</v>
      </c>
      <c r="X24" s="5">
        <f t="shared" si="22"/>
        <v>770741.33333333337</v>
      </c>
      <c r="Y24" s="5">
        <f t="shared" si="22"/>
        <v>751472.8</v>
      </c>
      <c r="Z24" s="5">
        <f t="shared" si="22"/>
        <v>732204.2666666666</v>
      </c>
      <c r="AA24" s="5">
        <f t="shared" si="22"/>
        <v>712935.73333333328</v>
      </c>
      <c r="AB24" s="5">
        <f t="shared" si="22"/>
        <v>693667.2</v>
      </c>
      <c r="AC24" s="5">
        <f t="shared" si="22"/>
        <v>674398.66666666663</v>
      </c>
      <c r="AD24" s="5">
        <f t="shared" si="22"/>
        <v>655130.1333333333</v>
      </c>
      <c r="AE24" s="5">
        <f t="shared" si="22"/>
        <v>635861.6</v>
      </c>
      <c r="AF24" s="5">
        <f t="shared" si="22"/>
        <v>616593.06666666665</v>
      </c>
      <c r="AG24" s="5">
        <f t="shared" si="22"/>
        <v>597324.53333333333</v>
      </c>
      <c r="AH24" s="5">
        <f t="shared" si="22"/>
        <v>578056</v>
      </c>
      <c r="AI24" s="5">
        <f t="shared" si="22"/>
        <v>549153.19999999995</v>
      </c>
      <c r="AJ24" s="5">
        <f t="shared" si="22"/>
        <v>520250.4</v>
      </c>
      <c r="AK24" s="5">
        <f t="shared" si="22"/>
        <v>491347.6</v>
      </c>
      <c r="AL24" s="5">
        <f t="shared" si="22"/>
        <v>462444.79999999999</v>
      </c>
      <c r="AM24" s="5">
        <f t="shared" si="22"/>
        <v>433542</v>
      </c>
      <c r="AN24" s="5">
        <f t="shared" si="22"/>
        <v>404639.19999999995</v>
      </c>
      <c r="AO24" s="5">
        <f t="shared" si="22"/>
        <v>375736.4</v>
      </c>
      <c r="AP24" s="5">
        <f t="shared" si="22"/>
        <v>346833.6</v>
      </c>
      <c r="AQ24" s="5">
        <f t="shared" si="22"/>
        <v>317930.8</v>
      </c>
      <c r="AR24" s="5">
        <f t="shared" si="22"/>
        <v>289028</v>
      </c>
    </row>
    <row r="25" spans="1:44" x14ac:dyDescent="0.35">
      <c r="B25" t="s">
        <v>66</v>
      </c>
      <c r="C25" s="22">
        <v>0.9</v>
      </c>
      <c r="D25" s="5">
        <f>(D8/$C$25)*D$18</f>
        <v>239455.99999999997</v>
      </c>
      <c r="E25" s="5">
        <f t="shared" ref="E25:L25" si="23">(E8/$C$25)*E$18</f>
        <v>286130</v>
      </c>
      <c r="F25" s="5">
        <f t="shared" si="23"/>
        <v>328722</v>
      </c>
      <c r="G25" s="5">
        <f t="shared" si="23"/>
        <v>396938</v>
      </c>
      <c r="H25" s="5">
        <f t="shared" si="23"/>
        <v>347812</v>
      </c>
      <c r="I25" s="5">
        <f t="shared" si="23"/>
        <v>319360</v>
      </c>
      <c r="J25" s="5">
        <f t="shared" si="23"/>
        <v>371732.8358208955</v>
      </c>
      <c r="K25" s="5">
        <f t="shared" si="23"/>
        <v>392281.92771084339</v>
      </c>
      <c r="L25" s="5">
        <f t="shared" si="23"/>
        <v>330233</v>
      </c>
      <c r="M25" s="5">
        <f>(M8/$C$24)*M$18</f>
        <v>349257</v>
      </c>
      <c r="N25" s="5">
        <f t="shared" si="22"/>
        <v>318277.84444444446</v>
      </c>
      <c r="O25" s="5">
        <f t="shared" si="22"/>
        <v>314701.68888888892</v>
      </c>
      <c r="P25" s="5">
        <f t="shared" si="22"/>
        <v>311125.53333333333</v>
      </c>
      <c r="Q25" s="5">
        <f t="shared" si="22"/>
        <v>307549.37777777779</v>
      </c>
      <c r="R25" s="5">
        <f t="shared" si="22"/>
        <v>303973.22222222225</v>
      </c>
      <c r="S25" s="5">
        <f t="shared" si="22"/>
        <v>300397.06666666665</v>
      </c>
      <c r="T25" s="5">
        <f t="shared" si="22"/>
        <v>296820.91111111111</v>
      </c>
      <c r="U25" s="5">
        <f t="shared" si="22"/>
        <v>293244.75555555552</v>
      </c>
      <c r="V25" s="5">
        <f t="shared" si="19"/>
        <v>1501985.3333333333</v>
      </c>
      <c r="W25" s="5">
        <f t="shared" si="22"/>
        <v>289668.60000000003</v>
      </c>
      <c r="X25" s="5">
        <f t="shared" si="22"/>
        <v>286092.44444444444</v>
      </c>
      <c r="Y25" s="5">
        <f t="shared" si="22"/>
        <v>278940.13333333336</v>
      </c>
      <c r="Z25" s="5">
        <f t="shared" si="22"/>
        <v>271787.82222222222</v>
      </c>
      <c r="AA25" s="5">
        <f t="shared" si="22"/>
        <v>264635.51111111109</v>
      </c>
      <c r="AB25" s="5">
        <f t="shared" si="22"/>
        <v>257483.19999999998</v>
      </c>
      <c r="AC25" s="5">
        <f t="shared" si="22"/>
        <v>250330.88888888888</v>
      </c>
      <c r="AD25" s="5">
        <f t="shared" si="22"/>
        <v>243178.5777777778</v>
      </c>
      <c r="AE25" s="5">
        <f t="shared" si="22"/>
        <v>236026.26666666669</v>
      </c>
      <c r="AF25" s="5">
        <f t="shared" si="22"/>
        <v>228873.95555555556</v>
      </c>
      <c r="AG25" s="5">
        <f t="shared" si="22"/>
        <v>221721.64444444445</v>
      </c>
      <c r="AH25" s="5">
        <f t="shared" si="22"/>
        <v>214569.33333333334</v>
      </c>
      <c r="AI25" s="5">
        <f t="shared" si="22"/>
        <v>203840.86666666664</v>
      </c>
      <c r="AJ25" s="5">
        <f t="shared" si="22"/>
        <v>193112.40000000002</v>
      </c>
      <c r="AK25" s="5">
        <f t="shared" si="22"/>
        <v>182383.93333333335</v>
      </c>
      <c r="AL25" s="5">
        <f t="shared" si="22"/>
        <v>171655.46666666667</v>
      </c>
      <c r="AM25" s="5">
        <f t="shared" si="22"/>
        <v>160927</v>
      </c>
      <c r="AN25" s="5">
        <f t="shared" si="22"/>
        <v>150198.53333333333</v>
      </c>
      <c r="AO25" s="5">
        <f t="shared" si="22"/>
        <v>139470.06666666668</v>
      </c>
      <c r="AP25" s="5">
        <f t="shared" si="22"/>
        <v>128741.59999999999</v>
      </c>
      <c r="AQ25" s="5">
        <f t="shared" si="22"/>
        <v>118013.13333333335</v>
      </c>
      <c r="AR25" s="5">
        <f t="shared" si="22"/>
        <v>107284.66666666667</v>
      </c>
    </row>
    <row r="26" spans="1:44" x14ac:dyDescent="0.35">
      <c r="B26" t="s">
        <v>67</v>
      </c>
      <c r="C26" s="22">
        <v>0.6</v>
      </c>
      <c r="D26" s="5">
        <f>(D9/$C$26)*D$19</f>
        <v>44712</v>
      </c>
      <c r="E26" s="5">
        <f t="shared" ref="E26:AQ26" si="24">(E9/$C$26)*E$19</f>
        <v>52360</v>
      </c>
      <c r="F26" s="5">
        <f t="shared" si="24"/>
        <v>57524.000000000007</v>
      </c>
      <c r="G26" s="5">
        <f t="shared" si="24"/>
        <v>53878</v>
      </c>
      <c r="H26" s="5">
        <f t="shared" si="24"/>
        <v>62634</v>
      </c>
      <c r="I26" s="5">
        <f t="shared" si="24"/>
        <v>64282</v>
      </c>
      <c r="J26" s="5">
        <f t="shared" si="24"/>
        <v>65150.746268656716</v>
      </c>
      <c r="K26" s="5">
        <f t="shared" si="24"/>
        <v>61040.963855421694</v>
      </c>
      <c r="L26" s="5">
        <f t="shared" si="24"/>
        <v>57190</v>
      </c>
      <c r="M26" s="5">
        <f>(M9/$C$26)*M$19</f>
        <v>59209</v>
      </c>
      <c r="N26" s="5">
        <f t="shared" si="24"/>
        <v>56753.083333333336</v>
      </c>
      <c r="O26" s="5">
        <f t="shared" si="24"/>
        <v>55791.166666666664</v>
      </c>
      <c r="P26" s="5">
        <f t="shared" si="24"/>
        <v>54829.25</v>
      </c>
      <c r="Q26" s="5">
        <f t="shared" si="24"/>
        <v>53867.333333333343</v>
      </c>
      <c r="R26" s="5">
        <f t="shared" si="24"/>
        <v>52905.416666666672</v>
      </c>
      <c r="S26" s="5">
        <f t="shared" si="24"/>
        <v>51943.500000000007</v>
      </c>
      <c r="T26" s="5">
        <f t="shared" si="24"/>
        <v>50981.583333333336</v>
      </c>
      <c r="U26" s="5">
        <f t="shared" si="24"/>
        <v>50019.666666666672</v>
      </c>
      <c r="V26" s="5">
        <f t="shared" si="19"/>
        <v>259717.50000000006</v>
      </c>
      <c r="W26" s="5">
        <f t="shared" si="24"/>
        <v>49057.75</v>
      </c>
      <c r="X26" s="5">
        <f t="shared" si="24"/>
        <v>48095.833333333336</v>
      </c>
      <c r="Y26" s="5">
        <f t="shared" si="24"/>
        <v>46172</v>
      </c>
      <c r="Z26" s="5">
        <f t="shared" si="24"/>
        <v>44248.166666666672</v>
      </c>
      <c r="AA26" s="5">
        <f t="shared" si="24"/>
        <v>42324.333333333336</v>
      </c>
      <c r="AB26" s="5">
        <f t="shared" si="24"/>
        <v>40400.5</v>
      </c>
      <c r="AC26" s="5">
        <f t="shared" si="24"/>
        <v>38476.666666666672</v>
      </c>
      <c r="AD26" s="5">
        <f t="shared" si="24"/>
        <v>36552.833333333336</v>
      </c>
      <c r="AE26" s="5">
        <f t="shared" si="24"/>
        <v>34629</v>
      </c>
      <c r="AF26" s="5">
        <f t="shared" si="24"/>
        <v>32705.166666666672</v>
      </c>
      <c r="AG26" s="5">
        <f t="shared" si="24"/>
        <v>30781.333333333336</v>
      </c>
      <c r="AH26" s="5">
        <f t="shared" si="24"/>
        <v>28857.5</v>
      </c>
      <c r="AI26" s="5">
        <f t="shared" si="24"/>
        <v>25971.750000000004</v>
      </c>
      <c r="AJ26" s="5">
        <f t="shared" si="24"/>
        <v>23086</v>
      </c>
      <c r="AK26" s="5">
        <f t="shared" si="24"/>
        <v>20200.25</v>
      </c>
      <c r="AL26" s="5">
        <f t="shared" si="24"/>
        <v>17314.5</v>
      </c>
      <c r="AM26" s="5">
        <f t="shared" si="24"/>
        <v>14428.75</v>
      </c>
      <c r="AN26" s="5">
        <f t="shared" si="24"/>
        <v>11543</v>
      </c>
      <c r="AO26" s="5">
        <f t="shared" si="24"/>
        <v>8657.25</v>
      </c>
      <c r="AP26" s="5">
        <f t="shared" si="24"/>
        <v>5771.5</v>
      </c>
      <c r="AQ26" s="5">
        <f t="shared" si="24"/>
        <v>2885.75</v>
      </c>
      <c r="AR26" s="5">
        <f>(AR9/$C$26)*AR$19</f>
        <v>0</v>
      </c>
    </row>
    <row r="27" spans="1:44" x14ac:dyDescent="0.35">
      <c r="B27" t="s">
        <v>68</v>
      </c>
      <c r="C27" s="22">
        <v>0.6</v>
      </c>
      <c r="D27" s="5">
        <f>(D10/$C$27)*D$19</f>
        <v>126526</v>
      </c>
      <c r="E27" s="5">
        <f t="shared" ref="E27:AR27" si="25">(E10/$C$27)*E$19</f>
        <v>103578</v>
      </c>
      <c r="F27" s="5">
        <f t="shared" si="25"/>
        <v>105448.00000000001</v>
      </c>
      <c r="G27" s="5">
        <f t="shared" si="25"/>
        <v>119494</v>
      </c>
      <c r="H27" s="5">
        <f t="shared" si="25"/>
        <v>121324</v>
      </c>
      <c r="I27" s="5">
        <f t="shared" si="25"/>
        <v>122374</v>
      </c>
      <c r="J27" s="5">
        <f>(J10/$C$27)*J$19</f>
        <v>115540.29850746268</v>
      </c>
      <c r="K27" s="5">
        <f t="shared" si="25"/>
        <v>113991.56626506026</v>
      </c>
      <c r="L27" s="5">
        <f t="shared" si="25"/>
        <v>112871</v>
      </c>
      <c r="M27" s="5">
        <f>(M10/$C$27)*M$19</f>
        <v>111924</v>
      </c>
      <c r="N27" s="5">
        <f t="shared" si="25"/>
        <v>112466.78333333334</v>
      </c>
      <c r="O27" s="5">
        <f t="shared" si="25"/>
        <v>110560.56666666667</v>
      </c>
      <c r="P27" s="5">
        <f t="shared" si="25"/>
        <v>108654.35</v>
      </c>
      <c r="Q27" s="5">
        <f t="shared" si="25"/>
        <v>106748.13333333336</v>
      </c>
      <c r="R27" s="5">
        <f t="shared" si="25"/>
        <v>104841.91666666669</v>
      </c>
      <c r="S27" s="5">
        <f t="shared" si="25"/>
        <v>102935.70000000001</v>
      </c>
      <c r="T27" s="5">
        <f t="shared" si="25"/>
        <v>101029.48333333335</v>
      </c>
      <c r="U27" s="5">
        <f t="shared" si="25"/>
        <v>99123.266666666677</v>
      </c>
      <c r="V27" s="5">
        <f t="shared" si="19"/>
        <v>514678.50000000006</v>
      </c>
      <c r="W27" s="5">
        <f t="shared" si="25"/>
        <v>97217.050000000017</v>
      </c>
      <c r="X27" s="5">
        <f t="shared" si="25"/>
        <v>95310.833333333343</v>
      </c>
      <c r="Y27" s="5">
        <f t="shared" si="25"/>
        <v>91498.400000000009</v>
      </c>
      <c r="Z27" s="5">
        <f t="shared" si="25"/>
        <v>87685.966666666674</v>
      </c>
      <c r="AA27" s="5">
        <f t="shared" si="25"/>
        <v>83873.53333333334</v>
      </c>
      <c r="AB27" s="5">
        <f t="shared" si="25"/>
        <v>80061.100000000006</v>
      </c>
      <c r="AC27" s="5">
        <f t="shared" si="25"/>
        <v>76248.666666666672</v>
      </c>
      <c r="AD27" s="5">
        <f t="shared" si="25"/>
        <v>72436.233333333337</v>
      </c>
      <c r="AE27" s="5">
        <f t="shared" si="25"/>
        <v>68623.8</v>
      </c>
      <c r="AF27" s="5">
        <f t="shared" si="25"/>
        <v>64811.366666666676</v>
      </c>
      <c r="AG27" s="5">
        <f t="shared" si="25"/>
        <v>60998.933333333342</v>
      </c>
      <c r="AH27" s="5">
        <f t="shared" si="25"/>
        <v>57186.500000000007</v>
      </c>
      <c r="AI27" s="5">
        <f t="shared" si="25"/>
        <v>51467.850000000006</v>
      </c>
      <c r="AJ27" s="5">
        <f t="shared" si="25"/>
        <v>45749.200000000004</v>
      </c>
      <c r="AK27" s="5">
        <f t="shared" si="25"/>
        <v>40030.550000000003</v>
      </c>
      <c r="AL27" s="5">
        <f t="shared" si="25"/>
        <v>34311.9</v>
      </c>
      <c r="AM27" s="5">
        <f t="shared" si="25"/>
        <v>28593.250000000004</v>
      </c>
      <c r="AN27" s="5">
        <f t="shared" si="25"/>
        <v>22874.600000000002</v>
      </c>
      <c r="AO27" s="5">
        <f t="shared" si="25"/>
        <v>17155.95</v>
      </c>
      <c r="AP27" s="5">
        <f t="shared" si="25"/>
        <v>11437.300000000001</v>
      </c>
      <c r="AQ27" s="5">
        <f t="shared" si="25"/>
        <v>5718.6500000000005</v>
      </c>
      <c r="AR27" s="5">
        <f t="shared" si="25"/>
        <v>0</v>
      </c>
    </row>
    <row r="28" spans="1:44" x14ac:dyDescent="0.35">
      <c r="B28" t="s">
        <v>69</v>
      </c>
      <c r="C28" s="22">
        <v>0.6</v>
      </c>
      <c r="D28" s="5">
        <f>(D11/$C$28)*D$19</f>
        <v>93898.000000000015</v>
      </c>
      <c r="E28" s="5">
        <f t="shared" ref="E28:AR28" si="26">(E11/$C$28)*E$19</f>
        <v>93854</v>
      </c>
      <c r="F28" s="5">
        <f t="shared" si="26"/>
        <v>93734</v>
      </c>
      <c r="G28" s="5">
        <f t="shared" si="26"/>
        <v>106740</v>
      </c>
      <c r="H28" s="5">
        <f t="shared" si="26"/>
        <v>114176</v>
      </c>
      <c r="I28" s="5">
        <f t="shared" si="26"/>
        <v>107548.00000000001</v>
      </c>
      <c r="J28" s="5">
        <f t="shared" si="26"/>
        <v>102328.35820895522</v>
      </c>
      <c r="K28" s="5">
        <f t="shared" si="26"/>
        <v>110893.97590361447</v>
      </c>
      <c r="L28" s="5">
        <f t="shared" si="26"/>
        <v>112534.00000000001</v>
      </c>
      <c r="M28" s="5">
        <f>(M11/$C$28)*M$19</f>
        <v>95950.000000000015</v>
      </c>
      <c r="N28" s="5">
        <f t="shared" si="26"/>
        <v>87052.53333333334</v>
      </c>
      <c r="O28" s="5">
        <f t="shared" si="26"/>
        <v>85577.066666666666</v>
      </c>
      <c r="P28" s="5">
        <f t="shared" si="26"/>
        <v>84101.6</v>
      </c>
      <c r="Q28" s="5">
        <f t="shared" si="26"/>
        <v>82626.133333333346</v>
      </c>
      <c r="R28" s="5">
        <f t="shared" si="26"/>
        <v>81150.666666666686</v>
      </c>
      <c r="S28" s="5">
        <f t="shared" si="26"/>
        <v>79675.200000000012</v>
      </c>
      <c r="T28" s="5">
        <f t="shared" si="26"/>
        <v>78199.733333333352</v>
      </c>
      <c r="U28" s="5">
        <f t="shared" si="26"/>
        <v>76724.266666666677</v>
      </c>
      <c r="V28" s="5">
        <f t="shared" si="19"/>
        <v>398376.00000000006</v>
      </c>
      <c r="W28" s="5">
        <f t="shared" si="26"/>
        <v>75248.800000000017</v>
      </c>
      <c r="X28" s="5">
        <f t="shared" si="26"/>
        <v>73773.333333333343</v>
      </c>
      <c r="Y28" s="5">
        <f t="shared" si="26"/>
        <v>70822.400000000009</v>
      </c>
      <c r="Z28" s="5">
        <f t="shared" si="26"/>
        <v>67871.466666666674</v>
      </c>
      <c r="AA28" s="5">
        <f t="shared" si="26"/>
        <v>64920.53333333334</v>
      </c>
      <c r="AB28" s="5">
        <f t="shared" si="26"/>
        <v>61969.600000000006</v>
      </c>
      <c r="AC28" s="5">
        <f t="shared" si="26"/>
        <v>59018.666666666679</v>
      </c>
      <c r="AD28" s="5">
        <f t="shared" si="26"/>
        <v>56067.733333333344</v>
      </c>
      <c r="AE28" s="5">
        <f t="shared" si="26"/>
        <v>53116.800000000003</v>
      </c>
      <c r="AF28" s="5">
        <f t="shared" si="26"/>
        <v>50165.866666666676</v>
      </c>
      <c r="AG28" s="5">
        <f t="shared" si="26"/>
        <v>47214.933333333342</v>
      </c>
      <c r="AH28" s="5">
        <f t="shared" si="26"/>
        <v>44264.000000000007</v>
      </c>
      <c r="AI28" s="5">
        <f t="shared" si="26"/>
        <v>39837.600000000006</v>
      </c>
      <c r="AJ28" s="5">
        <f t="shared" si="26"/>
        <v>35411.200000000004</v>
      </c>
      <c r="AK28" s="5">
        <f t="shared" si="26"/>
        <v>30984.800000000003</v>
      </c>
      <c r="AL28" s="5">
        <f t="shared" si="26"/>
        <v>26558.400000000001</v>
      </c>
      <c r="AM28" s="5">
        <f t="shared" si="26"/>
        <v>22132.000000000004</v>
      </c>
      <c r="AN28" s="5">
        <f t="shared" si="26"/>
        <v>17705.600000000002</v>
      </c>
      <c r="AO28" s="5">
        <f t="shared" si="26"/>
        <v>13279.2</v>
      </c>
      <c r="AP28" s="5">
        <f t="shared" si="26"/>
        <v>8852.8000000000011</v>
      </c>
      <c r="AQ28" s="5">
        <f t="shared" si="26"/>
        <v>4426.4000000000005</v>
      </c>
      <c r="AR28" s="5">
        <f t="shared" si="26"/>
        <v>0</v>
      </c>
    </row>
    <row r="29" spans="1:44" x14ac:dyDescent="0.35">
      <c r="B29" t="s">
        <v>70</v>
      </c>
      <c r="C29" s="22">
        <v>0.9</v>
      </c>
      <c r="D29" s="5">
        <f>(D12/$C$29)*D$18</f>
        <v>1593548</v>
      </c>
      <c r="E29" s="5">
        <f t="shared" ref="E29:AR29" si="27">(E12/$C$29)*E$18</f>
        <v>1543256</v>
      </c>
      <c r="F29" s="5">
        <f t="shared" si="27"/>
        <v>1416486</v>
      </c>
      <c r="G29" s="5">
        <f t="shared" si="27"/>
        <v>1411956</v>
      </c>
      <c r="H29" s="5">
        <f t="shared" si="27"/>
        <v>1414120</v>
      </c>
      <c r="I29" s="5">
        <f t="shared" si="27"/>
        <v>1437050</v>
      </c>
      <c r="J29" s="5">
        <f t="shared" si="27"/>
        <v>1420698.5074626864</v>
      </c>
      <c r="K29" s="5">
        <f>(K12/$C$29)*K$18</f>
        <v>1411461.4457831327</v>
      </c>
      <c r="L29" s="5">
        <f t="shared" si="27"/>
        <v>1411608</v>
      </c>
      <c r="M29" s="5">
        <f>(M1/$C$29)*M$18</f>
        <v>0</v>
      </c>
      <c r="N29" s="5">
        <f t="shared" si="27"/>
        <v>1167099.5222222223</v>
      </c>
      <c r="O29" s="5">
        <f>(O12/$C$29)*O$18</f>
        <v>1153986.0444444444</v>
      </c>
      <c r="P29" s="5">
        <f t="shared" si="27"/>
        <v>1140872.5666666667</v>
      </c>
      <c r="Q29" s="5">
        <f t="shared" si="27"/>
        <v>1127759.0888888889</v>
      </c>
      <c r="R29" s="5">
        <f t="shared" si="27"/>
        <v>1114645.611111111</v>
      </c>
      <c r="S29" s="5">
        <f t="shared" si="27"/>
        <v>1101532.1333333333</v>
      </c>
      <c r="T29" s="5">
        <f t="shared" si="27"/>
        <v>1088418.6555555556</v>
      </c>
      <c r="U29" s="5">
        <f t="shared" si="27"/>
        <v>1075305.1777777777</v>
      </c>
      <c r="V29" s="5">
        <f t="shared" si="19"/>
        <v>5507660.666666667</v>
      </c>
      <c r="W29" s="5">
        <f t="shared" si="27"/>
        <v>1062191.7</v>
      </c>
      <c r="X29" s="5">
        <f t="shared" si="27"/>
        <v>1049078.2222222222</v>
      </c>
      <c r="Y29" s="5">
        <f t="shared" si="27"/>
        <v>1022851.2666666667</v>
      </c>
      <c r="Z29" s="5">
        <f t="shared" si="27"/>
        <v>996624.31111111108</v>
      </c>
      <c r="AA29" s="5">
        <f t="shared" si="27"/>
        <v>970397.35555555555</v>
      </c>
      <c r="AB29" s="5">
        <f t="shared" si="27"/>
        <v>944170.39999999991</v>
      </c>
      <c r="AC29" s="5">
        <f t="shared" si="27"/>
        <v>917943.44444444438</v>
      </c>
      <c r="AD29" s="5">
        <f t="shared" si="27"/>
        <v>891716.48888888897</v>
      </c>
      <c r="AE29" s="5">
        <f t="shared" si="27"/>
        <v>865489.53333333333</v>
      </c>
      <c r="AF29" s="5">
        <f t="shared" si="27"/>
        <v>839262.5777777778</v>
      </c>
      <c r="AG29" s="5">
        <f t="shared" si="27"/>
        <v>813035.62222222215</v>
      </c>
      <c r="AH29" s="5">
        <f t="shared" si="27"/>
        <v>786808.66666666663</v>
      </c>
      <c r="AI29" s="5">
        <f t="shared" si="27"/>
        <v>747468.23333333328</v>
      </c>
      <c r="AJ29" s="5">
        <f t="shared" si="27"/>
        <v>708127.8</v>
      </c>
      <c r="AK29" s="5">
        <f t="shared" si="27"/>
        <v>668787.3666666667</v>
      </c>
      <c r="AL29" s="5">
        <f t="shared" si="27"/>
        <v>629446.93333333335</v>
      </c>
      <c r="AM29" s="5">
        <f t="shared" si="27"/>
        <v>590106.5</v>
      </c>
      <c r="AN29" s="5">
        <f t="shared" si="27"/>
        <v>550766.06666666665</v>
      </c>
      <c r="AO29" s="5">
        <f t="shared" si="27"/>
        <v>511425.63333333336</v>
      </c>
      <c r="AP29" s="5">
        <f t="shared" si="27"/>
        <v>472085.19999999995</v>
      </c>
      <c r="AQ29" s="5">
        <f t="shared" si="27"/>
        <v>432744.76666666666</v>
      </c>
      <c r="AR29" s="5">
        <f t="shared" si="27"/>
        <v>393404.33333333331</v>
      </c>
    </row>
    <row r="30" spans="1:44" x14ac:dyDescent="0.35">
      <c r="B30" t="s">
        <v>71</v>
      </c>
      <c r="C30" s="22">
        <v>0.9</v>
      </c>
      <c r="D30" s="5">
        <f>(D13/$C$30)*D$18</f>
        <v>38668</v>
      </c>
      <c r="E30" s="5">
        <f t="shared" ref="E30:AR30" si="28">(E13/$C$30)*E$18</f>
        <v>39882</v>
      </c>
      <c r="F30" s="5">
        <f t="shared" si="28"/>
        <v>40676</v>
      </c>
      <c r="G30" s="5">
        <f t="shared" si="28"/>
        <v>41372</v>
      </c>
      <c r="H30" s="5">
        <f t="shared" si="28"/>
        <v>43196</v>
      </c>
      <c r="I30" s="5">
        <f t="shared" si="28"/>
        <v>43062</v>
      </c>
      <c r="J30" s="5">
        <f t="shared" si="28"/>
        <v>40737.313432835814</v>
      </c>
      <c r="K30" s="5">
        <f t="shared" si="28"/>
        <v>40597.590361445786</v>
      </c>
      <c r="L30" s="5">
        <f t="shared" si="28"/>
        <v>38722</v>
      </c>
      <c r="M30" s="5">
        <f>(M13/$C$30)*M$18</f>
        <v>36377</v>
      </c>
      <c r="N30" s="5">
        <f t="shared" si="28"/>
        <v>36469.23333333333</v>
      </c>
      <c r="O30" s="5">
        <f t="shared" si="28"/>
        <v>36059.466666666667</v>
      </c>
      <c r="P30" s="5">
        <f t="shared" si="28"/>
        <v>35649.699999999997</v>
      </c>
      <c r="Q30" s="5">
        <f t="shared" si="28"/>
        <v>35239.933333333334</v>
      </c>
      <c r="R30" s="5">
        <f t="shared" si="28"/>
        <v>34830.166666666664</v>
      </c>
      <c r="S30" s="5">
        <f t="shared" si="28"/>
        <v>34420.399999999994</v>
      </c>
      <c r="T30" s="5">
        <f t="shared" si="28"/>
        <v>34010.633333333331</v>
      </c>
      <c r="U30" s="5">
        <f t="shared" si="28"/>
        <v>33600.866666666661</v>
      </c>
      <c r="V30" s="5">
        <f t="shared" si="19"/>
        <v>172102</v>
      </c>
      <c r="W30" s="5">
        <f t="shared" si="28"/>
        <v>33191.1</v>
      </c>
      <c r="X30" s="5">
        <f t="shared" si="28"/>
        <v>32781.333333333336</v>
      </c>
      <c r="Y30" s="5">
        <f t="shared" si="28"/>
        <v>31961.8</v>
      </c>
      <c r="Z30" s="5">
        <f t="shared" si="28"/>
        <v>31142.266666666666</v>
      </c>
      <c r="AA30" s="5">
        <f t="shared" si="28"/>
        <v>30322.73333333333</v>
      </c>
      <c r="AB30" s="5">
        <f t="shared" si="28"/>
        <v>29503.199999999997</v>
      </c>
      <c r="AC30" s="5">
        <f t="shared" si="28"/>
        <v>28683.666666666664</v>
      </c>
      <c r="AD30" s="5">
        <f t="shared" si="28"/>
        <v>27864.133333333335</v>
      </c>
      <c r="AE30" s="5">
        <f t="shared" si="28"/>
        <v>27044.6</v>
      </c>
      <c r="AF30" s="5">
        <f t="shared" si="28"/>
        <v>26225.066666666666</v>
      </c>
      <c r="AG30" s="5">
        <f t="shared" si="28"/>
        <v>25405.533333333333</v>
      </c>
      <c r="AH30" s="5">
        <f t="shared" si="28"/>
        <v>24585.999999999996</v>
      </c>
      <c r="AI30" s="5">
        <f t="shared" si="28"/>
        <v>23356.699999999997</v>
      </c>
      <c r="AJ30" s="5">
        <f t="shared" si="28"/>
        <v>22127.4</v>
      </c>
      <c r="AK30" s="5">
        <f t="shared" si="28"/>
        <v>20898.099999999999</v>
      </c>
      <c r="AL30" s="5">
        <f t="shared" si="28"/>
        <v>19668.8</v>
      </c>
      <c r="AM30" s="5">
        <f t="shared" si="28"/>
        <v>18439.5</v>
      </c>
      <c r="AN30" s="5">
        <f t="shared" si="28"/>
        <v>17210.199999999997</v>
      </c>
      <c r="AO30" s="5">
        <f t="shared" si="28"/>
        <v>15980.9</v>
      </c>
      <c r="AP30" s="5">
        <f t="shared" si="28"/>
        <v>14751.599999999999</v>
      </c>
      <c r="AQ30" s="5">
        <f t="shared" si="28"/>
        <v>13522.3</v>
      </c>
      <c r="AR30" s="5">
        <f t="shared" si="28"/>
        <v>12292.999999999998</v>
      </c>
    </row>
    <row r="31" spans="1:44" x14ac:dyDescent="0.35">
      <c r="B31" t="s">
        <v>72</v>
      </c>
      <c r="C31" s="60">
        <v>0.6</v>
      </c>
      <c r="D31" s="5">
        <f>(D14/$C$31)*D$19</f>
        <v>201516</v>
      </c>
      <c r="E31" s="5">
        <f t="shared" ref="E31:L31" si="29">(E14/$C$31)*E$19</f>
        <v>202694.00000000003</v>
      </c>
      <c r="F31" s="5">
        <f t="shared" si="29"/>
        <v>209980</v>
      </c>
      <c r="G31" s="5">
        <f t="shared" si="29"/>
        <v>202896</v>
      </c>
      <c r="H31" s="5">
        <f t="shared" si="29"/>
        <v>204046</v>
      </c>
      <c r="I31" s="5">
        <f t="shared" si="29"/>
        <v>189340</v>
      </c>
      <c r="J31" s="5">
        <f t="shared" si="29"/>
        <v>197943.28358208956</v>
      </c>
      <c r="K31" s="5">
        <f t="shared" si="29"/>
        <v>204806.02409638558</v>
      </c>
      <c r="L31" s="5">
        <f t="shared" si="29"/>
        <v>194202</v>
      </c>
      <c r="M31" s="5">
        <f>(M14/$C$31)*M$19</f>
        <v>182349</v>
      </c>
      <c r="N31" s="5">
        <f t="shared" ref="N31:AR31" si="30">(N14/$C$31)*N$19</f>
        <v>179554.69999999998</v>
      </c>
      <c r="O31" s="5">
        <f t="shared" si="30"/>
        <v>176511.4</v>
      </c>
      <c r="P31" s="5">
        <f t="shared" si="30"/>
        <v>173468.09999999998</v>
      </c>
      <c r="Q31" s="5">
        <f t="shared" si="30"/>
        <v>170424.80000000002</v>
      </c>
      <c r="R31" s="5">
        <f t="shared" si="30"/>
        <v>167381.5</v>
      </c>
      <c r="S31" s="5">
        <f t="shared" si="30"/>
        <v>164338.20000000001</v>
      </c>
      <c r="T31" s="5">
        <f t="shared" si="30"/>
        <v>161294.9</v>
      </c>
      <c r="U31" s="5">
        <f t="shared" si="30"/>
        <v>158251.6</v>
      </c>
      <c r="V31" s="5">
        <f t="shared" si="19"/>
        <v>821691</v>
      </c>
      <c r="W31" s="5">
        <f t="shared" si="30"/>
        <v>155208.29999999999</v>
      </c>
      <c r="X31" s="5">
        <f t="shared" si="30"/>
        <v>152165</v>
      </c>
      <c r="Y31" s="5">
        <f t="shared" si="30"/>
        <v>146078.39999999999</v>
      </c>
      <c r="Z31" s="5">
        <f t="shared" si="30"/>
        <v>139991.80000000002</v>
      </c>
      <c r="AA31" s="5">
        <f t="shared" si="30"/>
        <v>133905.20000000001</v>
      </c>
      <c r="AB31" s="5">
        <f t="shared" si="30"/>
        <v>127818.59999999999</v>
      </c>
      <c r="AC31" s="5">
        <f t="shared" si="30"/>
        <v>121732</v>
      </c>
      <c r="AD31" s="5">
        <f t="shared" si="30"/>
        <v>115645.4</v>
      </c>
      <c r="AE31" s="5">
        <f t="shared" si="30"/>
        <v>109558.8</v>
      </c>
      <c r="AF31" s="5">
        <f t="shared" si="30"/>
        <v>103472.20000000001</v>
      </c>
      <c r="AG31" s="5">
        <f t="shared" si="30"/>
        <v>97385.600000000006</v>
      </c>
      <c r="AH31" s="5">
        <f t="shared" si="30"/>
        <v>91299</v>
      </c>
      <c r="AI31" s="5">
        <f t="shared" si="30"/>
        <v>82169.100000000006</v>
      </c>
      <c r="AJ31" s="5">
        <f t="shared" si="30"/>
        <v>73039.199999999997</v>
      </c>
      <c r="AK31" s="5">
        <f t="shared" si="30"/>
        <v>63909.299999999996</v>
      </c>
      <c r="AL31" s="5">
        <f t="shared" si="30"/>
        <v>54779.4</v>
      </c>
      <c r="AM31" s="5">
        <f t="shared" si="30"/>
        <v>45649.5</v>
      </c>
      <c r="AN31" s="5">
        <f t="shared" si="30"/>
        <v>36519.599999999999</v>
      </c>
      <c r="AO31" s="5">
        <f t="shared" si="30"/>
        <v>27389.7</v>
      </c>
      <c r="AP31" s="5">
        <f t="shared" si="30"/>
        <v>18259.8</v>
      </c>
      <c r="AQ31" s="5">
        <f t="shared" si="30"/>
        <v>9129.9</v>
      </c>
      <c r="AR31" s="5">
        <f t="shared" si="30"/>
        <v>0</v>
      </c>
    </row>
    <row r="32" spans="1:44" s="162" customFormat="1" x14ac:dyDescent="0.35">
      <c r="B32" s="162" t="s">
        <v>73</v>
      </c>
      <c r="D32" s="24">
        <f>SUM(D20:D31)</f>
        <v>8133386</v>
      </c>
      <c r="E32" s="24">
        <f t="shared" ref="E32:AR32" si="31">SUM(E20:E31)</f>
        <v>8114678</v>
      </c>
      <c r="F32" s="24">
        <f t="shared" si="31"/>
        <v>10835574</v>
      </c>
      <c r="G32" s="24">
        <f t="shared" si="31"/>
        <v>10163270</v>
      </c>
      <c r="H32" s="24">
        <f t="shared" si="31"/>
        <v>9938726</v>
      </c>
      <c r="I32" s="24">
        <f t="shared" si="31"/>
        <v>9814782</v>
      </c>
      <c r="J32" s="24">
        <f t="shared" si="31"/>
        <v>9567783.5820895508</v>
      </c>
      <c r="K32" s="24">
        <f t="shared" si="31"/>
        <v>9325577.1084337346</v>
      </c>
      <c r="L32" s="24">
        <f t="shared" si="31"/>
        <v>9482779</v>
      </c>
      <c r="M32" s="24">
        <f t="shared" si="31"/>
        <v>7619341</v>
      </c>
      <c r="N32" s="24">
        <f t="shared" si="31"/>
        <v>7704006.166666666</v>
      </c>
      <c r="O32" s="24">
        <f t="shared" si="31"/>
        <v>7614954.333333333</v>
      </c>
      <c r="P32" s="24">
        <f t="shared" si="31"/>
        <v>7525902.4999999991</v>
      </c>
      <c r="Q32" s="24">
        <f t="shared" si="31"/>
        <v>6290184</v>
      </c>
      <c r="R32" s="24">
        <f t="shared" si="31"/>
        <v>6214465.5000000009</v>
      </c>
      <c r="S32" s="24">
        <f t="shared" si="31"/>
        <v>6138746.9999999991</v>
      </c>
      <c r="T32" s="24">
        <f t="shared" si="31"/>
        <v>6063028.5</v>
      </c>
      <c r="U32" s="24">
        <f t="shared" si="31"/>
        <v>5987309.9999999981</v>
      </c>
      <c r="V32" s="5">
        <f t="shared" si="19"/>
        <v>30693735</v>
      </c>
      <c r="W32" s="24">
        <f t="shared" si="31"/>
        <v>5911591.4999999991</v>
      </c>
      <c r="X32" s="24">
        <f t="shared" si="31"/>
        <v>5835872.9999999981</v>
      </c>
      <c r="Y32" s="24">
        <f t="shared" si="31"/>
        <v>5684436.0000000009</v>
      </c>
      <c r="Z32" s="24">
        <f t="shared" si="31"/>
        <v>5532998.9999999991</v>
      </c>
      <c r="AA32" s="24">
        <f t="shared" si="31"/>
        <v>5381562</v>
      </c>
      <c r="AB32" s="24">
        <f t="shared" si="31"/>
        <v>5230124.9999999991</v>
      </c>
      <c r="AC32" s="24">
        <f t="shared" si="31"/>
        <v>5078687.9999999991</v>
      </c>
      <c r="AD32" s="24">
        <f t="shared" si="31"/>
        <v>4927251.0000000009</v>
      </c>
      <c r="AE32" s="24">
        <f t="shared" si="31"/>
        <v>4775813.9999999991</v>
      </c>
      <c r="AF32" s="24">
        <f t="shared" si="31"/>
        <v>4624376.9999999991</v>
      </c>
      <c r="AG32" s="24">
        <f t="shared" si="31"/>
        <v>4472939.9999999991</v>
      </c>
      <c r="AH32" s="24">
        <f t="shared" si="31"/>
        <v>4321503</v>
      </c>
      <c r="AI32" s="24">
        <f t="shared" si="31"/>
        <v>4094347.5</v>
      </c>
      <c r="AJ32" s="24">
        <f t="shared" si="31"/>
        <v>3867192.0000000005</v>
      </c>
      <c r="AK32" s="24">
        <f t="shared" si="31"/>
        <v>3640036.4999999991</v>
      </c>
      <c r="AL32" s="24">
        <f t="shared" si="31"/>
        <v>3412880.9999999995</v>
      </c>
      <c r="AM32" s="24">
        <f t="shared" si="31"/>
        <v>3185725.5</v>
      </c>
      <c r="AN32" s="24">
        <f t="shared" si="31"/>
        <v>2958569.9999999995</v>
      </c>
      <c r="AO32" s="24">
        <f t="shared" si="31"/>
        <v>2731414.5000000005</v>
      </c>
      <c r="AP32" s="24">
        <f t="shared" si="31"/>
        <v>2504258.9999999995</v>
      </c>
      <c r="AQ32" s="24">
        <f t="shared" si="31"/>
        <v>2277103.4999999995</v>
      </c>
      <c r="AR32" s="24">
        <f t="shared" si="31"/>
        <v>2049948</v>
      </c>
    </row>
    <row r="34" spans="1:44" s="39" customFormat="1" ht="16.5" customHeight="1" x14ac:dyDescent="0.35">
      <c r="A34" s="38" t="s">
        <v>77</v>
      </c>
    </row>
    <row r="35" spans="1:44" x14ac:dyDescent="0.35">
      <c r="B35" t="s">
        <v>61</v>
      </c>
      <c r="C35" s="18">
        <v>1</v>
      </c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>
        <v>1</v>
      </c>
      <c r="M35" s="57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  <c r="V35" s="22"/>
      <c r="W35" s="22">
        <v>1</v>
      </c>
      <c r="X35" s="22">
        <v>1</v>
      </c>
      <c r="Y35" s="22">
        <v>1</v>
      </c>
      <c r="Z35" s="57">
        <v>1</v>
      </c>
      <c r="AA35" s="57">
        <v>1</v>
      </c>
      <c r="AB35" s="57">
        <v>1</v>
      </c>
      <c r="AC35" s="57">
        <v>1</v>
      </c>
      <c r="AD35" s="57">
        <v>1</v>
      </c>
      <c r="AE35" s="57">
        <v>1</v>
      </c>
      <c r="AF35" s="57">
        <v>1</v>
      </c>
      <c r="AG35" s="57">
        <v>1</v>
      </c>
      <c r="AH35" s="57">
        <v>1</v>
      </c>
      <c r="AI35" s="57">
        <v>1</v>
      </c>
      <c r="AJ35" s="57">
        <v>1</v>
      </c>
      <c r="AK35" s="57">
        <v>1</v>
      </c>
      <c r="AL35" s="57">
        <v>1</v>
      </c>
      <c r="AM35" s="57">
        <v>1</v>
      </c>
      <c r="AN35" s="57">
        <v>1</v>
      </c>
      <c r="AO35" s="57">
        <v>1</v>
      </c>
      <c r="AP35" s="57">
        <v>1</v>
      </c>
      <c r="AQ35" s="57">
        <v>1</v>
      </c>
      <c r="AR35" s="57">
        <v>1</v>
      </c>
    </row>
    <row r="36" spans="1:44" x14ac:dyDescent="0.35">
      <c r="B36" t="s">
        <v>62</v>
      </c>
      <c r="C36" s="18">
        <v>1</v>
      </c>
      <c r="D36" s="18">
        <v>1</v>
      </c>
      <c r="E36" s="18">
        <v>1</v>
      </c>
      <c r="F36" s="18">
        <v>0.9</v>
      </c>
      <c r="G36" s="18">
        <v>0.9</v>
      </c>
      <c r="H36" s="18">
        <v>0.9</v>
      </c>
      <c r="I36" s="18">
        <v>0.9</v>
      </c>
      <c r="J36" s="18">
        <v>0.9</v>
      </c>
      <c r="K36" s="18">
        <v>0.9</v>
      </c>
      <c r="L36" s="18">
        <v>1</v>
      </c>
      <c r="M36" s="57">
        <v>0.95</v>
      </c>
      <c r="N36" s="22">
        <v>0.9</v>
      </c>
      <c r="O36" s="22">
        <v>0.9</v>
      </c>
      <c r="P36" s="22">
        <v>0.9</v>
      </c>
      <c r="Q36" s="22">
        <v>0.9</v>
      </c>
      <c r="R36" s="22">
        <v>0.9</v>
      </c>
      <c r="S36" s="22">
        <v>0.9</v>
      </c>
      <c r="T36" s="22">
        <v>0.9</v>
      </c>
      <c r="U36" s="22">
        <v>0.9</v>
      </c>
      <c r="V36" s="22"/>
      <c r="W36" s="22">
        <v>0.9</v>
      </c>
      <c r="X36" s="22">
        <v>0.9</v>
      </c>
      <c r="Y36" s="22">
        <v>0.9</v>
      </c>
      <c r="Z36" s="57">
        <v>0.9</v>
      </c>
      <c r="AA36" s="57">
        <v>0.9</v>
      </c>
      <c r="AB36" s="57">
        <v>0.9</v>
      </c>
      <c r="AC36" s="57">
        <v>0.9</v>
      </c>
      <c r="AD36" s="57">
        <v>0.9</v>
      </c>
      <c r="AE36" s="57">
        <v>0.9</v>
      </c>
      <c r="AF36" s="57">
        <v>0.9</v>
      </c>
      <c r="AG36" s="57">
        <v>0.9</v>
      </c>
      <c r="AH36" s="57">
        <v>0.9</v>
      </c>
      <c r="AI36" s="57">
        <v>0.9</v>
      </c>
      <c r="AJ36" s="57">
        <v>0.9</v>
      </c>
      <c r="AK36" s="57">
        <v>0.9</v>
      </c>
      <c r="AL36" s="57">
        <v>0.9</v>
      </c>
      <c r="AM36" s="57">
        <v>0.9</v>
      </c>
      <c r="AN36" s="57">
        <v>0.9</v>
      </c>
      <c r="AO36" s="57">
        <v>0.9</v>
      </c>
      <c r="AP36" s="57">
        <v>0.9</v>
      </c>
      <c r="AQ36" s="57">
        <v>0.9</v>
      </c>
      <c r="AR36" s="57">
        <v>0.9</v>
      </c>
    </row>
    <row r="37" spans="1:44" x14ac:dyDescent="0.35">
      <c r="B37" t="s">
        <v>63</v>
      </c>
      <c r="C37" s="18">
        <v>0.5</v>
      </c>
      <c r="D37" s="18">
        <v>0.5</v>
      </c>
      <c r="E37" s="18">
        <v>0.8</v>
      </c>
      <c r="F37" s="18">
        <v>0.9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57">
        <v>1</v>
      </c>
      <c r="N37" s="22">
        <v>0.8</v>
      </c>
      <c r="O37" s="22">
        <v>1</v>
      </c>
      <c r="P37" s="22">
        <v>1</v>
      </c>
      <c r="Q37" s="22">
        <v>1</v>
      </c>
      <c r="R37" s="22">
        <v>1</v>
      </c>
      <c r="S37" s="22">
        <v>1</v>
      </c>
      <c r="T37" s="22">
        <v>1</v>
      </c>
      <c r="U37" s="22">
        <v>1</v>
      </c>
      <c r="V37" s="22"/>
      <c r="W37" s="22">
        <v>1</v>
      </c>
      <c r="X37" s="22">
        <v>0.5</v>
      </c>
      <c r="Y37" s="22">
        <v>0.5</v>
      </c>
      <c r="Z37" s="57">
        <v>0.5</v>
      </c>
      <c r="AA37" s="57">
        <v>0.5</v>
      </c>
      <c r="AB37" s="57">
        <v>0.5</v>
      </c>
      <c r="AC37" s="57">
        <v>0.5</v>
      </c>
      <c r="AD37" s="57">
        <v>0.5</v>
      </c>
      <c r="AE37" s="57">
        <v>0.5</v>
      </c>
      <c r="AF37" s="57">
        <v>0.5</v>
      </c>
      <c r="AG37" s="57">
        <v>0.5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</row>
    <row r="38" spans="1:44" x14ac:dyDescent="0.35">
      <c r="B38" t="s">
        <v>64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57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/>
      <c r="W38" s="22">
        <v>0</v>
      </c>
      <c r="X38" s="22">
        <v>0</v>
      </c>
      <c r="Y38" s="22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</row>
    <row r="39" spans="1:44" x14ac:dyDescent="0.35">
      <c r="B39" t="s">
        <v>65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57">
        <v>1</v>
      </c>
      <c r="N39" s="57">
        <v>1</v>
      </c>
      <c r="O39" s="57">
        <v>1</v>
      </c>
      <c r="P39" s="57">
        <v>1</v>
      </c>
      <c r="Q39" s="57">
        <v>1</v>
      </c>
      <c r="R39" s="57">
        <v>1</v>
      </c>
      <c r="S39" s="57">
        <v>1</v>
      </c>
      <c r="T39" s="57">
        <v>1</v>
      </c>
      <c r="U39" s="57">
        <v>1</v>
      </c>
      <c r="V39" s="57"/>
      <c r="W39" s="57">
        <v>1</v>
      </c>
      <c r="X39" s="57">
        <v>1</v>
      </c>
      <c r="Y39" s="57">
        <v>1</v>
      </c>
      <c r="Z39" s="57">
        <v>1</v>
      </c>
      <c r="AA39" s="57">
        <v>1</v>
      </c>
      <c r="AB39" s="57">
        <v>1</v>
      </c>
      <c r="AC39" s="57">
        <v>1</v>
      </c>
      <c r="AD39" s="57">
        <v>1</v>
      </c>
      <c r="AE39" s="57">
        <v>1</v>
      </c>
      <c r="AF39" s="57">
        <v>1</v>
      </c>
      <c r="AG39" s="57">
        <v>1</v>
      </c>
      <c r="AH39" s="57">
        <v>1</v>
      </c>
      <c r="AI39" s="57">
        <v>1</v>
      </c>
      <c r="AJ39" s="57">
        <v>1</v>
      </c>
      <c r="AK39" s="57">
        <v>1</v>
      </c>
      <c r="AL39" s="57">
        <v>1</v>
      </c>
      <c r="AM39" s="57">
        <v>1</v>
      </c>
      <c r="AN39" s="57">
        <v>1</v>
      </c>
      <c r="AO39" s="57">
        <v>1</v>
      </c>
      <c r="AP39" s="57">
        <v>1</v>
      </c>
      <c r="AQ39" s="57">
        <v>1</v>
      </c>
      <c r="AR39" s="57">
        <v>1</v>
      </c>
    </row>
    <row r="40" spans="1:44" x14ac:dyDescent="0.35">
      <c r="B40" t="s">
        <v>66</v>
      </c>
      <c r="C40" s="18">
        <v>1</v>
      </c>
      <c r="D40" s="18">
        <v>1</v>
      </c>
      <c r="E40" s="18">
        <v>1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1</v>
      </c>
      <c r="L40" s="18">
        <v>1</v>
      </c>
      <c r="M40" s="57">
        <v>1</v>
      </c>
      <c r="N40" s="57">
        <v>1</v>
      </c>
      <c r="O40" s="57">
        <v>1</v>
      </c>
      <c r="P40" s="57">
        <v>1</v>
      </c>
      <c r="Q40" s="57">
        <v>1</v>
      </c>
      <c r="R40" s="57">
        <v>1</v>
      </c>
      <c r="S40" s="57">
        <v>1</v>
      </c>
      <c r="T40" s="57">
        <v>1</v>
      </c>
      <c r="U40" s="57">
        <v>1</v>
      </c>
      <c r="V40" s="57"/>
      <c r="W40" s="57">
        <v>1</v>
      </c>
      <c r="X40" s="57">
        <v>1</v>
      </c>
      <c r="Y40" s="57">
        <v>1</v>
      </c>
      <c r="Z40" s="57">
        <v>1</v>
      </c>
      <c r="AA40" s="57">
        <v>1</v>
      </c>
      <c r="AB40" s="57">
        <v>1</v>
      </c>
      <c r="AC40" s="57">
        <v>1</v>
      </c>
      <c r="AD40" s="57">
        <v>1</v>
      </c>
      <c r="AE40" s="57">
        <v>1</v>
      </c>
      <c r="AF40" s="57">
        <v>1</v>
      </c>
      <c r="AG40" s="57">
        <v>1</v>
      </c>
      <c r="AH40" s="57">
        <v>1</v>
      </c>
      <c r="AI40" s="57">
        <v>1</v>
      </c>
      <c r="AJ40" s="57">
        <v>1</v>
      </c>
      <c r="AK40" s="57">
        <v>1</v>
      </c>
      <c r="AL40" s="57">
        <v>1</v>
      </c>
      <c r="AM40" s="57">
        <v>1</v>
      </c>
      <c r="AN40" s="57">
        <v>1</v>
      </c>
      <c r="AO40" s="57">
        <v>1</v>
      </c>
      <c r="AP40" s="57">
        <v>1</v>
      </c>
      <c r="AQ40" s="57">
        <v>1</v>
      </c>
      <c r="AR40" s="57">
        <v>1</v>
      </c>
    </row>
    <row r="41" spans="1:44" x14ac:dyDescent="0.35">
      <c r="B41" t="s">
        <v>67</v>
      </c>
      <c r="C41" s="18">
        <v>1</v>
      </c>
      <c r="D41" s="18">
        <v>1</v>
      </c>
      <c r="E41" s="18">
        <v>1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57">
        <v>1</v>
      </c>
      <c r="N41" s="57">
        <v>1</v>
      </c>
      <c r="O41" s="57">
        <v>1</v>
      </c>
      <c r="P41" s="57">
        <v>1</v>
      </c>
      <c r="Q41" s="57">
        <v>1</v>
      </c>
      <c r="R41" s="57">
        <v>1</v>
      </c>
      <c r="S41" s="57">
        <v>1</v>
      </c>
      <c r="T41" s="57">
        <v>1</v>
      </c>
      <c r="U41" s="57">
        <v>1</v>
      </c>
      <c r="V41" s="57"/>
      <c r="W41" s="57">
        <v>1</v>
      </c>
      <c r="X41" s="57">
        <v>1</v>
      </c>
      <c r="Y41" s="57">
        <v>1</v>
      </c>
      <c r="Z41" s="57">
        <v>1</v>
      </c>
      <c r="AA41" s="57">
        <v>1</v>
      </c>
      <c r="AB41" s="57">
        <v>1</v>
      </c>
      <c r="AC41" s="57">
        <v>1</v>
      </c>
      <c r="AD41" s="57">
        <v>1</v>
      </c>
      <c r="AE41" s="57">
        <v>1</v>
      </c>
      <c r="AF41" s="57">
        <v>1</v>
      </c>
      <c r="AG41" s="57">
        <v>1</v>
      </c>
      <c r="AH41" s="57">
        <v>1</v>
      </c>
      <c r="AI41" s="57">
        <v>1</v>
      </c>
      <c r="AJ41" s="57">
        <v>1</v>
      </c>
      <c r="AK41" s="57">
        <v>1</v>
      </c>
      <c r="AL41" s="57">
        <v>1</v>
      </c>
      <c r="AM41" s="57">
        <v>1</v>
      </c>
      <c r="AN41" s="57">
        <v>1</v>
      </c>
      <c r="AO41" s="57">
        <v>1</v>
      </c>
      <c r="AP41" s="57">
        <v>1</v>
      </c>
      <c r="AQ41" s="57">
        <v>1</v>
      </c>
      <c r="AR41" s="57">
        <v>1</v>
      </c>
    </row>
    <row r="42" spans="1:44" x14ac:dyDescent="0.35">
      <c r="B42" t="s">
        <v>68</v>
      </c>
      <c r="C42" s="18">
        <v>1</v>
      </c>
      <c r="D42" s="18">
        <v>1</v>
      </c>
      <c r="E42" s="18">
        <v>1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57">
        <v>1</v>
      </c>
      <c r="N42" s="57">
        <v>1</v>
      </c>
      <c r="O42" s="57">
        <v>1</v>
      </c>
      <c r="P42" s="57">
        <v>1</v>
      </c>
      <c r="Q42" s="57">
        <v>1</v>
      </c>
      <c r="R42" s="57">
        <v>1</v>
      </c>
      <c r="S42" s="57">
        <v>1</v>
      </c>
      <c r="T42" s="57">
        <v>1</v>
      </c>
      <c r="U42" s="57">
        <v>1</v>
      </c>
      <c r="V42" s="57"/>
      <c r="W42" s="57">
        <v>1</v>
      </c>
      <c r="X42" s="57">
        <v>1</v>
      </c>
      <c r="Y42" s="57">
        <v>1</v>
      </c>
      <c r="Z42" s="57">
        <v>1</v>
      </c>
      <c r="AA42" s="57">
        <v>1</v>
      </c>
      <c r="AB42" s="57">
        <v>1</v>
      </c>
      <c r="AC42" s="57">
        <v>1</v>
      </c>
      <c r="AD42" s="57">
        <v>1</v>
      </c>
      <c r="AE42" s="57">
        <v>1</v>
      </c>
      <c r="AF42" s="57">
        <v>1</v>
      </c>
      <c r="AG42" s="57">
        <v>1</v>
      </c>
      <c r="AH42" s="57">
        <v>1</v>
      </c>
      <c r="AI42" s="57">
        <v>1</v>
      </c>
      <c r="AJ42" s="57">
        <v>1</v>
      </c>
      <c r="AK42" s="57">
        <v>1</v>
      </c>
      <c r="AL42" s="57">
        <v>1</v>
      </c>
      <c r="AM42" s="57">
        <v>1</v>
      </c>
      <c r="AN42" s="57">
        <v>1</v>
      </c>
      <c r="AO42" s="57">
        <v>1</v>
      </c>
      <c r="AP42" s="57">
        <v>1</v>
      </c>
      <c r="AQ42" s="57">
        <v>1</v>
      </c>
      <c r="AR42" s="57">
        <v>1</v>
      </c>
    </row>
    <row r="43" spans="1:44" x14ac:dyDescent="0.35">
      <c r="B43" t="s">
        <v>69</v>
      </c>
      <c r="C43" s="18">
        <v>1</v>
      </c>
      <c r="D43" s="18">
        <v>1</v>
      </c>
      <c r="E43" s="18">
        <v>1</v>
      </c>
      <c r="F43" s="18">
        <v>1</v>
      </c>
      <c r="G43" s="18">
        <v>1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57">
        <v>1</v>
      </c>
      <c r="N43" s="57">
        <v>1</v>
      </c>
      <c r="O43" s="57">
        <v>1</v>
      </c>
      <c r="P43" s="57">
        <v>1</v>
      </c>
      <c r="Q43" s="57">
        <v>1</v>
      </c>
      <c r="R43" s="57">
        <v>1</v>
      </c>
      <c r="S43" s="57">
        <v>1</v>
      </c>
      <c r="T43" s="57">
        <v>1</v>
      </c>
      <c r="U43" s="57">
        <v>1</v>
      </c>
      <c r="V43" s="57"/>
      <c r="W43" s="57">
        <v>1</v>
      </c>
      <c r="X43" s="57">
        <v>1</v>
      </c>
      <c r="Y43" s="57">
        <v>1</v>
      </c>
      <c r="Z43" s="57">
        <v>1</v>
      </c>
      <c r="AA43" s="57">
        <v>1</v>
      </c>
      <c r="AB43" s="57">
        <v>1</v>
      </c>
      <c r="AC43" s="57">
        <v>1</v>
      </c>
      <c r="AD43" s="57">
        <v>1</v>
      </c>
      <c r="AE43" s="57">
        <v>1</v>
      </c>
      <c r="AF43" s="57">
        <v>1</v>
      </c>
      <c r="AG43" s="57">
        <v>1</v>
      </c>
      <c r="AH43" s="57">
        <v>1</v>
      </c>
      <c r="AI43" s="57">
        <v>1</v>
      </c>
      <c r="AJ43" s="57">
        <v>1</v>
      </c>
      <c r="AK43" s="57">
        <v>1</v>
      </c>
      <c r="AL43" s="57">
        <v>1</v>
      </c>
      <c r="AM43" s="57">
        <v>1</v>
      </c>
      <c r="AN43" s="57">
        <v>1</v>
      </c>
      <c r="AO43" s="57">
        <v>1</v>
      </c>
      <c r="AP43" s="57">
        <v>1</v>
      </c>
      <c r="AQ43" s="57">
        <v>1</v>
      </c>
      <c r="AR43" s="57">
        <v>1</v>
      </c>
    </row>
    <row r="44" spans="1:44" x14ac:dyDescent="0.35">
      <c r="B44" t="s">
        <v>70</v>
      </c>
      <c r="C44" s="18">
        <v>1</v>
      </c>
      <c r="D44" s="18">
        <v>1</v>
      </c>
      <c r="E44" s="18">
        <v>1</v>
      </c>
      <c r="F44" s="18">
        <v>0.9</v>
      </c>
      <c r="G44" s="18">
        <v>0.9</v>
      </c>
      <c r="H44" s="18">
        <v>0.9</v>
      </c>
      <c r="I44" s="18">
        <v>0.9</v>
      </c>
      <c r="J44" s="18">
        <v>0.9</v>
      </c>
      <c r="K44" s="18">
        <v>0.9</v>
      </c>
      <c r="L44" s="18">
        <v>0.9</v>
      </c>
      <c r="M44" s="57">
        <v>0.9</v>
      </c>
      <c r="N44" s="57">
        <v>0.82</v>
      </c>
      <c r="O44" s="22">
        <v>0.92</v>
      </c>
      <c r="P44" s="22">
        <v>0.92</v>
      </c>
      <c r="Q44" s="22">
        <v>0.92</v>
      </c>
      <c r="R44" s="22">
        <v>0.92</v>
      </c>
      <c r="S44" s="22">
        <v>0.92</v>
      </c>
      <c r="T44" s="22">
        <v>0.92</v>
      </c>
      <c r="U44" s="22">
        <v>0.92</v>
      </c>
      <c r="V44" s="22"/>
      <c r="W44" s="22">
        <v>0.92</v>
      </c>
      <c r="X44" s="22">
        <v>0.92</v>
      </c>
      <c r="Y44" s="22">
        <v>0.92</v>
      </c>
      <c r="Z44" s="22">
        <v>0.92</v>
      </c>
      <c r="AA44" s="22">
        <v>0.92</v>
      </c>
      <c r="AB44" s="22">
        <v>0.92</v>
      </c>
      <c r="AC44" s="22">
        <v>0.92</v>
      </c>
      <c r="AD44" s="22">
        <v>0.92</v>
      </c>
      <c r="AE44" s="22">
        <v>0.92</v>
      </c>
      <c r="AF44" s="22">
        <v>0.92</v>
      </c>
      <c r="AG44" s="22">
        <v>0.92</v>
      </c>
      <c r="AH44" s="22">
        <v>0.92</v>
      </c>
      <c r="AI44" s="22">
        <v>0.92</v>
      </c>
      <c r="AJ44" s="22">
        <v>0.92</v>
      </c>
      <c r="AK44" s="22">
        <v>0.92</v>
      </c>
      <c r="AL44" s="22">
        <v>0.92</v>
      </c>
      <c r="AM44" s="22">
        <v>0.92</v>
      </c>
      <c r="AN44" s="22">
        <v>0.92</v>
      </c>
      <c r="AO44" s="22">
        <v>0.92</v>
      </c>
      <c r="AP44" s="22">
        <v>0.92</v>
      </c>
      <c r="AQ44" s="22">
        <v>0.92</v>
      </c>
      <c r="AR44" s="22">
        <v>0.92</v>
      </c>
    </row>
    <row r="45" spans="1:44" x14ac:dyDescent="0.35">
      <c r="B45" t="s">
        <v>71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57">
        <v>1</v>
      </c>
      <c r="N45" s="57">
        <v>1</v>
      </c>
      <c r="O45" s="57">
        <v>1</v>
      </c>
      <c r="P45" s="57">
        <v>1</v>
      </c>
      <c r="Q45" s="57">
        <v>1</v>
      </c>
      <c r="R45" s="57">
        <v>1</v>
      </c>
      <c r="S45" s="57">
        <v>1</v>
      </c>
      <c r="T45" s="57">
        <v>1</v>
      </c>
      <c r="U45" s="57">
        <v>1</v>
      </c>
      <c r="V45" s="57"/>
      <c r="W45" s="57">
        <v>1</v>
      </c>
      <c r="X45" s="57">
        <v>1</v>
      </c>
      <c r="Y45" s="57">
        <v>1</v>
      </c>
      <c r="Z45" s="57">
        <v>1</v>
      </c>
      <c r="AA45" s="57">
        <v>1</v>
      </c>
      <c r="AB45" s="57">
        <v>1</v>
      </c>
      <c r="AC45" s="57">
        <v>1</v>
      </c>
      <c r="AD45" s="57">
        <v>1</v>
      </c>
      <c r="AE45" s="57">
        <v>1</v>
      </c>
      <c r="AF45" s="57">
        <v>1</v>
      </c>
      <c r="AG45" s="57">
        <v>1</v>
      </c>
      <c r="AH45" s="57">
        <v>1</v>
      </c>
      <c r="AI45" s="57">
        <v>1</v>
      </c>
      <c r="AJ45" s="57">
        <v>1</v>
      </c>
      <c r="AK45" s="57">
        <v>1</v>
      </c>
      <c r="AL45" s="57">
        <v>1</v>
      </c>
      <c r="AM45" s="57">
        <v>1</v>
      </c>
      <c r="AN45" s="57">
        <v>1</v>
      </c>
      <c r="AO45" s="57">
        <v>1</v>
      </c>
      <c r="AP45" s="57">
        <v>1</v>
      </c>
      <c r="AQ45" s="57">
        <v>1</v>
      </c>
      <c r="AR45" s="57">
        <v>1</v>
      </c>
    </row>
    <row r="46" spans="1:44" x14ac:dyDescent="0.35">
      <c r="B46" t="s">
        <v>72</v>
      </c>
      <c r="C46" s="18">
        <v>1</v>
      </c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1</v>
      </c>
      <c r="J46" s="18">
        <v>1</v>
      </c>
      <c r="K46" s="18">
        <v>1</v>
      </c>
      <c r="L46" s="18">
        <v>1</v>
      </c>
      <c r="M46" s="57">
        <v>1</v>
      </c>
      <c r="N46" s="57">
        <v>1</v>
      </c>
      <c r="O46" s="57">
        <v>1</v>
      </c>
      <c r="P46" s="57">
        <v>1</v>
      </c>
      <c r="Q46" s="57">
        <v>1</v>
      </c>
      <c r="R46" s="57">
        <v>1</v>
      </c>
      <c r="S46" s="57">
        <v>1</v>
      </c>
      <c r="T46" s="57">
        <v>1</v>
      </c>
      <c r="U46" s="57">
        <v>1</v>
      </c>
      <c r="V46" s="57"/>
      <c r="W46" s="57">
        <v>1</v>
      </c>
      <c r="X46" s="57">
        <v>1</v>
      </c>
      <c r="Y46" s="57">
        <v>1</v>
      </c>
      <c r="Z46" s="57">
        <v>1</v>
      </c>
      <c r="AA46" s="57">
        <v>1</v>
      </c>
      <c r="AB46" s="57">
        <v>1</v>
      </c>
      <c r="AC46" s="57">
        <v>1</v>
      </c>
      <c r="AD46" s="57">
        <v>1</v>
      </c>
      <c r="AE46" s="57">
        <v>1</v>
      </c>
      <c r="AF46" s="57">
        <v>1</v>
      </c>
      <c r="AG46" s="57">
        <v>1</v>
      </c>
      <c r="AH46" s="57">
        <v>1</v>
      </c>
      <c r="AI46" s="57">
        <v>1</v>
      </c>
      <c r="AJ46" s="57">
        <v>1</v>
      </c>
      <c r="AK46" s="57">
        <v>1</v>
      </c>
      <c r="AL46" s="57">
        <v>1</v>
      </c>
      <c r="AM46" s="57">
        <v>1</v>
      </c>
      <c r="AN46" s="57">
        <v>1</v>
      </c>
      <c r="AO46" s="57">
        <v>1</v>
      </c>
      <c r="AP46" s="57">
        <v>1</v>
      </c>
      <c r="AQ46" s="57">
        <v>1</v>
      </c>
      <c r="AR46" s="57">
        <v>1</v>
      </c>
    </row>
    <row r="48" spans="1:44" s="39" customFormat="1" x14ac:dyDescent="0.35">
      <c r="A48" s="38" t="s">
        <v>78</v>
      </c>
    </row>
    <row r="49" spans="1:44" s="73" customFormat="1" x14ac:dyDescent="0.35">
      <c r="B49" s="73" t="s">
        <v>61</v>
      </c>
      <c r="D49" s="74">
        <f t="shared" ref="D49:S60" si="32">D20*D35</f>
        <v>2050946.0000000002</v>
      </c>
      <c r="E49" s="74">
        <f t="shared" si="32"/>
        <v>2082812</v>
      </c>
      <c r="F49" s="74">
        <f t="shared" si="32"/>
        <v>2140436</v>
      </c>
      <c r="G49" s="74">
        <f t="shared" si="32"/>
        <v>2266638</v>
      </c>
      <c r="H49" s="74">
        <f t="shared" si="32"/>
        <v>2231336</v>
      </c>
      <c r="I49" s="74">
        <f t="shared" si="32"/>
        <v>2120840</v>
      </c>
      <c r="J49" s="74">
        <f t="shared" si="32"/>
        <v>2166049.253731343</v>
      </c>
      <c r="K49" s="74">
        <f t="shared" si="32"/>
        <v>2170983.1325301207</v>
      </c>
      <c r="L49" s="74">
        <f t="shared" si="32"/>
        <v>2142270</v>
      </c>
      <c r="M49" s="74">
        <f>M20*M35</f>
        <v>2053372</v>
      </c>
      <c r="N49" s="74">
        <f t="shared" si="32"/>
        <v>2147491.8777777776</v>
      </c>
      <c r="O49" s="74">
        <f t="shared" si="32"/>
        <v>2123362.7555555552</v>
      </c>
      <c r="P49" s="74">
        <f t="shared" si="32"/>
        <v>2099233.6333333333</v>
      </c>
      <c r="Q49" s="74">
        <f t="shared" ref="Q49:AR49" si="33">Q20*Q35 - $B$78</f>
        <v>2075104.5111111109</v>
      </c>
      <c r="R49" s="74">
        <f t="shared" si="33"/>
        <v>2050975.3888888888</v>
      </c>
      <c r="S49" s="74">
        <f t="shared" si="33"/>
        <v>2026846.2666666664</v>
      </c>
      <c r="T49" s="74">
        <f t="shared" si="33"/>
        <v>2002717.1444444442</v>
      </c>
      <c r="U49" s="74">
        <f t="shared" si="33"/>
        <v>1978588.0222222218</v>
      </c>
      <c r="V49" s="74">
        <f>SUM(Q49:U49)</f>
        <v>10134231.333333332</v>
      </c>
      <c r="W49" s="74">
        <f t="shared" si="33"/>
        <v>1954458.9</v>
      </c>
      <c r="X49" s="74">
        <f t="shared" si="33"/>
        <v>1930329.7777777778</v>
      </c>
      <c r="Y49" s="74">
        <f t="shared" si="33"/>
        <v>1882071.5333333332</v>
      </c>
      <c r="Z49" s="74">
        <f t="shared" si="33"/>
        <v>1833813.2888888887</v>
      </c>
      <c r="AA49" s="74">
        <f t="shared" si="33"/>
        <v>1785555.0444444444</v>
      </c>
      <c r="AB49" s="74">
        <f t="shared" si="33"/>
        <v>1737296.7999999998</v>
      </c>
      <c r="AC49" s="74">
        <f t="shared" si="33"/>
        <v>1689038.5555555553</v>
      </c>
      <c r="AD49" s="74">
        <f t="shared" si="33"/>
        <v>1640780.3111111112</v>
      </c>
      <c r="AE49" s="74">
        <f t="shared" si="33"/>
        <v>1592522.0666666667</v>
      </c>
      <c r="AF49" s="74">
        <f t="shared" si="33"/>
        <v>1544263.8222222221</v>
      </c>
      <c r="AG49" s="74">
        <f t="shared" si="33"/>
        <v>1496005.5777777776</v>
      </c>
      <c r="AH49" s="74">
        <f t="shared" si="33"/>
        <v>1447747.3333333333</v>
      </c>
      <c r="AI49" s="74">
        <f t="shared" si="33"/>
        <v>1375359.9666666663</v>
      </c>
      <c r="AJ49" s="74">
        <f t="shared" si="33"/>
        <v>1302972.5999999999</v>
      </c>
      <c r="AK49" s="74">
        <f t="shared" si="33"/>
        <v>1230585.2333333332</v>
      </c>
      <c r="AL49" s="74">
        <f t="shared" si="33"/>
        <v>1158197.8666666665</v>
      </c>
      <c r="AM49" s="74">
        <f t="shared" si="33"/>
        <v>1085810.5</v>
      </c>
      <c r="AN49" s="74">
        <f t="shared" si="33"/>
        <v>1013423.1333333332</v>
      </c>
      <c r="AO49" s="74">
        <f t="shared" si="33"/>
        <v>941035.7666666666</v>
      </c>
      <c r="AP49" s="74">
        <f t="shared" si="33"/>
        <v>868648.39999999991</v>
      </c>
      <c r="AQ49" s="74">
        <f t="shared" si="33"/>
        <v>796261.03333333333</v>
      </c>
      <c r="AR49" s="74">
        <f t="shared" si="33"/>
        <v>723873.66666666663</v>
      </c>
    </row>
    <row r="50" spans="1:44" s="73" customFormat="1" x14ac:dyDescent="0.35">
      <c r="B50" s="73" t="s">
        <v>62</v>
      </c>
      <c r="D50" s="74">
        <f t="shared" si="32"/>
        <v>875362</v>
      </c>
      <c r="E50" s="74">
        <f t="shared" si="32"/>
        <v>602488</v>
      </c>
      <c r="F50" s="74">
        <f t="shared" si="32"/>
        <v>2743509.6</v>
      </c>
      <c r="G50" s="74">
        <f t="shared" si="32"/>
        <v>1360776.6</v>
      </c>
      <c r="H50" s="74">
        <f t="shared" si="32"/>
        <v>1390870.8</v>
      </c>
      <c r="I50" s="74">
        <f t="shared" si="32"/>
        <v>1415350.8</v>
      </c>
      <c r="J50" s="74">
        <f t="shared" si="32"/>
        <v>1395556.1194029851</v>
      </c>
      <c r="K50" s="74">
        <f t="shared" si="32"/>
        <v>1436265.5421686748</v>
      </c>
      <c r="L50" s="74">
        <f t="shared" si="32"/>
        <v>1697437</v>
      </c>
      <c r="M50" s="74">
        <f>M21*M36</f>
        <v>1480354.5999999999</v>
      </c>
      <c r="N50" s="74">
        <f t="shared" si="32"/>
        <v>559419.29</v>
      </c>
      <c r="O50" s="74">
        <f t="shared" si="32"/>
        <v>553133.68000000005</v>
      </c>
      <c r="P50" s="74">
        <f t="shared" si="32"/>
        <v>546848.07000000007</v>
      </c>
      <c r="Q50" s="74">
        <f t="shared" si="32"/>
        <v>540562.46</v>
      </c>
      <c r="R50" s="74">
        <f t="shared" si="32"/>
        <v>534276.85000000009</v>
      </c>
      <c r="S50" s="74">
        <f t="shared" si="32"/>
        <v>527991.24</v>
      </c>
      <c r="T50" s="74">
        <f t="shared" ref="T50:AR60" si="34">T21*T36</f>
        <v>521705.63</v>
      </c>
      <c r="U50" s="74">
        <f t="shared" si="34"/>
        <v>515420.01999999996</v>
      </c>
      <c r="V50" s="74">
        <f t="shared" ref="V50:V60" si="35">SUM(Q50:U50)</f>
        <v>2639956.2000000002</v>
      </c>
      <c r="W50" s="74">
        <f t="shared" si="34"/>
        <v>509134.41000000003</v>
      </c>
      <c r="X50" s="74">
        <f t="shared" si="34"/>
        <v>502848.8</v>
      </c>
      <c r="Y50" s="74">
        <f t="shared" si="34"/>
        <v>490277.58</v>
      </c>
      <c r="Z50" s="74">
        <f t="shared" si="34"/>
        <v>477706.36</v>
      </c>
      <c r="AA50" s="74">
        <f t="shared" si="34"/>
        <v>465135.14</v>
      </c>
      <c r="AB50" s="74">
        <f t="shared" si="34"/>
        <v>452563.92</v>
      </c>
      <c r="AC50" s="74">
        <f t="shared" si="34"/>
        <v>439992.7</v>
      </c>
      <c r="AD50" s="74">
        <f t="shared" si="34"/>
        <v>427421.48000000004</v>
      </c>
      <c r="AE50" s="74">
        <f t="shared" si="34"/>
        <v>414850.26</v>
      </c>
      <c r="AF50" s="74">
        <f t="shared" si="34"/>
        <v>402279.04</v>
      </c>
      <c r="AG50" s="74">
        <f t="shared" si="34"/>
        <v>389707.82000000007</v>
      </c>
      <c r="AH50" s="74">
        <f t="shared" si="34"/>
        <v>377136.60000000003</v>
      </c>
      <c r="AI50" s="74">
        <f t="shared" si="34"/>
        <v>358279.76999999996</v>
      </c>
      <c r="AJ50" s="74">
        <f t="shared" si="34"/>
        <v>339422.94000000006</v>
      </c>
      <c r="AK50" s="74">
        <f t="shared" si="34"/>
        <v>320566.11</v>
      </c>
      <c r="AL50" s="74">
        <f t="shared" si="34"/>
        <v>301709.28000000003</v>
      </c>
      <c r="AM50" s="74">
        <f t="shared" si="34"/>
        <v>282852.45</v>
      </c>
      <c r="AN50" s="74">
        <f t="shared" si="34"/>
        <v>263995.62</v>
      </c>
      <c r="AO50" s="74">
        <f t="shared" si="34"/>
        <v>245138.79</v>
      </c>
      <c r="AP50" s="74">
        <f t="shared" si="34"/>
        <v>226281.96</v>
      </c>
      <c r="AQ50" s="74">
        <f t="shared" si="34"/>
        <v>207425.13</v>
      </c>
      <c r="AR50" s="74">
        <f t="shared" si="34"/>
        <v>188568.30000000002</v>
      </c>
    </row>
    <row r="51" spans="1:44" s="73" customFormat="1" x14ac:dyDescent="0.35">
      <c r="B51" s="73" t="s">
        <v>63</v>
      </c>
      <c r="D51" s="74">
        <f t="shared" si="32"/>
        <v>294153</v>
      </c>
      <c r="E51" s="74">
        <f t="shared" si="32"/>
        <v>624520</v>
      </c>
      <c r="F51" s="74">
        <f>F22*F37</f>
        <v>899467.20000000007</v>
      </c>
      <c r="G51" s="74">
        <f t="shared" si="32"/>
        <v>1554864</v>
      </c>
      <c r="H51" s="74">
        <f t="shared" si="32"/>
        <v>1311702</v>
      </c>
      <c r="I51" s="74">
        <f t="shared" si="32"/>
        <v>1540066</v>
      </c>
      <c r="J51" s="74">
        <f t="shared" si="32"/>
        <v>1370210.4477611938</v>
      </c>
      <c r="K51" s="74">
        <f t="shared" si="32"/>
        <v>1138807.2289156627</v>
      </c>
      <c r="L51" s="74">
        <f t="shared" si="32"/>
        <v>1318490</v>
      </c>
      <c r="M51" s="74">
        <f t="shared" si="32"/>
        <v>1181995</v>
      </c>
      <c r="N51" s="74">
        <f t="shared" si="32"/>
        <v>746517.76000000013</v>
      </c>
      <c r="O51" s="74">
        <f t="shared" si="32"/>
        <v>922662.40000000002</v>
      </c>
      <c r="P51" s="74">
        <f t="shared" si="32"/>
        <v>912177.6</v>
      </c>
      <c r="Q51" s="74">
        <f>Q22*Q37</f>
        <v>901692.79999999993</v>
      </c>
      <c r="R51" s="74">
        <f t="shared" si="32"/>
        <v>891208</v>
      </c>
      <c r="S51" s="74">
        <f>S22*S37</f>
        <v>880723.2</v>
      </c>
      <c r="T51" s="74">
        <f t="shared" si="34"/>
        <v>870238.39999999991</v>
      </c>
      <c r="U51" s="74">
        <f t="shared" si="34"/>
        <v>859753.6</v>
      </c>
      <c r="V51" s="74">
        <f t="shared" si="35"/>
        <v>4403616</v>
      </c>
      <c r="W51" s="74">
        <f t="shared" si="34"/>
        <v>849268.8</v>
      </c>
      <c r="X51" s="74">
        <f t="shared" si="34"/>
        <v>419392</v>
      </c>
      <c r="Y51" s="74">
        <f t="shared" si="34"/>
        <v>408907.2</v>
      </c>
      <c r="Z51" s="74">
        <f t="shared" si="34"/>
        <v>398422.4</v>
      </c>
      <c r="AA51" s="74">
        <f t="shared" si="34"/>
        <v>387937.6</v>
      </c>
      <c r="AB51" s="74">
        <f t="shared" si="34"/>
        <v>377452.79999999999</v>
      </c>
      <c r="AC51" s="74">
        <f t="shared" si="34"/>
        <v>366968</v>
      </c>
      <c r="AD51" s="74">
        <f t="shared" si="34"/>
        <v>356483.2</v>
      </c>
      <c r="AE51" s="74">
        <f t="shared" si="34"/>
        <v>345998.4</v>
      </c>
      <c r="AF51" s="74">
        <f t="shared" si="34"/>
        <v>335513.60000000003</v>
      </c>
      <c r="AG51" s="74">
        <f t="shared" si="34"/>
        <v>325028.8</v>
      </c>
      <c r="AH51" s="74">
        <f t="shared" si="34"/>
        <v>0</v>
      </c>
      <c r="AI51" s="74">
        <f t="shared" si="34"/>
        <v>0</v>
      </c>
      <c r="AJ51" s="74">
        <f t="shared" si="34"/>
        <v>0</v>
      </c>
      <c r="AK51" s="74">
        <f t="shared" si="34"/>
        <v>0</v>
      </c>
      <c r="AL51" s="74">
        <f t="shared" si="34"/>
        <v>0</v>
      </c>
      <c r="AM51" s="74">
        <f t="shared" si="34"/>
        <v>0</v>
      </c>
      <c r="AN51" s="74">
        <f t="shared" si="34"/>
        <v>0</v>
      </c>
      <c r="AO51" s="74">
        <f t="shared" si="34"/>
        <v>0</v>
      </c>
      <c r="AP51" s="74">
        <f t="shared" si="34"/>
        <v>0</v>
      </c>
      <c r="AQ51" s="74">
        <f t="shared" si="34"/>
        <v>0</v>
      </c>
      <c r="AR51" s="74">
        <f t="shared" si="34"/>
        <v>0</v>
      </c>
    </row>
    <row r="52" spans="1:44" s="73" customFormat="1" x14ac:dyDescent="0.35">
      <c r="B52" s="73" t="s">
        <v>64</v>
      </c>
      <c r="D52" s="74">
        <f t="shared" si="32"/>
        <v>0</v>
      </c>
      <c r="E52" s="74">
        <f t="shared" si="32"/>
        <v>0</v>
      </c>
      <c r="F52" s="74">
        <f t="shared" si="32"/>
        <v>0</v>
      </c>
      <c r="G52" s="74">
        <f t="shared" si="32"/>
        <v>0</v>
      </c>
      <c r="H52" s="74">
        <f t="shared" si="32"/>
        <v>0</v>
      </c>
      <c r="I52" s="74">
        <f t="shared" si="32"/>
        <v>0</v>
      </c>
      <c r="J52" s="74">
        <f t="shared" si="32"/>
        <v>0</v>
      </c>
      <c r="K52" s="74">
        <f t="shared" si="32"/>
        <v>0</v>
      </c>
      <c r="L52" s="74">
        <f t="shared" si="32"/>
        <v>0</v>
      </c>
      <c r="M52" s="74">
        <f t="shared" si="32"/>
        <v>0</v>
      </c>
      <c r="N52" s="74">
        <f t="shared" si="32"/>
        <v>0</v>
      </c>
      <c r="O52" s="74">
        <f t="shared" si="32"/>
        <v>0</v>
      </c>
      <c r="P52" s="74">
        <f t="shared" si="32"/>
        <v>0</v>
      </c>
      <c r="Q52" s="74">
        <f t="shared" si="32"/>
        <v>0</v>
      </c>
      <c r="R52" s="74">
        <f t="shared" si="32"/>
        <v>0</v>
      </c>
      <c r="S52" s="74">
        <f t="shared" si="32"/>
        <v>0</v>
      </c>
      <c r="T52" s="74">
        <f t="shared" si="34"/>
        <v>0</v>
      </c>
      <c r="U52" s="74">
        <f t="shared" si="34"/>
        <v>0</v>
      </c>
      <c r="V52" s="74">
        <f t="shared" si="35"/>
        <v>0</v>
      </c>
      <c r="W52" s="74">
        <f t="shared" si="34"/>
        <v>0</v>
      </c>
      <c r="X52" s="74">
        <f>X23*X38</f>
        <v>0</v>
      </c>
      <c r="Y52" s="74">
        <f t="shared" si="34"/>
        <v>0</v>
      </c>
      <c r="Z52" s="74">
        <f t="shared" si="34"/>
        <v>0</v>
      </c>
      <c r="AA52" s="74">
        <f t="shared" si="34"/>
        <v>0</v>
      </c>
      <c r="AB52" s="74">
        <f t="shared" si="34"/>
        <v>0</v>
      </c>
      <c r="AC52" s="74">
        <f t="shared" si="34"/>
        <v>0</v>
      </c>
      <c r="AD52" s="74">
        <f t="shared" si="34"/>
        <v>0</v>
      </c>
      <c r="AE52" s="74">
        <f t="shared" si="34"/>
        <v>0</v>
      </c>
      <c r="AF52" s="74">
        <f t="shared" si="34"/>
        <v>0</v>
      </c>
      <c r="AG52" s="74">
        <f t="shared" si="34"/>
        <v>0</v>
      </c>
      <c r="AH52" s="74">
        <f t="shared" si="34"/>
        <v>0</v>
      </c>
      <c r="AI52" s="74">
        <f t="shared" si="34"/>
        <v>0</v>
      </c>
      <c r="AJ52" s="74">
        <f t="shared" si="34"/>
        <v>0</v>
      </c>
      <c r="AK52" s="74">
        <f t="shared" si="34"/>
        <v>0</v>
      </c>
      <c r="AL52" s="74">
        <f t="shared" si="34"/>
        <v>0</v>
      </c>
      <c r="AM52" s="74">
        <f t="shared" si="34"/>
        <v>0</v>
      </c>
      <c r="AN52" s="74">
        <f t="shared" si="34"/>
        <v>0</v>
      </c>
      <c r="AO52" s="74">
        <f t="shared" si="34"/>
        <v>0</v>
      </c>
      <c r="AP52" s="74">
        <f t="shared" si="34"/>
        <v>0</v>
      </c>
      <c r="AQ52" s="74">
        <f t="shared" si="34"/>
        <v>0</v>
      </c>
      <c r="AR52" s="74">
        <f t="shared" si="34"/>
        <v>0</v>
      </c>
    </row>
    <row r="53" spans="1:44" s="73" customFormat="1" x14ac:dyDescent="0.35">
      <c r="B53" s="73" t="s">
        <v>65</v>
      </c>
      <c r="D53" s="74">
        <f t="shared" si="32"/>
        <v>1080448</v>
      </c>
      <c r="E53" s="74">
        <f t="shared" si="32"/>
        <v>1126974</v>
      </c>
      <c r="F53" s="74">
        <f t="shared" si="32"/>
        <v>1194816</v>
      </c>
      <c r="G53" s="74">
        <f t="shared" si="32"/>
        <v>1296520</v>
      </c>
      <c r="H53" s="74">
        <f t="shared" si="32"/>
        <v>1342968</v>
      </c>
      <c r="I53" s="74">
        <f t="shared" si="32"/>
        <v>1098248</v>
      </c>
      <c r="J53" s="74">
        <f t="shared" si="32"/>
        <v>966774.62686567171</v>
      </c>
      <c r="K53" s="74">
        <f t="shared" si="32"/>
        <v>884862.65060240962</v>
      </c>
      <c r="L53" s="74">
        <f t="shared" si="32"/>
        <v>867222</v>
      </c>
      <c r="M53" s="74">
        <f t="shared" si="32"/>
        <v>790640</v>
      </c>
      <c r="N53" s="74">
        <f t="shared" si="32"/>
        <v>857449.73333333328</v>
      </c>
      <c r="O53" s="74">
        <f t="shared" si="32"/>
        <v>847815.46666666667</v>
      </c>
      <c r="P53" s="74">
        <f t="shared" si="32"/>
        <v>838181.2</v>
      </c>
      <c r="Q53" s="74">
        <f t="shared" si="32"/>
        <v>828546.93333333323</v>
      </c>
      <c r="R53" s="74">
        <f t="shared" si="32"/>
        <v>818912.66666666663</v>
      </c>
      <c r="S53" s="74">
        <f t="shared" si="32"/>
        <v>809278.39999999991</v>
      </c>
      <c r="T53" s="74">
        <f t="shared" si="34"/>
        <v>799644.1333333333</v>
      </c>
      <c r="U53" s="74">
        <f t="shared" si="34"/>
        <v>790009.86666666658</v>
      </c>
      <c r="V53" s="74">
        <f t="shared" si="35"/>
        <v>4046392</v>
      </c>
      <c r="W53" s="74">
        <f t="shared" si="34"/>
        <v>780375.6</v>
      </c>
      <c r="X53" s="74">
        <f t="shared" si="34"/>
        <v>770741.33333333337</v>
      </c>
      <c r="Y53" s="74">
        <f t="shared" si="34"/>
        <v>751472.8</v>
      </c>
      <c r="Z53" s="74">
        <f t="shared" si="34"/>
        <v>732204.2666666666</v>
      </c>
      <c r="AA53" s="74">
        <f t="shared" si="34"/>
        <v>712935.73333333328</v>
      </c>
      <c r="AB53" s="74">
        <f t="shared" si="34"/>
        <v>693667.2</v>
      </c>
      <c r="AC53" s="74">
        <f t="shared" si="34"/>
        <v>674398.66666666663</v>
      </c>
      <c r="AD53" s="74">
        <f t="shared" si="34"/>
        <v>655130.1333333333</v>
      </c>
      <c r="AE53" s="74">
        <f t="shared" si="34"/>
        <v>635861.6</v>
      </c>
      <c r="AF53" s="74">
        <f t="shared" si="34"/>
        <v>616593.06666666665</v>
      </c>
      <c r="AG53" s="74">
        <f t="shared" si="34"/>
        <v>597324.53333333333</v>
      </c>
      <c r="AH53" s="74">
        <f t="shared" si="34"/>
        <v>578056</v>
      </c>
      <c r="AI53" s="74">
        <f t="shared" si="34"/>
        <v>549153.19999999995</v>
      </c>
      <c r="AJ53" s="74">
        <f t="shared" si="34"/>
        <v>520250.4</v>
      </c>
      <c r="AK53" s="74">
        <f t="shared" si="34"/>
        <v>491347.6</v>
      </c>
      <c r="AL53" s="74">
        <f t="shared" si="34"/>
        <v>462444.79999999999</v>
      </c>
      <c r="AM53" s="74">
        <f t="shared" si="34"/>
        <v>433542</v>
      </c>
      <c r="AN53" s="74">
        <f t="shared" si="34"/>
        <v>404639.19999999995</v>
      </c>
      <c r="AO53" s="74">
        <f t="shared" si="34"/>
        <v>375736.4</v>
      </c>
      <c r="AP53" s="74">
        <f t="shared" si="34"/>
        <v>346833.6</v>
      </c>
      <c r="AQ53" s="74">
        <f t="shared" si="34"/>
        <v>317930.8</v>
      </c>
      <c r="AR53" s="74">
        <f t="shared" si="34"/>
        <v>289028</v>
      </c>
    </row>
    <row r="54" spans="1:44" s="73" customFormat="1" x14ac:dyDescent="0.35">
      <c r="B54" s="73" t="s">
        <v>66</v>
      </c>
      <c r="D54" s="74">
        <f t="shared" si="32"/>
        <v>239455.99999999997</v>
      </c>
      <c r="E54" s="74">
        <f t="shared" si="32"/>
        <v>286130</v>
      </c>
      <c r="F54" s="74">
        <f t="shared" si="32"/>
        <v>328722</v>
      </c>
      <c r="G54" s="74">
        <f t="shared" si="32"/>
        <v>396938</v>
      </c>
      <c r="H54" s="74">
        <f t="shared" si="32"/>
        <v>347812</v>
      </c>
      <c r="I54" s="74">
        <f t="shared" si="32"/>
        <v>319360</v>
      </c>
      <c r="J54" s="74">
        <f t="shared" si="32"/>
        <v>371732.8358208955</v>
      </c>
      <c r="K54" s="74">
        <f t="shared" si="32"/>
        <v>392281.92771084339</v>
      </c>
      <c r="L54" s="74">
        <f t="shared" si="32"/>
        <v>330233</v>
      </c>
      <c r="M54" s="74">
        <f t="shared" si="32"/>
        <v>349257</v>
      </c>
      <c r="N54" s="74">
        <f t="shared" si="32"/>
        <v>318277.84444444446</v>
      </c>
      <c r="O54" s="74">
        <f t="shared" si="32"/>
        <v>314701.68888888892</v>
      </c>
      <c r="P54" s="74">
        <f t="shared" si="32"/>
        <v>311125.53333333333</v>
      </c>
      <c r="Q54" s="74">
        <f t="shared" si="32"/>
        <v>307549.37777777779</v>
      </c>
      <c r="R54" s="74">
        <f t="shared" si="32"/>
        <v>303973.22222222225</v>
      </c>
      <c r="S54" s="74">
        <f t="shared" si="32"/>
        <v>300397.06666666665</v>
      </c>
      <c r="T54" s="74">
        <f t="shared" si="34"/>
        <v>296820.91111111111</v>
      </c>
      <c r="U54" s="74">
        <f t="shared" si="34"/>
        <v>293244.75555555552</v>
      </c>
      <c r="V54" s="74">
        <f t="shared" si="35"/>
        <v>1501985.3333333333</v>
      </c>
      <c r="W54" s="74">
        <f t="shared" si="34"/>
        <v>289668.60000000003</v>
      </c>
      <c r="X54" s="74">
        <f t="shared" si="34"/>
        <v>286092.44444444444</v>
      </c>
      <c r="Y54" s="74">
        <f t="shared" si="34"/>
        <v>278940.13333333336</v>
      </c>
      <c r="Z54" s="74">
        <f t="shared" si="34"/>
        <v>271787.82222222222</v>
      </c>
      <c r="AA54" s="74">
        <f t="shared" si="34"/>
        <v>264635.51111111109</v>
      </c>
      <c r="AB54" s="74">
        <f t="shared" si="34"/>
        <v>257483.19999999998</v>
      </c>
      <c r="AC54" s="74">
        <f t="shared" si="34"/>
        <v>250330.88888888888</v>
      </c>
      <c r="AD54" s="74">
        <f t="shared" si="34"/>
        <v>243178.5777777778</v>
      </c>
      <c r="AE54" s="74">
        <f t="shared" si="34"/>
        <v>236026.26666666669</v>
      </c>
      <c r="AF54" s="74">
        <f t="shared" si="34"/>
        <v>228873.95555555556</v>
      </c>
      <c r="AG54" s="74">
        <f t="shared" si="34"/>
        <v>221721.64444444445</v>
      </c>
      <c r="AH54" s="74">
        <f t="shared" si="34"/>
        <v>214569.33333333334</v>
      </c>
      <c r="AI54" s="74">
        <f t="shared" si="34"/>
        <v>203840.86666666664</v>
      </c>
      <c r="AJ54" s="74">
        <f t="shared" si="34"/>
        <v>193112.40000000002</v>
      </c>
      <c r="AK54" s="74">
        <f t="shared" si="34"/>
        <v>182383.93333333335</v>
      </c>
      <c r="AL54" s="74">
        <f t="shared" si="34"/>
        <v>171655.46666666667</v>
      </c>
      <c r="AM54" s="74">
        <f t="shared" si="34"/>
        <v>160927</v>
      </c>
      <c r="AN54" s="74">
        <f t="shared" si="34"/>
        <v>150198.53333333333</v>
      </c>
      <c r="AO54" s="74">
        <f t="shared" si="34"/>
        <v>139470.06666666668</v>
      </c>
      <c r="AP54" s="74">
        <f t="shared" si="34"/>
        <v>128741.59999999999</v>
      </c>
      <c r="AQ54" s="74">
        <f t="shared" si="34"/>
        <v>118013.13333333335</v>
      </c>
      <c r="AR54" s="74">
        <f t="shared" si="34"/>
        <v>107284.66666666667</v>
      </c>
    </row>
    <row r="55" spans="1:44" s="73" customFormat="1" x14ac:dyDescent="0.35">
      <c r="B55" s="73" t="s">
        <v>67</v>
      </c>
      <c r="D55" s="74">
        <f t="shared" si="32"/>
        <v>44712</v>
      </c>
      <c r="E55" s="74">
        <f t="shared" si="32"/>
        <v>52360</v>
      </c>
      <c r="F55" s="74">
        <f t="shared" si="32"/>
        <v>57524.000000000007</v>
      </c>
      <c r="G55" s="74">
        <f t="shared" si="32"/>
        <v>53878</v>
      </c>
      <c r="H55" s="74">
        <f t="shared" si="32"/>
        <v>62634</v>
      </c>
      <c r="I55" s="74">
        <f t="shared" si="32"/>
        <v>64282</v>
      </c>
      <c r="J55" s="74">
        <f t="shared" si="32"/>
        <v>65150.746268656716</v>
      </c>
      <c r="K55" s="74">
        <f t="shared" si="32"/>
        <v>61040.963855421694</v>
      </c>
      <c r="L55" s="74">
        <f t="shared" si="32"/>
        <v>57190</v>
      </c>
      <c r="M55" s="74">
        <f t="shared" si="32"/>
        <v>59209</v>
      </c>
      <c r="N55" s="74">
        <f t="shared" si="32"/>
        <v>56753.083333333336</v>
      </c>
      <c r="O55" s="74">
        <f t="shared" si="32"/>
        <v>55791.166666666664</v>
      </c>
      <c r="P55" s="74">
        <f t="shared" si="32"/>
        <v>54829.25</v>
      </c>
      <c r="Q55" s="74">
        <f t="shared" si="32"/>
        <v>53867.333333333343</v>
      </c>
      <c r="R55" s="74">
        <f t="shared" si="32"/>
        <v>52905.416666666672</v>
      </c>
      <c r="S55" s="74">
        <f t="shared" si="32"/>
        <v>51943.500000000007</v>
      </c>
      <c r="T55" s="74">
        <f t="shared" si="34"/>
        <v>50981.583333333336</v>
      </c>
      <c r="U55" s="74">
        <f t="shared" si="34"/>
        <v>50019.666666666672</v>
      </c>
      <c r="V55" s="74">
        <f t="shared" si="35"/>
        <v>259717.50000000006</v>
      </c>
      <c r="W55" s="74">
        <f t="shared" si="34"/>
        <v>49057.75</v>
      </c>
      <c r="X55" s="74">
        <f t="shared" si="34"/>
        <v>48095.833333333336</v>
      </c>
      <c r="Y55" s="74">
        <f t="shared" si="34"/>
        <v>46172</v>
      </c>
      <c r="Z55" s="74">
        <f t="shared" si="34"/>
        <v>44248.166666666672</v>
      </c>
      <c r="AA55" s="74">
        <f t="shared" si="34"/>
        <v>42324.333333333336</v>
      </c>
      <c r="AB55" s="74">
        <f t="shared" si="34"/>
        <v>40400.5</v>
      </c>
      <c r="AC55" s="74">
        <f t="shared" si="34"/>
        <v>38476.666666666672</v>
      </c>
      <c r="AD55" s="74">
        <f t="shared" si="34"/>
        <v>36552.833333333336</v>
      </c>
      <c r="AE55" s="74">
        <f t="shared" si="34"/>
        <v>34629</v>
      </c>
      <c r="AF55" s="74">
        <f t="shared" si="34"/>
        <v>32705.166666666672</v>
      </c>
      <c r="AG55" s="74">
        <f t="shared" si="34"/>
        <v>30781.333333333336</v>
      </c>
      <c r="AH55" s="74">
        <f t="shared" si="34"/>
        <v>28857.5</v>
      </c>
      <c r="AI55" s="74">
        <f t="shared" si="34"/>
        <v>25971.750000000004</v>
      </c>
      <c r="AJ55" s="74">
        <f t="shared" si="34"/>
        <v>23086</v>
      </c>
      <c r="AK55" s="74">
        <f t="shared" si="34"/>
        <v>20200.25</v>
      </c>
      <c r="AL55" s="74">
        <f t="shared" si="34"/>
        <v>17314.5</v>
      </c>
      <c r="AM55" s="74">
        <f t="shared" si="34"/>
        <v>14428.75</v>
      </c>
      <c r="AN55" s="74">
        <f t="shared" si="34"/>
        <v>11543</v>
      </c>
      <c r="AO55" s="74">
        <f t="shared" si="34"/>
        <v>8657.25</v>
      </c>
      <c r="AP55" s="74">
        <f t="shared" si="34"/>
        <v>5771.5</v>
      </c>
      <c r="AQ55" s="74">
        <f t="shared" si="34"/>
        <v>2885.75</v>
      </c>
      <c r="AR55" s="74">
        <f t="shared" si="34"/>
        <v>0</v>
      </c>
    </row>
    <row r="56" spans="1:44" s="73" customFormat="1" x14ac:dyDescent="0.35">
      <c r="B56" s="73" t="s">
        <v>68</v>
      </c>
      <c r="D56" s="74">
        <f t="shared" si="32"/>
        <v>126526</v>
      </c>
      <c r="E56" s="74">
        <f t="shared" si="32"/>
        <v>103578</v>
      </c>
      <c r="F56" s="74">
        <f t="shared" si="32"/>
        <v>105448.00000000001</v>
      </c>
      <c r="G56" s="74">
        <f t="shared" si="32"/>
        <v>119494</v>
      </c>
      <c r="H56" s="74">
        <f t="shared" si="32"/>
        <v>121324</v>
      </c>
      <c r="I56" s="74">
        <f t="shared" si="32"/>
        <v>122374</v>
      </c>
      <c r="J56" s="74">
        <f t="shared" si="32"/>
        <v>115540.29850746268</v>
      </c>
      <c r="K56" s="74">
        <f t="shared" si="32"/>
        <v>113991.56626506026</v>
      </c>
      <c r="L56" s="74">
        <f t="shared" si="32"/>
        <v>112871</v>
      </c>
      <c r="M56" s="74">
        <f t="shared" si="32"/>
        <v>111924</v>
      </c>
      <c r="N56" s="74">
        <f t="shared" si="32"/>
        <v>112466.78333333334</v>
      </c>
      <c r="O56" s="74">
        <f t="shared" si="32"/>
        <v>110560.56666666667</v>
      </c>
      <c r="P56" s="74">
        <f t="shared" si="32"/>
        <v>108654.35</v>
      </c>
      <c r="Q56" s="74">
        <f t="shared" si="32"/>
        <v>106748.13333333336</v>
      </c>
      <c r="R56" s="74">
        <f t="shared" si="32"/>
        <v>104841.91666666669</v>
      </c>
      <c r="S56" s="74">
        <f t="shared" si="32"/>
        <v>102935.70000000001</v>
      </c>
      <c r="T56" s="74">
        <f t="shared" si="34"/>
        <v>101029.48333333335</v>
      </c>
      <c r="U56" s="74">
        <f t="shared" si="34"/>
        <v>99123.266666666677</v>
      </c>
      <c r="V56" s="74">
        <f t="shared" si="35"/>
        <v>514678.50000000006</v>
      </c>
      <c r="W56" s="74">
        <f t="shared" si="34"/>
        <v>97217.050000000017</v>
      </c>
      <c r="X56" s="74">
        <f t="shared" si="34"/>
        <v>95310.833333333343</v>
      </c>
      <c r="Y56" s="74">
        <f t="shared" si="34"/>
        <v>91498.400000000009</v>
      </c>
      <c r="Z56" s="74">
        <f t="shared" si="34"/>
        <v>87685.966666666674</v>
      </c>
      <c r="AA56" s="74">
        <f t="shared" si="34"/>
        <v>83873.53333333334</v>
      </c>
      <c r="AB56" s="74">
        <f t="shared" si="34"/>
        <v>80061.100000000006</v>
      </c>
      <c r="AC56" s="74">
        <f t="shared" si="34"/>
        <v>76248.666666666672</v>
      </c>
      <c r="AD56" s="74">
        <f t="shared" si="34"/>
        <v>72436.233333333337</v>
      </c>
      <c r="AE56" s="74">
        <f t="shared" si="34"/>
        <v>68623.8</v>
      </c>
      <c r="AF56" s="74">
        <f t="shared" si="34"/>
        <v>64811.366666666676</v>
      </c>
      <c r="AG56" s="74">
        <f t="shared" si="34"/>
        <v>60998.933333333342</v>
      </c>
      <c r="AH56" s="74">
        <f t="shared" si="34"/>
        <v>57186.500000000007</v>
      </c>
      <c r="AI56" s="74">
        <f t="shared" si="34"/>
        <v>51467.850000000006</v>
      </c>
      <c r="AJ56" s="74">
        <f t="shared" si="34"/>
        <v>45749.200000000004</v>
      </c>
      <c r="AK56" s="74">
        <f t="shared" si="34"/>
        <v>40030.550000000003</v>
      </c>
      <c r="AL56" s="74">
        <f t="shared" si="34"/>
        <v>34311.9</v>
      </c>
      <c r="AM56" s="74">
        <f t="shared" si="34"/>
        <v>28593.250000000004</v>
      </c>
      <c r="AN56" s="74">
        <f t="shared" si="34"/>
        <v>22874.600000000002</v>
      </c>
      <c r="AO56" s="74">
        <f t="shared" si="34"/>
        <v>17155.95</v>
      </c>
      <c r="AP56" s="74">
        <f t="shared" si="34"/>
        <v>11437.300000000001</v>
      </c>
      <c r="AQ56" s="74">
        <f t="shared" si="34"/>
        <v>5718.6500000000005</v>
      </c>
      <c r="AR56" s="74">
        <f t="shared" si="34"/>
        <v>0</v>
      </c>
    </row>
    <row r="57" spans="1:44" s="73" customFormat="1" x14ac:dyDescent="0.35">
      <c r="B57" s="73" t="s">
        <v>69</v>
      </c>
      <c r="D57" s="74">
        <f t="shared" si="32"/>
        <v>93898.000000000015</v>
      </c>
      <c r="E57" s="74">
        <f t="shared" si="32"/>
        <v>93854</v>
      </c>
      <c r="F57" s="74">
        <f t="shared" si="32"/>
        <v>93734</v>
      </c>
      <c r="G57" s="74">
        <f t="shared" si="32"/>
        <v>106740</v>
      </c>
      <c r="H57" s="74">
        <f t="shared" si="32"/>
        <v>114176</v>
      </c>
      <c r="I57" s="74">
        <f t="shared" si="32"/>
        <v>107548.00000000001</v>
      </c>
      <c r="J57" s="74">
        <f t="shared" si="32"/>
        <v>102328.35820895522</v>
      </c>
      <c r="K57" s="74">
        <f t="shared" si="32"/>
        <v>110893.97590361447</v>
      </c>
      <c r="L57" s="74">
        <f t="shared" si="32"/>
        <v>112534.00000000001</v>
      </c>
      <c r="M57" s="74">
        <f t="shared" si="32"/>
        <v>95950.000000000015</v>
      </c>
      <c r="N57" s="74">
        <f t="shared" si="32"/>
        <v>87052.53333333334</v>
      </c>
      <c r="O57" s="74">
        <f t="shared" si="32"/>
        <v>85577.066666666666</v>
      </c>
      <c r="P57" s="74">
        <f t="shared" si="32"/>
        <v>84101.6</v>
      </c>
      <c r="Q57" s="74">
        <f t="shared" si="32"/>
        <v>82626.133333333346</v>
      </c>
      <c r="R57" s="74">
        <f t="shared" si="32"/>
        <v>81150.666666666686</v>
      </c>
      <c r="S57" s="74">
        <f t="shared" si="32"/>
        <v>79675.200000000012</v>
      </c>
      <c r="T57" s="74">
        <f t="shared" si="34"/>
        <v>78199.733333333352</v>
      </c>
      <c r="U57" s="74">
        <f t="shared" si="34"/>
        <v>76724.266666666677</v>
      </c>
      <c r="V57" s="74">
        <f t="shared" si="35"/>
        <v>398376.00000000006</v>
      </c>
      <c r="W57" s="74">
        <f t="shared" si="34"/>
        <v>75248.800000000017</v>
      </c>
      <c r="X57" s="74">
        <f t="shared" si="34"/>
        <v>73773.333333333343</v>
      </c>
      <c r="Y57" s="74">
        <f t="shared" si="34"/>
        <v>70822.400000000009</v>
      </c>
      <c r="Z57" s="74">
        <f t="shared" si="34"/>
        <v>67871.466666666674</v>
      </c>
      <c r="AA57" s="74">
        <f t="shared" si="34"/>
        <v>64920.53333333334</v>
      </c>
      <c r="AB57" s="74">
        <f t="shared" si="34"/>
        <v>61969.600000000006</v>
      </c>
      <c r="AC57" s="74">
        <f t="shared" si="34"/>
        <v>59018.666666666679</v>
      </c>
      <c r="AD57" s="74">
        <f t="shared" si="34"/>
        <v>56067.733333333344</v>
      </c>
      <c r="AE57" s="74">
        <f t="shared" si="34"/>
        <v>53116.800000000003</v>
      </c>
      <c r="AF57" s="74">
        <f t="shared" si="34"/>
        <v>50165.866666666676</v>
      </c>
      <c r="AG57" s="74">
        <f t="shared" si="34"/>
        <v>47214.933333333342</v>
      </c>
      <c r="AH57" s="74">
        <f t="shared" si="34"/>
        <v>44264.000000000007</v>
      </c>
      <c r="AI57" s="74">
        <f t="shared" si="34"/>
        <v>39837.600000000006</v>
      </c>
      <c r="AJ57" s="74">
        <f t="shared" si="34"/>
        <v>35411.200000000004</v>
      </c>
      <c r="AK57" s="74">
        <f t="shared" si="34"/>
        <v>30984.800000000003</v>
      </c>
      <c r="AL57" s="74">
        <f t="shared" si="34"/>
        <v>26558.400000000001</v>
      </c>
      <c r="AM57" s="74">
        <f t="shared" si="34"/>
        <v>22132.000000000004</v>
      </c>
      <c r="AN57" s="74">
        <f t="shared" si="34"/>
        <v>17705.600000000002</v>
      </c>
      <c r="AO57" s="74">
        <f t="shared" si="34"/>
        <v>13279.2</v>
      </c>
      <c r="AP57" s="74">
        <f t="shared" si="34"/>
        <v>8852.8000000000011</v>
      </c>
      <c r="AQ57" s="74">
        <f t="shared" si="34"/>
        <v>4426.4000000000005</v>
      </c>
      <c r="AR57" s="74">
        <f t="shared" si="34"/>
        <v>0</v>
      </c>
    </row>
    <row r="58" spans="1:44" s="73" customFormat="1" x14ac:dyDescent="0.35">
      <c r="B58" s="73" t="s">
        <v>70</v>
      </c>
      <c r="D58" s="74">
        <f t="shared" si="32"/>
        <v>1593548</v>
      </c>
      <c r="E58" s="74">
        <f t="shared" si="32"/>
        <v>1543256</v>
      </c>
      <c r="F58" s="74">
        <f t="shared" si="32"/>
        <v>1274837.4000000001</v>
      </c>
      <c r="G58" s="74">
        <f t="shared" si="32"/>
        <v>1270760.4000000001</v>
      </c>
      <c r="H58" s="74">
        <f t="shared" si="32"/>
        <v>1272708</v>
      </c>
      <c r="I58" s="74">
        <f t="shared" si="32"/>
        <v>1293345</v>
      </c>
      <c r="J58" s="74">
        <f t="shared" si="32"/>
        <v>1278628.6567164178</v>
      </c>
      <c r="K58" s="74">
        <f t="shared" si="32"/>
        <v>1270315.3012048195</v>
      </c>
      <c r="L58" s="74">
        <f t="shared" si="32"/>
        <v>1270447.2</v>
      </c>
      <c r="M58" s="74">
        <f t="shared" si="32"/>
        <v>0</v>
      </c>
      <c r="N58" s="74">
        <f t="shared" si="32"/>
        <v>957021.60822222219</v>
      </c>
      <c r="O58" s="74">
        <f t="shared" si="32"/>
        <v>1061667.1608888889</v>
      </c>
      <c r="P58" s="74">
        <f t="shared" si="32"/>
        <v>1049602.7613333333</v>
      </c>
      <c r="Q58" s="74">
        <f t="shared" si="32"/>
        <v>1037538.3617777779</v>
      </c>
      <c r="R58" s="74">
        <f t="shared" si="32"/>
        <v>1025473.9622222221</v>
      </c>
      <c r="S58" s="74">
        <f t="shared" si="32"/>
        <v>1013409.5626666667</v>
      </c>
      <c r="T58" s="74">
        <f t="shared" si="34"/>
        <v>1001345.1631111111</v>
      </c>
      <c r="U58" s="74">
        <f t="shared" si="34"/>
        <v>989280.76355555549</v>
      </c>
      <c r="V58" s="74">
        <f t="shared" si="35"/>
        <v>5067047.8133333335</v>
      </c>
      <c r="W58" s="74">
        <f t="shared" si="34"/>
        <v>977216.36399999994</v>
      </c>
      <c r="X58" s="74">
        <f t="shared" si="34"/>
        <v>965151.96444444451</v>
      </c>
      <c r="Y58" s="74">
        <f t="shared" si="34"/>
        <v>941023.16533333343</v>
      </c>
      <c r="Z58" s="74">
        <f t="shared" si="34"/>
        <v>916894.36622222222</v>
      </c>
      <c r="AA58" s="74">
        <f t="shared" si="34"/>
        <v>892765.56711111113</v>
      </c>
      <c r="AB58" s="74">
        <f t="shared" si="34"/>
        <v>868636.76799999992</v>
      </c>
      <c r="AC58" s="74">
        <f t="shared" si="34"/>
        <v>844507.96888888883</v>
      </c>
      <c r="AD58" s="74">
        <f t="shared" si="34"/>
        <v>820379.16977777786</v>
      </c>
      <c r="AE58" s="74">
        <f t="shared" si="34"/>
        <v>796250.37066666665</v>
      </c>
      <c r="AF58" s="74">
        <f t="shared" si="34"/>
        <v>772121.57155555557</v>
      </c>
      <c r="AG58" s="74">
        <f t="shared" si="34"/>
        <v>747992.77244444436</v>
      </c>
      <c r="AH58" s="74">
        <f t="shared" si="34"/>
        <v>723863.97333333339</v>
      </c>
      <c r="AI58" s="74">
        <f t="shared" si="34"/>
        <v>687670.77466666664</v>
      </c>
      <c r="AJ58" s="74">
        <f t="shared" si="34"/>
        <v>651477.57600000012</v>
      </c>
      <c r="AK58" s="74">
        <f t="shared" si="34"/>
        <v>615284.37733333337</v>
      </c>
      <c r="AL58" s="74">
        <f t="shared" si="34"/>
        <v>579091.17866666673</v>
      </c>
      <c r="AM58" s="74">
        <f t="shared" si="34"/>
        <v>542897.98</v>
      </c>
      <c r="AN58" s="74">
        <f t="shared" si="34"/>
        <v>506704.78133333335</v>
      </c>
      <c r="AO58" s="74">
        <f t="shared" si="34"/>
        <v>470511.58266666671</v>
      </c>
      <c r="AP58" s="74">
        <f t="shared" si="34"/>
        <v>434318.38399999996</v>
      </c>
      <c r="AQ58" s="74">
        <f t="shared" si="34"/>
        <v>398125.18533333333</v>
      </c>
      <c r="AR58" s="74">
        <f t="shared" si="34"/>
        <v>361931.98666666669</v>
      </c>
    </row>
    <row r="59" spans="1:44" s="73" customFormat="1" x14ac:dyDescent="0.35">
      <c r="B59" s="73" t="s">
        <v>71</v>
      </c>
      <c r="D59" s="74">
        <f t="shared" si="32"/>
        <v>38668</v>
      </c>
      <c r="E59" s="74">
        <f t="shared" si="32"/>
        <v>39882</v>
      </c>
      <c r="F59" s="74">
        <f t="shared" si="32"/>
        <v>40676</v>
      </c>
      <c r="G59" s="74">
        <f t="shared" si="32"/>
        <v>41372</v>
      </c>
      <c r="H59" s="74">
        <f t="shared" si="32"/>
        <v>43196</v>
      </c>
      <c r="I59" s="74">
        <f t="shared" si="32"/>
        <v>43062</v>
      </c>
      <c r="J59" s="74">
        <f t="shared" si="32"/>
        <v>40737.313432835814</v>
      </c>
      <c r="K59" s="74">
        <f t="shared" si="32"/>
        <v>40597.590361445786</v>
      </c>
      <c r="L59" s="74">
        <f t="shared" si="32"/>
        <v>38722</v>
      </c>
      <c r="M59" s="74">
        <f t="shared" si="32"/>
        <v>36377</v>
      </c>
      <c r="N59" s="74">
        <f t="shared" si="32"/>
        <v>36469.23333333333</v>
      </c>
      <c r="O59" s="74">
        <f t="shared" si="32"/>
        <v>36059.466666666667</v>
      </c>
      <c r="P59" s="74">
        <f t="shared" si="32"/>
        <v>35649.699999999997</v>
      </c>
      <c r="Q59" s="74">
        <f t="shared" si="32"/>
        <v>35239.933333333334</v>
      </c>
      <c r="R59" s="74">
        <f t="shared" si="32"/>
        <v>34830.166666666664</v>
      </c>
      <c r="S59" s="74">
        <f t="shared" si="32"/>
        <v>34420.399999999994</v>
      </c>
      <c r="T59" s="74">
        <f t="shared" si="34"/>
        <v>34010.633333333331</v>
      </c>
      <c r="U59" s="74">
        <f t="shared" si="34"/>
        <v>33600.866666666661</v>
      </c>
      <c r="V59" s="74">
        <f t="shared" si="35"/>
        <v>172102</v>
      </c>
      <c r="W59" s="74">
        <f t="shared" si="34"/>
        <v>33191.1</v>
      </c>
      <c r="X59" s="74">
        <f t="shared" si="34"/>
        <v>32781.333333333336</v>
      </c>
      <c r="Y59" s="74">
        <f t="shared" si="34"/>
        <v>31961.8</v>
      </c>
      <c r="Z59" s="74">
        <f t="shared" si="34"/>
        <v>31142.266666666666</v>
      </c>
      <c r="AA59" s="74">
        <f t="shared" si="34"/>
        <v>30322.73333333333</v>
      </c>
      <c r="AB59" s="74">
        <f t="shared" si="34"/>
        <v>29503.199999999997</v>
      </c>
      <c r="AC59" s="74">
        <f t="shared" si="34"/>
        <v>28683.666666666664</v>
      </c>
      <c r="AD59" s="74">
        <f t="shared" si="34"/>
        <v>27864.133333333335</v>
      </c>
      <c r="AE59" s="74">
        <f t="shared" si="34"/>
        <v>27044.6</v>
      </c>
      <c r="AF59" s="74">
        <f t="shared" si="34"/>
        <v>26225.066666666666</v>
      </c>
      <c r="AG59" s="74">
        <f t="shared" si="34"/>
        <v>25405.533333333333</v>
      </c>
      <c r="AH59" s="74">
        <f t="shared" si="34"/>
        <v>24585.999999999996</v>
      </c>
      <c r="AI59" s="74">
        <f t="shared" si="34"/>
        <v>23356.699999999997</v>
      </c>
      <c r="AJ59" s="74">
        <f t="shared" si="34"/>
        <v>22127.4</v>
      </c>
      <c r="AK59" s="74">
        <f t="shared" si="34"/>
        <v>20898.099999999999</v>
      </c>
      <c r="AL59" s="74">
        <f t="shared" si="34"/>
        <v>19668.8</v>
      </c>
      <c r="AM59" s="74">
        <f t="shared" si="34"/>
        <v>18439.5</v>
      </c>
      <c r="AN59" s="74">
        <f t="shared" si="34"/>
        <v>17210.199999999997</v>
      </c>
      <c r="AO59" s="74">
        <f t="shared" si="34"/>
        <v>15980.9</v>
      </c>
      <c r="AP59" s="74">
        <f t="shared" si="34"/>
        <v>14751.599999999999</v>
      </c>
      <c r="AQ59" s="74">
        <f t="shared" si="34"/>
        <v>13522.3</v>
      </c>
      <c r="AR59" s="74">
        <f t="shared" si="34"/>
        <v>12292.999999999998</v>
      </c>
    </row>
    <row r="60" spans="1:44" s="73" customFormat="1" x14ac:dyDescent="0.35">
      <c r="B60" s="73" t="s">
        <v>72</v>
      </c>
      <c r="D60" s="74">
        <f t="shared" si="32"/>
        <v>201516</v>
      </c>
      <c r="E60" s="74">
        <f t="shared" si="32"/>
        <v>202694.00000000003</v>
      </c>
      <c r="F60" s="74">
        <f t="shared" si="32"/>
        <v>209980</v>
      </c>
      <c r="G60" s="74">
        <f t="shared" si="32"/>
        <v>202896</v>
      </c>
      <c r="H60" s="74">
        <f t="shared" si="32"/>
        <v>204046</v>
      </c>
      <c r="I60" s="74">
        <f t="shared" si="32"/>
        <v>189340</v>
      </c>
      <c r="J60" s="74">
        <f t="shared" si="32"/>
        <v>197943.28358208956</v>
      </c>
      <c r="K60" s="74">
        <f t="shared" si="32"/>
        <v>204806.02409638558</v>
      </c>
      <c r="L60" s="74">
        <f t="shared" si="32"/>
        <v>194202</v>
      </c>
      <c r="M60" s="74">
        <f>M31*M46</f>
        <v>182349</v>
      </c>
      <c r="N60" s="74">
        <f t="shared" si="32"/>
        <v>179554.69999999998</v>
      </c>
      <c r="O60" s="74">
        <f t="shared" si="32"/>
        <v>176511.4</v>
      </c>
      <c r="P60" s="74">
        <f t="shared" si="32"/>
        <v>173468.09999999998</v>
      </c>
      <c r="Q60" s="74">
        <f t="shared" si="32"/>
        <v>170424.80000000002</v>
      </c>
      <c r="R60" s="74">
        <f t="shared" si="32"/>
        <v>167381.5</v>
      </c>
      <c r="S60" s="74">
        <f t="shared" si="32"/>
        <v>164338.20000000001</v>
      </c>
      <c r="T60" s="74">
        <f t="shared" si="34"/>
        <v>161294.9</v>
      </c>
      <c r="U60" s="74">
        <f t="shared" si="34"/>
        <v>158251.6</v>
      </c>
      <c r="V60" s="74">
        <f t="shared" si="35"/>
        <v>821691</v>
      </c>
      <c r="W60" s="74">
        <f t="shared" si="34"/>
        <v>155208.29999999999</v>
      </c>
      <c r="X60" s="74">
        <f t="shared" si="34"/>
        <v>152165</v>
      </c>
      <c r="Y60" s="74">
        <f t="shared" si="34"/>
        <v>146078.39999999999</v>
      </c>
      <c r="Z60" s="74">
        <f t="shared" si="34"/>
        <v>139991.80000000002</v>
      </c>
      <c r="AA60" s="74">
        <f t="shared" si="34"/>
        <v>133905.20000000001</v>
      </c>
      <c r="AB60" s="74">
        <f t="shared" si="34"/>
        <v>127818.59999999999</v>
      </c>
      <c r="AC60" s="74">
        <f t="shared" si="34"/>
        <v>121732</v>
      </c>
      <c r="AD60" s="74">
        <f t="shared" si="34"/>
        <v>115645.4</v>
      </c>
      <c r="AE60" s="74">
        <f t="shared" si="34"/>
        <v>109558.8</v>
      </c>
      <c r="AF60" s="74">
        <f t="shared" si="34"/>
        <v>103472.20000000001</v>
      </c>
      <c r="AG60" s="74">
        <f t="shared" si="34"/>
        <v>97385.600000000006</v>
      </c>
      <c r="AH60" s="74">
        <f t="shared" si="34"/>
        <v>91299</v>
      </c>
      <c r="AI60" s="74">
        <f t="shared" si="34"/>
        <v>82169.100000000006</v>
      </c>
      <c r="AJ60" s="74">
        <f t="shared" si="34"/>
        <v>73039.199999999997</v>
      </c>
      <c r="AK60" s="74">
        <f t="shared" ref="AK60:AR60" si="36">AK31*AK46</f>
        <v>63909.299999999996</v>
      </c>
      <c r="AL60" s="74">
        <f t="shared" si="36"/>
        <v>54779.4</v>
      </c>
      <c r="AM60" s="74">
        <f t="shared" si="36"/>
        <v>45649.5</v>
      </c>
      <c r="AN60" s="74">
        <f t="shared" si="36"/>
        <v>36519.599999999999</v>
      </c>
      <c r="AO60" s="74">
        <f t="shared" si="36"/>
        <v>27389.7</v>
      </c>
      <c r="AP60" s="74">
        <f t="shared" si="36"/>
        <v>18259.8</v>
      </c>
      <c r="AQ60" s="74">
        <f t="shared" si="36"/>
        <v>9129.9</v>
      </c>
      <c r="AR60" s="74">
        <f t="shared" si="36"/>
        <v>0</v>
      </c>
    </row>
    <row r="61" spans="1:44" s="1" customFormat="1" ht="17.149999999999999" customHeight="1" x14ac:dyDescent="0.35"/>
    <row r="62" spans="1:44" s="1" customFormat="1" ht="17.149999999999999" customHeight="1" x14ac:dyDescent="0.35"/>
    <row r="63" spans="1:44" s="62" customFormat="1" x14ac:dyDescent="0.35">
      <c r="A63" s="61" t="s">
        <v>79</v>
      </c>
      <c r="D63" s="63">
        <f t="shared" ref="D63:AR63" si="37">SUM(D49:D60)</f>
        <v>6639233</v>
      </c>
      <c r="E63" s="63">
        <f t="shared" si="37"/>
        <v>6758548</v>
      </c>
      <c r="F63" s="63">
        <f t="shared" si="37"/>
        <v>9089150.1999999993</v>
      </c>
      <c r="G63" s="63">
        <f t="shared" si="37"/>
        <v>8670877</v>
      </c>
      <c r="H63" s="63">
        <f t="shared" si="37"/>
        <v>8442772.8000000007</v>
      </c>
      <c r="I63" s="63">
        <f t="shared" si="37"/>
        <v>8313815.7999999998</v>
      </c>
      <c r="J63" s="63">
        <f t="shared" si="37"/>
        <v>8070651.940298507</v>
      </c>
      <c r="K63" s="63">
        <f t="shared" si="37"/>
        <v>7824845.9036144586</v>
      </c>
      <c r="L63" s="63">
        <f t="shared" si="37"/>
        <v>8141618.2000000002</v>
      </c>
      <c r="M63" s="63">
        <f t="shared" si="37"/>
        <v>6341427.5999999996</v>
      </c>
      <c r="N63" s="64">
        <f t="shared" si="37"/>
        <v>6058474.4471111102</v>
      </c>
      <c r="O63" s="64">
        <f t="shared" si="37"/>
        <v>6287842.8186666667</v>
      </c>
      <c r="P63" s="64">
        <f t="shared" si="37"/>
        <v>6213871.7979999986</v>
      </c>
      <c r="Q63" s="64">
        <f t="shared" si="37"/>
        <v>6139900.7773333332</v>
      </c>
      <c r="R63" s="64">
        <f t="shared" si="37"/>
        <v>6065929.7566666678</v>
      </c>
      <c r="S63" s="64">
        <f t="shared" si="37"/>
        <v>5991958.7359999996</v>
      </c>
      <c r="T63" s="64">
        <f t="shared" si="37"/>
        <v>5917987.7153333332</v>
      </c>
      <c r="U63" s="64">
        <f t="shared" si="37"/>
        <v>5844016.694666666</v>
      </c>
      <c r="V63" s="64">
        <f>SUM(Q63:U63)</f>
        <v>29959793.680000003</v>
      </c>
      <c r="W63" s="64">
        <f t="shared" si="37"/>
        <v>5770045.6739999996</v>
      </c>
      <c r="X63" s="64">
        <f t="shared" si="37"/>
        <v>5276682.6533333333</v>
      </c>
      <c r="Y63" s="64">
        <f t="shared" si="37"/>
        <v>5139225.4119999995</v>
      </c>
      <c r="Z63" s="64">
        <f t="shared" si="37"/>
        <v>5001768.1706666658</v>
      </c>
      <c r="AA63" s="64">
        <f t="shared" si="37"/>
        <v>4864310.9293333329</v>
      </c>
      <c r="AB63" s="64">
        <f t="shared" si="37"/>
        <v>4726853.6880000001</v>
      </c>
      <c r="AC63" s="64">
        <f t="shared" si="37"/>
        <v>4589396.4466666663</v>
      </c>
      <c r="AD63" s="64">
        <f t="shared" si="37"/>
        <v>4451939.2053333344</v>
      </c>
      <c r="AE63" s="64">
        <f t="shared" si="37"/>
        <v>4314481.9639999988</v>
      </c>
      <c r="AF63" s="64">
        <f t="shared" si="37"/>
        <v>4177024.7226666664</v>
      </c>
      <c r="AG63" s="64">
        <f t="shared" si="37"/>
        <v>4039567.4813333326</v>
      </c>
      <c r="AH63" s="64">
        <f t="shared" si="37"/>
        <v>3587566.24</v>
      </c>
      <c r="AI63" s="64">
        <f t="shared" si="37"/>
        <v>3397107.5780000002</v>
      </c>
      <c r="AJ63" s="64">
        <f t="shared" si="37"/>
        <v>3206648.9160000007</v>
      </c>
      <c r="AK63" s="64">
        <f t="shared" si="37"/>
        <v>3016190.2539999997</v>
      </c>
      <c r="AL63" s="64">
        <f t="shared" si="37"/>
        <v>2825731.5919999992</v>
      </c>
      <c r="AM63" s="64">
        <f t="shared" si="37"/>
        <v>2635272.9299999997</v>
      </c>
      <c r="AN63" s="64">
        <f t="shared" si="37"/>
        <v>2444814.2680000002</v>
      </c>
      <c r="AO63" s="64">
        <f t="shared" si="37"/>
        <v>2254355.6060000001</v>
      </c>
      <c r="AP63" s="64">
        <f t="shared" si="37"/>
        <v>2063896.9440000004</v>
      </c>
      <c r="AQ63" s="64">
        <f t="shared" si="37"/>
        <v>1873438.2819999999</v>
      </c>
      <c r="AR63" s="64">
        <f t="shared" si="37"/>
        <v>1682979.62</v>
      </c>
    </row>
    <row r="64" spans="1:44" s="73" customFormat="1" x14ac:dyDescent="0.35">
      <c r="B64" s="73" t="s">
        <v>274</v>
      </c>
      <c r="D64" s="117">
        <f>(D63/1000000)</f>
        <v>6.6392329999999999</v>
      </c>
      <c r="E64" s="117">
        <f t="shared" ref="E64:AR64" si="38">(E63/1000000)</f>
        <v>6.7585480000000002</v>
      </c>
      <c r="F64" s="117">
        <f t="shared" si="38"/>
        <v>9.0891501999999988</v>
      </c>
      <c r="G64" s="117">
        <f t="shared" si="38"/>
        <v>8.6708770000000008</v>
      </c>
      <c r="H64" s="117">
        <f t="shared" si="38"/>
        <v>8.4427728000000002</v>
      </c>
      <c r="I64" s="117">
        <f t="shared" si="38"/>
        <v>8.3138158000000004</v>
      </c>
      <c r="J64" s="117">
        <f t="shared" si="38"/>
        <v>8.0706519402985073</v>
      </c>
      <c r="K64" s="117">
        <f t="shared" si="38"/>
        <v>7.8248459036144586</v>
      </c>
      <c r="L64" s="117">
        <f t="shared" si="38"/>
        <v>8.1416181999999999</v>
      </c>
      <c r="M64" s="117">
        <f t="shared" si="38"/>
        <v>6.3414275999999994</v>
      </c>
      <c r="N64" s="117">
        <f t="shared" si="38"/>
        <v>6.0584744471111103</v>
      </c>
      <c r="O64" s="117">
        <f t="shared" si="38"/>
        <v>6.2878428186666664</v>
      </c>
      <c r="P64" s="117">
        <f t="shared" si="38"/>
        <v>6.2138717979999987</v>
      </c>
      <c r="Q64" s="137">
        <f t="shared" si="38"/>
        <v>6.1399007773333327</v>
      </c>
      <c r="R64" s="137">
        <f t="shared" si="38"/>
        <v>6.0659297566666677</v>
      </c>
      <c r="S64" s="137">
        <f t="shared" si="38"/>
        <v>5.991958736</v>
      </c>
      <c r="T64" s="137">
        <f t="shared" si="38"/>
        <v>5.9179877153333331</v>
      </c>
      <c r="U64" s="137">
        <f t="shared" si="38"/>
        <v>5.8440166946666663</v>
      </c>
      <c r="V64" s="255">
        <f>SUM(Q64:U64)</f>
        <v>29.959793680000001</v>
      </c>
      <c r="W64" s="117">
        <f t="shared" si="38"/>
        <v>5.7700456739999995</v>
      </c>
      <c r="X64" s="117">
        <f t="shared" si="38"/>
        <v>5.2766826533333333</v>
      </c>
      <c r="Y64" s="117">
        <f t="shared" si="38"/>
        <v>5.1392254119999992</v>
      </c>
      <c r="Z64" s="117">
        <f t="shared" si="38"/>
        <v>5.0017681706666659</v>
      </c>
      <c r="AA64" s="117">
        <f t="shared" si="38"/>
        <v>4.8643109293333326</v>
      </c>
      <c r="AB64" s="117">
        <f t="shared" si="38"/>
        <v>4.7268536880000003</v>
      </c>
      <c r="AC64" s="117">
        <f t="shared" si="38"/>
        <v>4.5893964466666661</v>
      </c>
      <c r="AD64" s="117">
        <f t="shared" si="38"/>
        <v>4.4519392053333346</v>
      </c>
      <c r="AE64" s="117">
        <f t="shared" si="38"/>
        <v>4.3144819639999987</v>
      </c>
      <c r="AF64" s="117">
        <f t="shared" si="38"/>
        <v>4.1770247226666664</v>
      </c>
      <c r="AG64" s="117">
        <f t="shared" si="38"/>
        <v>4.0395674813333322</v>
      </c>
      <c r="AH64" s="117">
        <f t="shared" si="38"/>
        <v>3.5875662400000001</v>
      </c>
      <c r="AI64" s="117">
        <f t="shared" si="38"/>
        <v>3.3971075780000004</v>
      </c>
      <c r="AJ64" s="117">
        <f t="shared" si="38"/>
        <v>3.2066489160000007</v>
      </c>
      <c r="AK64" s="117">
        <f t="shared" si="38"/>
        <v>3.0161902539999996</v>
      </c>
      <c r="AL64" s="117">
        <f t="shared" si="38"/>
        <v>2.8257315919999995</v>
      </c>
      <c r="AM64" s="117">
        <f t="shared" si="38"/>
        <v>2.6352729299999997</v>
      </c>
      <c r="AN64" s="117">
        <f t="shared" si="38"/>
        <v>2.444814268</v>
      </c>
      <c r="AO64" s="117">
        <f t="shared" si="38"/>
        <v>2.2543556060000003</v>
      </c>
      <c r="AP64" s="117">
        <f t="shared" si="38"/>
        <v>2.0638969440000006</v>
      </c>
      <c r="AQ64" s="117">
        <f t="shared" si="38"/>
        <v>1.873438282</v>
      </c>
      <c r="AR64" s="117">
        <f t="shared" si="38"/>
        <v>1.68297962</v>
      </c>
    </row>
    <row r="65" spans="1:44" x14ac:dyDescent="0.35">
      <c r="A65" s="73"/>
      <c r="B65" s="1" t="s">
        <v>80</v>
      </c>
      <c r="M65" s="68">
        <v>7.5081705000000003</v>
      </c>
      <c r="N65" s="224">
        <v>6.6765913448888874</v>
      </c>
      <c r="O65" s="224">
        <v>6.477017815111112</v>
      </c>
      <c r="P65" s="68">
        <v>6.4120339626666674</v>
      </c>
      <c r="Q65" s="68">
        <v>6.3245294102222216</v>
      </c>
      <c r="R65" s="68">
        <v>6.2591504577777783</v>
      </c>
      <c r="S65" s="68">
        <v>6.172041005333333</v>
      </c>
      <c r="T65" s="68">
        <v>6.1062669528888875</v>
      </c>
      <c r="U65" s="224">
        <v>6.0195526004444444</v>
      </c>
      <c r="V65" s="256">
        <f>SUM(Q65:U65)</f>
        <v>30.881540426666668</v>
      </c>
      <c r="W65" s="224">
        <v>5.9533834480000012</v>
      </c>
      <c r="X65" s="224">
        <v>5.3982677511111117</v>
      </c>
      <c r="Y65" s="224">
        <v>5.266981657333333</v>
      </c>
      <c r="Z65" s="224">
        <v>5.1167307635555552</v>
      </c>
      <c r="AA65" s="224">
        <v>4.9846544697777775</v>
      </c>
      <c r="AB65" s="224">
        <v>4.8351937759999997</v>
      </c>
      <c r="AC65" s="224">
        <v>4.702327282222222</v>
      </c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x14ac:dyDescent="0.35">
      <c r="A66" s="73"/>
      <c r="B66" s="73" t="s">
        <v>32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106">
        <f>M64-M65</f>
        <v>-1.1667429000000009</v>
      </c>
      <c r="N66" s="106">
        <f>N65-N64</f>
        <v>0.61811689777777712</v>
      </c>
      <c r="O66" s="106">
        <f t="shared" ref="O66:AC66" si="39">O65-O64</f>
        <v>0.18917499644444558</v>
      </c>
      <c r="P66" s="106">
        <f t="shared" si="39"/>
        <v>0.19816216466666869</v>
      </c>
      <c r="Q66" s="106">
        <f t="shared" si="39"/>
        <v>0.18462863288888887</v>
      </c>
      <c r="R66" s="106">
        <f t="shared" si="39"/>
        <v>0.19322070111111067</v>
      </c>
      <c r="S66" s="106">
        <f t="shared" si="39"/>
        <v>0.18008226933333304</v>
      </c>
      <c r="T66" s="106">
        <f t="shared" si="39"/>
        <v>0.18827923755555442</v>
      </c>
      <c r="U66" s="106">
        <f t="shared" si="39"/>
        <v>0.17553590577777811</v>
      </c>
      <c r="V66" s="257">
        <f>SUM(Q66:U66)</f>
        <v>0.92174674666666512</v>
      </c>
      <c r="W66" s="106">
        <f t="shared" si="39"/>
        <v>0.18333777400000173</v>
      </c>
      <c r="X66" s="106">
        <f t="shared" si="39"/>
        <v>0.12158509777777837</v>
      </c>
      <c r="Y66" s="106">
        <f t="shared" si="39"/>
        <v>0.12775624533333385</v>
      </c>
      <c r="Z66" s="106">
        <f t="shared" si="39"/>
        <v>0.11496259288888933</v>
      </c>
      <c r="AA66" s="106">
        <f t="shared" si="39"/>
        <v>0.12034354044444484</v>
      </c>
      <c r="AB66" s="106">
        <f t="shared" si="39"/>
        <v>0.10834008799999939</v>
      </c>
      <c r="AC66" s="106">
        <f t="shared" si="39"/>
        <v>0.11293083555555583</v>
      </c>
    </row>
    <row r="67" spans="1:44" x14ac:dyDescent="0.35">
      <c r="B67" s="187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88"/>
      <c r="R67" s="188"/>
      <c r="S67" s="189"/>
      <c r="T67" s="189"/>
      <c r="U67" s="189"/>
      <c r="V67" s="189"/>
    </row>
    <row r="68" spans="1:44" x14ac:dyDescent="0.35">
      <c r="A68" t="s">
        <v>81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44" x14ac:dyDescent="0.35">
      <c r="A69" t="s">
        <v>82</v>
      </c>
    </row>
    <row r="70" spans="1:44" x14ac:dyDescent="0.35">
      <c r="A70" t="s">
        <v>83</v>
      </c>
    </row>
    <row r="71" spans="1:44" x14ac:dyDescent="0.35">
      <c r="A71" t="s">
        <v>84</v>
      </c>
    </row>
    <row r="72" spans="1:44" x14ac:dyDescent="0.35">
      <c r="A72" t="s">
        <v>85</v>
      </c>
      <c r="C72">
        <v>934400</v>
      </c>
      <c r="D72" t="s">
        <v>86</v>
      </c>
    </row>
    <row r="73" spans="1:44" x14ac:dyDescent="0.35">
      <c r="A73" t="s">
        <v>87</v>
      </c>
    </row>
  </sheetData>
  <pageMargins left="0.7" right="0.7" top="0.75" bottom="0.75" header="0.3" footer="0.3"/>
  <pageSetup paperSize="9"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2719-432E-4C64-BE4F-719D333877FE}">
  <sheetPr>
    <tabColor theme="9"/>
  </sheetPr>
  <dimension ref="A1:X61"/>
  <sheetViews>
    <sheetView zoomScale="85" zoomScaleNormal="85" workbookViewId="0">
      <selection activeCell="H9" sqref="H9"/>
    </sheetView>
  </sheetViews>
  <sheetFormatPr defaultColWidth="8.7265625" defaultRowHeight="14.5" x14ac:dyDescent="0.35"/>
  <cols>
    <col min="1" max="1" width="15.453125" customWidth="1"/>
    <col min="2" max="2" width="47.1796875" customWidth="1"/>
    <col min="3" max="3" width="23.54296875" customWidth="1"/>
    <col min="4" max="11" width="16.453125" customWidth="1"/>
    <col min="12" max="12" width="15.54296875" customWidth="1"/>
    <col min="13" max="13" width="12" customWidth="1"/>
    <col min="17" max="17" width="16" customWidth="1"/>
  </cols>
  <sheetData>
    <row r="1" spans="1:20" s="39" customFormat="1" ht="15" thickBot="1" x14ac:dyDescent="0.4">
      <c r="A1" s="38" t="s">
        <v>88</v>
      </c>
    </row>
    <row r="2" spans="1:20" x14ac:dyDescent="0.35">
      <c r="A2" s="160" t="s">
        <v>89</v>
      </c>
      <c r="B2" s="151"/>
      <c r="C2" s="152"/>
      <c r="D2" s="161"/>
    </row>
    <row r="3" spans="1:20" x14ac:dyDescent="0.35">
      <c r="A3" s="95"/>
      <c r="B3" s="162" t="s">
        <v>90</v>
      </c>
      <c r="C3" s="82">
        <v>144.1</v>
      </c>
      <c r="D3" s="161"/>
      <c r="F3" s="14"/>
    </row>
    <row r="4" spans="1:20" x14ac:dyDescent="0.35">
      <c r="A4" s="95"/>
      <c r="B4" s="161"/>
      <c r="C4" s="153">
        <v>0</v>
      </c>
      <c r="D4" s="161"/>
      <c r="F4" s="14"/>
    </row>
    <row r="5" spans="1:20" x14ac:dyDescent="0.35">
      <c r="A5" s="95"/>
      <c r="B5" s="162" t="s">
        <v>91</v>
      </c>
      <c r="C5" s="82">
        <v>30.22</v>
      </c>
      <c r="D5" s="161"/>
      <c r="F5" s="14"/>
      <c r="K5" s="11"/>
      <c r="N5" s="11"/>
    </row>
    <row r="6" spans="1:20" x14ac:dyDescent="0.35">
      <c r="A6" s="95"/>
      <c r="B6" s="162" t="s">
        <v>93</v>
      </c>
      <c r="C6" s="82">
        <v>52.2</v>
      </c>
      <c r="D6" s="161"/>
      <c r="F6" s="14"/>
      <c r="K6" s="5"/>
    </row>
    <row r="7" spans="1:20" x14ac:dyDescent="0.35">
      <c r="A7" s="95"/>
      <c r="B7" s="162" t="s">
        <v>94</v>
      </c>
      <c r="C7" s="82">
        <v>13.84</v>
      </c>
      <c r="D7" s="161"/>
      <c r="E7" s="13"/>
      <c r="F7" s="14"/>
      <c r="G7" s="5"/>
      <c r="H7" s="8"/>
      <c r="I7" s="65"/>
      <c r="J7" s="35"/>
      <c r="K7" s="8"/>
    </row>
    <row r="8" spans="1:20" x14ac:dyDescent="0.35">
      <c r="A8" s="95"/>
      <c r="B8" s="162" t="s">
        <v>260</v>
      </c>
      <c r="C8" s="82">
        <v>1.3</v>
      </c>
      <c r="D8" s="161"/>
      <c r="E8" s="13"/>
      <c r="F8" s="14"/>
      <c r="G8" s="5"/>
      <c r="H8" s="8"/>
      <c r="I8" s="12"/>
      <c r="J8" s="8"/>
      <c r="K8" s="5"/>
    </row>
    <row r="9" spans="1:20" x14ac:dyDescent="0.35">
      <c r="A9" s="95"/>
      <c r="B9" s="161"/>
      <c r="C9" s="154"/>
      <c r="D9" s="161"/>
      <c r="E9" s="13"/>
      <c r="F9" s="14"/>
      <c r="G9" s="5"/>
      <c r="H9" s="8"/>
      <c r="I9" s="12"/>
      <c r="J9" s="8"/>
      <c r="K9" s="5"/>
      <c r="M9" s="5"/>
      <c r="N9" s="5"/>
      <c r="O9" s="5"/>
      <c r="P9" s="5"/>
      <c r="Q9" s="5"/>
      <c r="R9" s="5"/>
      <c r="S9" s="5"/>
      <c r="T9" s="5"/>
    </row>
    <row r="10" spans="1:20" x14ac:dyDescent="0.35">
      <c r="A10" s="95"/>
      <c r="B10" s="161"/>
      <c r="C10" s="155"/>
      <c r="D10" s="161"/>
      <c r="E10" s="23"/>
      <c r="F10" s="14"/>
      <c r="G10" s="5"/>
      <c r="H10" s="12"/>
      <c r="I10" s="12"/>
      <c r="J10" s="12"/>
      <c r="K10" s="5"/>
      <c r="M10" s="5"/>
      <c r="N10" s="5"/>
      <c r="O10" s="5"/>
      <c r="P10" s="5"/>
      <c r="Q10" s="5"/>
      <c r="R10" s="5"/>
      <c r="S10" s="5"/>
      <c r="T10" s="5"/>
    </row>
    <row r="11" spans="1:20" x14ac:dyDescent="0.35">
      <c r="A11" s="95"/>
      <c r="B11" s="162" t="s">
        <v>326</v>
      </c>
      <c r="C11" s="282">
        <f>C3-C5-C6-C7+C8</f>
        <v>49.139999999999986</v>
      </c>
      <c r="D11" s="161"/>
      <c r="E11" s="13"/>
      <c r="F11" s="13"/>
      <c r="G11" s="13"/>
      <c r="H11" s="13"/>
      <c r="I11" s="1"/>
      <c r="J11" s="1"/>
      <c r="K11" s="1"/>
    </row>
    <row r="12" spans="1:20" x14ac:dyDescent="0.35">
      <c r="A12" s="95"/>
      <c r="B12" s="161"/>
      <c r="C12" s="156"/>
      <c r="D12" s="161"/>
      <c r="E12" s="1"/>
      <c r="F12" s="1"/>
      <c r="G12" s="1"/>
      <c r="H12" s="1"/>
      <c r="I12" s="1"/>
      <c r="J12" s="1"/>
      <c r="K12" s="1"/>
    </row>
    <row r="13" spans="1:20" ht="15" thickBot="1" x14ac:dyDescent="0.4">
      <c r="A13" s="157"/>
      <c r="B13" s="158" t="s">
        <v>95</v>
      </c>
      <c r="C13" s="68">
        <v>8</v>
      </c>
      <c r="D13" s="161"/>
      <c r="E13" s="1"/>
      <c r="F13" s="1"/>
      <c r="G13" s="1"/>
      <c r="H13" s="1"/>
      <c r="I13" s="1"/>
      <c r="J13" s="1"/>
      <c r="K13" s="1"/>
    </row>
    <row r="14" spans="1:20" x14ac:dyDescent="0.35">
      <c r="D14" s="1"/>
      <c r="E14" s="1"/>
      <c r="F14" s="1"/>
      <c r="G14" s="1"/>
      <c r="H14" s="1"/>
      <c r="I14" s="1"/>
      <c r="J14" s="1"/>
      <c r="K14" s="1"/>
    </row>
    <row r="15" spans="1:20" s="39" customFormat="1" x14ac:dyDescent="0.35">
      <c r="A15" s="38" t="s">
        <v>96</v>
      </c>
      <c r="D15" s="38"/>
      <c r="E15" s="38"/>
      <c r="F15" s="38"/>
      <c r="G15" s="38"/>
      <c r="H15" s="38"/>
      <c r="I15" s="38"/>
      <c r="J15" s="38"/>
      <c r="K15" s="38"/>
    </row>
    <row r="16" spans="1:20" x14ac:dyDescent="0.35">
      <c r="D16" s="1">
        <v>2023</v>
      </c>
      <c r="E16" s="1">
        <v>2024</v>
      </c>
      <c r="F16" s="1">
        <v>2025</v>
      </c>
      <c r="G16" s="1">
        <v>2026</v>
      </c>
      <c r="H16" s="1">
        <v>2027</v>
      </c>
      <c r="I16" s="1">
        <v>2028</v>
      </c>
      <c r="J16" s="1">
        <v>2029</v>
      </c>
      <c r="K16" s="1">
        <v>2030</v>
      </c>
      <c r="L16" s="1" t="s">
        <v>52</v>
      </c>
    </row>
    <row r="17" spans="1:24" x14ac:dyDescent="0.35">
      <c r="B17" t="s">
        <v>97</v>
      </c>
      <c r="C17" s="7"/>
      <c r="D17" s="68">
        <v>8</v>
      </c>
      <c r="E17" s="68">
        <v>7.7</v>
      </c>
      <c r="F17" s="68">
        <v>7.1</v>
      </c>
      <c r="G17" s="68">
        <v>6.5</v>
      </c>
      <c r="H17" s="68">
        <v>5.9</v>
      </c>
      <c r="I17" s="68">
        <v>5.2</v>
      </c>
      <c r="J17" s="68">
        <v>4.7</v>
      </c>
      <c r="K17" s="68">
        <v>4</v>
      </c>
      <c r="L17" s="12">
        <f>SUM(E17:I17)</f>
        <v>32.400000000000006</v>
      </c>
      <c r="M17" s="14"/>
      <c r="N17" s="4"/>
      <c r="R17" s="4"/>
      <c r="S17" s="4"/>
      <c r="T17" s="4"/>
      <c r="U17" s="4"/>
      <c r="V17" s="4"/>
      <c r="W17" s="4"/>
      <c r="X17" s="4"/>
    </row>
    <row r="18" spans="1:24" x14ac:dyDescent="0.35">
      <c r="D18" s="1"/>
      <c r="E18" s="1"/>
      <c r="F18" s="1"/>
      <c r="G18" s="1"/>
      <c r="H18" s="1"/>
      <c r="I18" s="1"/>
      <c r="J18" s="1"/>
      <c r="K18" s="1"/>
      <c r="R18" s="4"/>
      <c r="S18" s="4"/>
      <c r="T18" s="4"/>
      <c r="U18" s="4"/>
      <c r="V18" s="4"/>
      <c r="W18" s="4"/>
      <c r="X18" s="4"/>
    </row>
    <row r="19" spans="1:24" x14ac:dyDescent="0.35">
      <c r="B19" s="1" t="s">
        <v>98</v>
      </c>
      <c r="C19" s="10"/>
      <c r="D19" s="16"/>
      <c r="E19" s="16">
        <f>'Allocate emissions budget'!H31/SUM('Allocate emissions budget'!$H$31:$N$31)</f>
        <v>0.18976497932926906</v>
      </c>
      <c r="F19" s="16">
        <f>'Allocate emissions budget'!I31/SUM('Allocate emissions budget'!$H$31:$N$31)</f>
        <v>0.17486047660083695</v>
      </c>
      <c r="G19" s="16">
        <f>'Allocate emissions budget'!J31/SUM('Allocate emissions budget'!$H$31:$N$31)</f>
        <v>0.1583278428686419</v>
      </c>
      <c r="H19" s="16">
        <f>'Allocate emissions budget'!K31/SUM('Allocate emissions budget'!$H$31:$N$31)</f>
        <v>0.14338492702798067</v>
      </c>
      <c r="I19" s="16">
        <f>'Allocate emissions budget'!L31/SUM('Allocate emissions budget'!$H$31:$N$31)</f>
        <v>0.12532400584651401</v>
      </c>
      <c r="J19" s="16">
        <f>'Allocate emissions budget'!M31/SUM('Allocate emissions budget'!$H$31:$N$31)</f>
        <v>0.11228632063051394</v>
      </c>
      <c r="K19" s="16">
        <f>'Allocate emissions budget'!N31/SUM('Allocate emissions budget'!$H$31:$N$31)</f>
        <v>9.6051447696243339E-2</v>
      </c>
      <c r="L19" s="75">
        <f>SUM(E19:I19)</f>
        <v>0.79166223167324257</v>
      </c>
      <c r="M19" s="27"/>
      <c r="R19" s="4"/>
      <c r="S19" s="4"/>
      <c r="T19" s="4"/>
      <c r="U19" s="4"/>
      <c r="V19" s="4"/>
      <c r="W19" s="4"/>
      <c r="X19" s="4"/>
    </row>
    <row r="20" spans="1:24" x14ac:dyDescent="0.35">
      <c r="B20" t="s">
        <v>99</v>
      </c>
      <c r="C20" s="198">
        <f>C11-D17</f>
        <v>41.139999999999986</v>
      </c>
      <c r="D20" s="141">
        <f>D17</f>
        <v>8</v>
      </c>
      <c r="E20" s="4">
        <f>$C$20*'Surplus &amp; CCR reduction volumes'!E19</f>
        <v>7.8069312496061265</v>
      </c>
      <c r="F20" s="4">
        <f>$C$20*'Surplus &amp; CCR reduction volumes'!F19</f>
        <v>7.1937600073584296</v>
      </c>
      <c r="G20" s="4">
        <f>$C$20*'Surplus &amp; CCR reduction volumes'!G19</f>
        <v>6.5136074556159258</v>
      </c>
      <c r="H20" s="4">
        <f>$C$20*'Surplus &amp; CCR reduction volumes'!H19</f>
        <v>5.8988558979311225</v>
      </c>
      <c r="I20" s="4">
        <f>$C$20*'Surplus &amp; CCR reduction volumes'!I19</f>
        <v>5.1558296005255846</v>
      </c>
      <c r="J20" s="4">
        <f>$C$20*'Surplus &amp; CCR reduction volumes'!J19</f>
        <v>4.6194592307393423</v>
      </c>
      <c r="K20" s="4">
        <f>$C$20*'Surplus &amp; CCR reduction volumes'!K19</f>
        <v>3.9515565582234498</v>
      </c>
      <c r="L20" s="12">
        <f>SUM(E20:I20)</f>
        <v>32.56898421103719</v>
      </c>
      <c r="M20" s="14"/>
      <c r="N20" s="4"/>
      <c r="R20" s="4"/>
      <c r="S20" s="4"/>
      <c r="T20" s="4"/>
      <c r="U20" s="4"/>
      <c r="V20" s="4"/>
      <c r="W20" s="4"/>
      <c r="X20" s="4"/>
    </row>
    <row r="21" spans="1:24" x14ac:dyDescent="0.35">
      <c r="B21" t="s">
        <v>32</v>
      </c>
      <c r="D21" s="4">
        <f>D20-D17</f>
        <v>0</v>
      </c>
      <c r="E21" s="4">
        <f>E20-E17</f>
        <v>0.10693124960612632</v>
      </c>
      <c r="F21" s="4">
        <f t="shared" ref="F21:K21" si="0">F20-F17</f>
        <v>9.3760007358429931E-2</v>
      </c>
      <c r="G21" s="4">
        <f t="shared" si="0"/>
        <v>1.3607455615925801E-2</v>
      </c>
      <c r="H21" s="4">
        <f t="shared" si="0"/>
        <v>-1.1441020688778281E-3</v>
      </c>
      <c r="I21" s="4">
        <f t="shared" si="0"/>
        <v>-4.4170399474415589E-2</v>
      </c>
      <c r="J21" s="4">
        <f t="shared" si="0"/>
        <v>-8.0540769260657896E-2</v>
      </c>
      <c r="K21" s="4">
        <f t="shared" si="0"/>
        <v>-4.8443441776550245E-2</v>
      </c>
      <c r="L21" s="12">
        <f>SUM(E21:I21)</f>
        <v>0.16898421103718864</v>
      </c>
      <c r="R21" s="4"/>
      <c r="S21" s="4"/>
      <c r="T21" s="4"/>
      <c r="U21" s="4"/>
      <c r="V21" s="4"/>
      <c r="W21" s="4"/>
      <c r="X21" s="4"/>
    </row>
    <row r="22" spans="1:24" x14ac:dyDescent="0.35">
      <c r="B22" t="s">
        <v>100</v>
      </c>
      <c r="D22" s="4">
        <f>D17</f>
        <v>8</v>
      </c>
      <c r="E22">
        <f>E17</f>
        <v>7.7</v>
      </c>
      <c r="F22">
        <f t="shared" ref="F22:H22" si="1">F17</f>
        <v>7.1</v>
      </c>
      <c r="G22">
        <f t="shared" si="1"/>
        <v>6.5</v>
      </c>
      <c r="H22">
        <f t="shared" si="1"/>
        <v>5.9</v>
      </c>
      <c r="I22" s="286">
        <f>I20+SUM(E21:H21)</f>
        <v>5.3689842110371888</v>
      </c>
      <c r="J22" s="4">
        <f>J20</f>
        <v>4.6194592307393423</v>
      </c>
      <c r="K22" s="4">
        <f>K20</f>
        <v>3.9515565582234498</v>
      </c>
      <c r="L22" s="12">
        <f>SUM(E22:I22)</f>
        <v>32.56898421103719</v>
      </c>
    </row>
    <row r="23" spans="1:24" x14ac:dyDescent="0.35">
      <c r="D23" s="11"/>
      <c r="E23" s="4"/>
      <c r="F23" s="4"/>
      <c r="G23" s="4"/>
      <c r="H23" s="4"/>
      <c r="I23" s="4"/>
      <c r="J23" s="4"/>
      <c r="K23" s="4"/>
      <c r="L23" s="75"/>
    </row>
    <row r="24" spans="1:24" s="39" customFormat="1" x14ac:dyDescent="0.35">
      <c r="A24" s="38" t="s">
        <v>101</v>
      </c>
      <c r="D24" s="53"/>
      <c r="E24" s="53"/>
      <c r="F24" s="53"/>
      <c r="G24" s="53"/>
      <c r="H24" s="53"/>
      <c r="I24" s="53"/>
      <c r="J24" s="53"/>
      <c r="K24" s="53"/>
      <c r="L24" s="77"/>
    </row>
    <row r="25" spans="1:24" x14ac:dyDescent="0.35">
      <c r="B25" t="s">
        <v>102</v>
      </c>
      <c r="D25" s="27"/>
      <c r="E25" s="27"/>
      <c r="F25" s="27"/>
      <c r="G25" s="16">
        <f>'Allocate emissions budget'!J32/SUM('Allocate emissions budget'!$J$32:$N$32)</f>
        <v>0.24918820614762496</v>
      </c>
      <c r="H25" s="16">
        <f>'Allocate emissions budget'!K32/SUM('Allocate emissions budget'!$J$32:$N$32)</f>
        <v>0.22566992707880307</v>
      </c>
      <c r="I25" s="16">
        <f>'Allocate emissions budget'!L32/SUM('Allocate emissions budget'!$J$32:$N$32)</f>
        <v>0.19724429789671882</v>
      </c>
      <c r="J25" s="16">
        <f>'Allocate emissions budget'!M32/SUM('Allocate emissions budget'!$J$32:$N$32)</f>
        <v>0.17672461334579687</v>
      </c>
      <c r="K25" s="16">
        <f>'Allocate emissions budget'!N32/SUM('Allocate emissions budget'!$J$32:$N$32)</f>
        <v>0.15117295553105647</v>
      </c>
      <c r="L25" s="75">
        <f t="shared" ref="L25:L30" si="2">SUM(E25:I25)</f>
        <v>0.67210243112314683</v>
      </c>
      <c r="M25" s="27"/>
    </row>
    <row r="26" spans="1:24" x14ac:dyDescent="0.35">
      <c r="B26" t="s">
        <v>103</v>
      </c>
      <c r="C26" s="125">
        <f>SUM('Technical adjustments'!C12:E12)</f>
        <v>4.3559907656450685</v>
      </c>
      <c r="D26" s="76"/>
      <c r="E26" s="76"/>
      <c r="F26" s="76"/>
      <c r="G26" s="4">
        <f>$C$26*G25</f>
        <v>1.0854615248867141</v>
      </c>
      <c r="H26" s="4">
        <f>$C$26*H25</f>
        <v>0.98301611843906211</v>
      </c>
      <c r="I26" s="4">
        <f>$C$26*I25</f>
        <v>0.85919434021425223</v>
      </c>
      <c r="J26" s="4">
        <f>$C$26*J25</f>
        <v>0.76981078379648638</v>
      </c>
      <c r="K26" s="4">
        <f>$C$26*K25</f>
        <v>0.65850799830855455</v>
      </c>
      <c r="L26" s="12">
        <f t="shared" si="2"/>
        <v>2.9276719835400287</v>
      </c>
      <c r="M26" s="14"/>
    </row>
    <row r="27" spans="1:24" x14ac:dyDescent="0.35">
      <c r="B27" t="s">
        <v>104</v>
      </c>
      <c r="C27" s="125">
        <f>SUM('Allocate emissions budget'!G58:I58)*-1+(E21+F21)</f>
        <v>5.0372600956004403</v>
      </c>
      <c r="D27" s="76"/>
      <c r="E27" s="76"/>
      <c r="F27" s="76"/>
      <c r="G27" s="4">
        <f>$C$27*G25</f>
        <v>1.2552258071216875</v>
      </c>
      <c r="H27" s="4">
        <f>$C$27*H25</f>
        <v>1.136758118451116</v>
      </c>
      <c r="I27" s="4">
        <f>$C$27*I25</f>
        <v>0.99357083087986764</v>
      </c>
      <c r="J27" s="4">
        <f>$C$27*J25</f>
        <v>0.89020784271719955</v>
      </c>
      <c r="K27" s="4">
        <f>$C$27*K25</f>
        <v>0.76149749643057063</v>
      </c>
      <c r="L27" s="12">
        <f t="shared" si="2"/>
        <v>3.3855547564526711</v>
      </c>
      <c r="M27" s="14"/>
    </row>
    <row r="28" spans="1:24" x14ac:dyDescent="0.35">
      <c r="B28" t="s">
        <v>105</v>
      </c>
      <c r="C28" s="125">
        <f>SUM('Industrial free allocation'!P66:R66)*-1</f>
        <v>-0.57601149866666823</v>
      </c>
      <c r="D28" s="76"/>
      <c r="E28" s="76"/>
      <c r="F28" s="76"/>
      <c r="G28" s="4">
        <f>$C$28*G25</f>
        <v>-0.14353527207315211</v>
      </c>
      <c r="H28" s="4">
        <f t="shared" ref="H28:K28" si="3">$C$28*H25</f>
        <v>-0.1299884729006591</v>
      </c>
      <c r="I28" s="4">
        <f t="shared" si="3"/>
        <v>-0.11361498363494377</v>
      </c>
      <c r="J28" s="4">
        <f t="shared" si="3"/>
        <v>-0.10179540938459992</v>
      </c>
      <c r="K28" s="4">
        <f t="shared" si="3"/>
        <v>-8.7077360673313425E-2</v>
      </c>
      <c r="L28" s="12">
        <f t="shared" si="2"/>
        <v>-0.38713872860875498</v>
      </c>
      <c r="M28" s="14"/>
    </row>
    <row r="29" spans="1:24" x14ac:dyDescent="0.35">
      <c r="B29" t="s">
        <v>106</v>
      </c>
      <c r="C29" s="125">
        <f>SUM(C26:C28)</f>
        <v>8.8172393625788406</v>
      </c>
      <c r="D29" s="76"/>
      <c r="E29" s="108"/>
      <c r="F29" s="108"/>
      <c r="G29" s="4">
        <f>G26+G27+G28</f>
        <v>2.1971520599352496</v>
      </c>
      <c r="H29" s="4">
        <f t="shared" ref="H29:K29" si="4">H26+H27+H28</f>
        <v>1.9897857639895191</v>
      </c>
      <c r="I29" s="4">
        <f t="shared" si="4"/>
        <v>1.7391501874591762</v>
      </c>
      <c r="J29" s="283">
        <f t="shared" si="4"/>
        <v>1.558223217129086</v>
      </c>
      <c r="K29" s="4">
        <f t="shared" si="4"/>
        <v>1.3329281340658117</v>
      </c>
      <c r="L29" s="12">
        <f t="shared" si="2"/>
        <v>5.9260880113839445</v>
      </c>
      <c r="M29" s="14"/>
    </row>
    <row r="30" spans="1:24" x14ac:dyDescent="0.35">
      <c r="B30" t="s">
        <v>107</v>
      </c>
      <c r="D30" s="76"/>
      <c r="E30" s="4">
        <f>E22</f>
        <v>7.7</v>
      </c>
      <c r="F30" s="4">
        <f t="shared" ref="F30:K30" si="5">F22</f>
        <v>7.1</v>
      </c>
      <c r="G30" s="4">
        <f t="shared" si="5"/>
        <v>6.5</v>
      </c>
      <c r="H30" s="4">
        <f t="shared" si="5"/>
        <v>5.9</v>
      </c>
      <c r="I30" s="4">
        <f t="shared" si="5"/>
        <v>5.3689842110371888</v>
      </c>
      <c r="J30" s="4">
        <f t="shared" si="5"/>
        <v>4.6194592307393423</v>
      </c>
      <c r="K30" s="4">
        <f t="shared" si="5"/>
        <v>3.9515565582234498</v>
      </c>
      <c r="L30" s="12">
        <f t="shared" si="2"/>
        <v>32.56898421103719</v>
      </c>
      <c r="M30" s="14"/>
    </row>
    <row r="31" spans="1:24" x14ac:dyDescent="0.35">
      <c r="B31" s="1" t="s">
        <v>108</v>
      </c>
      <c r="C31" s="1"/>
      <c r="D31" s="123"/>
      <c r="E31" s="81">
        <f>E30+E29</f>
        <v>7.7</v>
      </c>
      <c r="F31" s="81">
        <f t="shared" ref="F31:K31" si="6">F30+F29</f>
        <v>7.1</v>
      </c>
      <c r="G31" s="81">
        <f t="shared" si="6"/>
        <v>8.6971520599352488</v>
      </c>
      <c r="H31" s="81">
        <f t="shared" si="6"/>
        <v>7.8897857639895195</v>
      </c>
      <c r="I31" s="81">
        <f t="shared" si="6"/>
        <v>7.1081343984963645</v>
      </c>
      <c r="J31" s="123">
        <f t="shared" si="6"/>
        <v>6.1776824478684285</v>
      </c>
      <c r="K31" s="123">
        <f t="shared" si="6"/>
        <v>5.2844846922892614</v>
      </c>
      <c r="L31" s="12"/>
    </row>
    <row r="32" spans="1:24" x14ac:dyDescent="0.35">
      <c r="D32" s="27"/>
      <c r="E32" s="27"/>
      <c r="F32" s="27"/>
      <c r="G32" s="225"/>
      <c r="H32" s="225"/>
      <c r="I32" s="225"/>
      <c r="J32" s="225"/>
      <c r="K32" s="225"/>
      <c r="L32" s="75"/>
    </row>
    <row r="33" spans="1:24" s="181" customFormat="1" x14ac:dyDescent="0.35">
      <c r="A33" s="180" t="s">
        <v>261</v>
      </c>
      <c r="D33" s="190"/>
      <c r="E33" s="190"/>
      <c r="F33" s="190"/>
      <c r="G33" s="191"/>
      <c r="H33" s="191"/>
      <c r="I33" s="191"/>
      <c r="J33" s="191"/>
      <c r="K33" s="191"/>
      <c r="L33" s="192"/>
    </row>
    <row r="34" spans="1:24" s="181" customFormat="1" x14ac:dyDescent="0.35">
      <c r="A34" s="180" t="s">
        <v>256</v>
      </c>
      <c r="D34" s="180">
        <v>2023</v>
      </c>
      <c r="E34" s="180">
        <v>2024</v>
      </c>
      <c r="F34" s="180">
        <v>2025</v>
      </c>
      <c r="G34" s="180">
        <v>2026</v>
      </c>
      <c r="H34" s="180">
        <v>2027</v>
      </c>
      <c r="I34" s="180">
        <v>2028</v>
      </c>
      <c r="J34" s="180">
        <v>2029</v>
      </c>
      <c r="K34" s="180">
        <v>2030</v>
      </c>
      <c r="L34" s="192"/>
    </row>
    <row r="35" spans="1:24" x14ac:dyDescent="0.35">
      <c r="B35" t="s">
        <v>109</v>
      </c>
      <c r="D35" s="97"/>
      <c r="E35" s="16">
        <f>'Allocate emissions budget'!H32/SUM('Allocate emissions budget'!$H$32:$N$32)</f>
        <v>0.18976497932926908</v>
      </c>
      <c r="F35" s="16">
        <f>'Allocate emissions budget'!I32/SUM('Allocate emissions budget'!$H$32:$N$32)</f>
        <v>0.17486047660083698</v>
      </c>
      <c r="G35" s="16">
        <f>'Allocate emissions budget'!J32/SUM('Allocate emissions budget'!$H$32:$N$32)</f>
        <v>0.15832784286864193</v>
      </c>
      <c r="H35" s="16">
        <f>'Allocate emissions budget'!K32/SUM('Allocate emissions budget'!$H$32:$N$32)</f>
        <v>0.1433849270279807</v>
      </c>
      <c r="I35" s="16">
        <f>'Allocate emissions budget'!L32/SUM('Allocate emissions budget'!$H$32:$N$32)</f>
        <v>0.12532400584651404</v>
      </c>
      <c r="J35" s="16">
        <f>'Allocate emissions budget'!M32/SUM('Allocate emissions budget'!$H$32:$N$32)</f>
        <v>0.11228632063051397</v>
      </c>
      <c r="K35" s="16">
        <f>'Allocate emissions budget'!N32/SUM('Allocate emissions budget'!$H$32:$N$32)</f>
        <v>9.6051447696243353E-2</v>
      </c>
      <c r="L35" s="75">
        <f t="shared" ref="L35:L41" si="7">SUM(E35:I35)</f>
        <v>0.79166223167324268</v>
      </c>
      <c r="M35" s="27"/>
    </row>
    <row r="36" spans="1:24" x14ac:dyDescent="0.35">
      <c r="B36" t="s">
        <v>110</v>
      </c>
      <c r="C36" s="125">
        <f>'Technical adjustments'!C12</f>
        <v>1.5690712018796003</v>
      </c>
      <c r="D36" s="97"/>
      <c r="E36" s="111">
        <f t="shared" ref="E36:K36" si="8">$C$36*E19</f>
        <v>0.29775476419083369</v>
      </c>
      <c r="F36" s="111">
        <f t="shared" si="8"/>
        <v>0.27436853818131496</v>
      </c>
      <c r="G36" s="111">
        <f t="shared" si="8"/>
        <v>0.24842765870090444</v>
      </c>
      <c r="H36" s="111">
        <f t="shared" si="8"/>
        <v>0.2249811597832124</v>
      </c>
      <c r="I36" s="111">
        <f t="shared" si="8"/>
        <v>0.19664228847795578</v>
      </c>
      <c r="J36" s="111">
        <f t="shared" si="8"/>
        <v>0.17618523206635867</v>
      </c>
      <c r="K36" s="111">
        <f t="shared" si="8"/>
        <v>0.1507115604790201</v>
      </c>
      <c r="L36" s="12">
        <f t="shared" si="7"/>
        <v>1.2421744093342211</v>
      </c>
      <c r="M36" s="14"/>
      <c r="R36" s="110"/>
      <c r="S36" s="110"/>
      <c r="T36" s="110"/>
      <c r="U36" s="110"/>
      <c r="V36" s="110"/>
      <c r="W36" s="110"/>
      <c r="X36" s="110"/>
    </row>
    <row r="37" spans="1:24" x14ac:dyDescent="0.35">
      <c r="B37" t="s">
        <v>111</v>
      </c>
      <c r="C37" s="125">
        <f>('Allocate emissions budget'!$G$58)*-1</f>
        <v>1.5317226516371143</v>
      </c>
      <c r="D37" s="97"/>
      <c r="E37" s="111">
        <f>$C$37*E35</f>
        <v>0.29066731732609025</v>
      </c>
      <c r="F37" s="111">
        <f t="shared" ref="F37:K37" si="9">$C$37*F35</f>
        <v>0.26783775288556361</v>
      </c>
      <c r="G37" s="111">
        <f t="shared" si="9"/>
        <v>0.2425143433067406</v>
      </c>
      <c r="H37" s="111">
        <f t="shared" si="9"/>
        <v>0.21962594063209273</v>
      </c>
      <c r="I37" s="111">
        <f t="shared" si="9"/>
        <v>0.1919616185490077</v>
      </c>
      <c r="J37" s="111">
        <f t="shared" si="9"/>
        <v>0.17199150077874606</v>
      </c>
      <c r="K37" s="111">
        <f t="shared" si="9"/>
        <v>0.14712417815887346</v>
      </c>
      <c r="L37" s="12">
        <f t="shared" si="7"/>
        <v>1.2126069726994948</v>
      </c>
      <c r="M37" s="14"/>
      <c r="R37" s="110"/>
      <c r="S37" s="110"/>
      <c r="T37" s="110"/>
      <c r="U37" s="110"/>
      <c r="V37" s="110"/>
      <c r="W37" s="110"/>
      <c r="X37" s="110"/>
    </row>
    <row r="38" spans="1:24" x14ac:dyDescent="0.35">
      <c r="B38" t="s">
        <v>112</v>
      </c>
      <c r="C38" s="125">
        <f>('Industrial free allocation'!$P$66)*-1</f>
        <v>-0.19816216466666869</v>
      </c>
      <c r="D38" s="97"/>
      <c r="E38" s="111">
        <f>$C$38*E35</f>
        <v>-3.7604239081813602E-2</v>
      </c>
      <c r="F38" s="111">
        <f t="shared" ref="F38:K38" si="10">$C$38*F35</f>
        <v>-3.4650730557867222E-2</v>
      </c>
      <c r="G38" s="111">
        <f t="shared" si="10"/>
        <v>-3.137458806985427E-2</v>
      </c>
      <c r="H38" s="111">
        <f t="shared" si="10"/>
        <v>-2.8413467520436986E-2</v>
      </c>
      <c r="I38" s="111">
        <f t="shared" si="10"/>
        <v>-2.4834476283243465E-2</v>
      </c>
      <c r="J38" s="111">
        <f t="shared" si="10"/>
        <v>-2.2250900358598266E-2</v>
      </c>
      <c r="K38" s="111">
        <f t="shared" si="10"/>
        <v>-1.9033762794854889E-2</v>
      </c>
      <c r="L38" s="12">
        <f t="shared" si="7"/>
        <v>-0.15687750151321556</v>
      </c>
      <c r="M38" s="14"/>
      <c r="R38" s="110"/>
      <c r="S38" s="110"/>
      <c r="T38" s="110"/>
      <c r="U38" s="110"/>
      <c r="V38" s="110"/>
      <c r="W38" s="110"/>
      <c r="X38" s="110"/>
    </row>
    <row r="39" spans="1:24" x14ac:dyDescent="0.35">
      <c r="B39" t="s">
        <v>113</v>
      </c>
      <c r="C39" s="125">
        <f>SUM(C36:C38)</f>
        <v>2.9026316888500459</v>
      </c>
      <c r="D39" s="97"/>
      <c r="E39" s="111">
        <f>SUM(E36:E38)</f>
        <v>0.55081784243511023</v>
      </c>
      <c r="F39" s="111">
        <f t="shared" ref="F39:K39" si="11">SUM(F36:F38)</f>
        <v>0.50755556050901129</v>
      </c>
      <c r="G39" s="111">
        <f t="shared" si="11"/>
        <v>0.45956741393779077</v>
      </c>
      <c r="H39" s="111">
        <f t="shared" si="11"/>
        <v>0.41619363289486816</v>
      </c>
      <c r="I39" s="111">
        <f t="shared" si="11"/>
        <v>0.36376943074371998</v>
      </c>
      <c r="J39" s="111">
        <f t="shared" si="11"/>
        <v>0.32592583248650647</v>
      </c>
      <c r="K39" s="111">
        <f t="shared" si="11"/>
        <v>0.27880197584303867</v>
      </c>
      <c r="L39" s="12">
        <f t="shared" si="7"/>
        <v>2.2979038805205003</v>
      </c>
      <c r="M39" s="14"/>
      <c r="R39" s="110"/>
      <c r="S39" s="110"/>
      <c r="T39" s="110"/>
      <c r="U39" s="110"/>
      <c r="V39" s="110"/>
      <c r="W39" s="110"/>
      <c r="X39" s="110"/>
    </row>
    <row r="40" spans="1:24" x14ac:dyDescent="0.35">
      <c r="B40" t="s">
        <v>114</v>
      </c>
      <c r="C40" s="125">
        <f>$C$13</f>
        <v>8</v>
      </c>
      <c r="D40" s="97"/>
      <c r="E40" s="111">
        <f t="shared" ref="E40:K40" si="12">$C$40*E35</f>
        <v>1.5181198346341527</v>
      </c>
      <c r="F40" s="111">
        <f t="shared" si="12"/>
        <v>1.3988838128066958</v>
      </c>
      <c r="G40" s="111">
        <f t="shared" si="12"/>
        <v>1.2666227429491355</v>
      </c>
      <c r="H40" s="111">
        <f t="shared" si="12"/>
        <v>1.1470794162238456</v>
      </c>
      <c r="I40" s="111">
        <f t="shared" si="12"/>
        <v>1.0025920467721123</v>
      </c>
      <c r="J40" s="111">
        <f t="shared" si="12"/>
        <v>0.89829056504411176</v>
      </c>
      <c r="K40" s="111">
        <f t="shared" si="12"/>
        <v>0.76841158156994682</v>
      </c>
      <c r="L40" s="12">
        <f t="shared" si="7"/>
        <v>6.3332978533859414</v>
      </c>
      <c r="M40" s="14"/>
      <c r="R40" s="110"/>
      <c r="S40" s="110"/>
      <c r="T40" s="110"/>
      <c r="U40" s="110"/>
      <c r="V40" s="110"/>
      <c r="W40" s="110"/>
      <c r="X40" s="110"/>
    </row>
    <row r="41" spans="1:24" x14ac:dyDescent="0.35">
      <c r="A41" s="1"/>
      <c r="B41" s="1" t="s">
        <v>275</v>
      </c>
      <c r="C41" s="1"/>
      <c r="D41" s="28"/>
      <c r="E41" s="112">
        <f>E22+E39+E40</f>
        <v>9.7689376770692622</v>
      </c>
      <c r="F41" s="112">
        <f t="shared" ref="F41:K41" si="13">F22+F39+F40</f>
        <v>9.0064393733157075</v>
      </c>
      <c r="G41" s="112">
        <f t="shared" si="13"/>
        <v>8.2261901568869256</v>
      </c>
      <c r="H41" s="112">
        <f t="shared" si="13"/>
        <v>7.4632730491187136</v>
      </c>
      <c r="I41" s="112">
        <f t="shared" si="13"/>
        <v>6.7353456885530214</v>
      </c>
      <c r="J41" s="112">
        <f t="shared" si="13"/>
        <v>5.8436756282699598</v>
      </c>
      <c r="K41" s="112">
        <f t="shared" si="13"/>
        <v>4.9987701156364359</v>
      </c>
      <c r="L41" s="12">
        <f t="shared" si="7"/>
        <v>41.200185944943627</v>
      </c>
      <c r="M41" s="14"/>
      <c r="R41" s="110"/>
      <c r="S41" s="110"/>
      <c r="T41" s="110"/>
      <c r="U41" s="110"/>
      <c r="V41" s="110"/>
      <c r="W41" s="110"/>
      <c r="X41" s="110"/>
    </row>
    <row r="42" spans="1:24" x14ac:dyDescent="0.35">
      <c r="D42" s="97"/>
      <c r="E42" s="98"/>
      <c r="F42" s="98"/>
      <c r="G42" s="98"/>
      <c r="H42" s="98"/>
      <c r="I42" s="98"/>
      <c r="J42" s="98"/>
      <c r="K42" s="98"/>
      <c r="L42" s="75"/>
    </row>
    <row r="43" spans="1:24" s="181" customFormat="1" x14ac:dyDescent="0.35">
      <c r="A43" s="180" t="s">
        <v>257</v>
      </c>
      <c r="D43" s="193"/>
      <c r="E43" s="194"/>
      <c r="F43" s="194"/>
      <c r="G43" s="194"/>
      <c r="H43" s="194"/>
      <c r="I43" s="194"/>
      <c r="J43" s="194"/>
      <c r="K43" s="194"/>
      <c r="L43" s="192"/>
    </row>
    <row r="44" spans="1:24" x14ac:dyDescent="0.35">
      <c r="B44" t="s">
        <v>115</v>
      </c>
      <c r="D44" s="99"/>
      <c r="E44" s="16">
        <f>'Allocate emissions budget'!H32/SUM('Allocate emissions budget'!$H$32:$L$32)</f>
        <v>0.23970447463204772</v>
      </c>
      <c r="F44" s="16">
        <f>'Allocate emissions budget'!I32/SUM('Allocate emissions budget'!$H$32:$L$32)</f>
        <v>0.22087762887368656</v>
      </c>
      <c r="G44" s="16">
        <f>'Allocate emissions budget'!J32/SUM('Allocate emissions budget'!$H$32:$L$32)</f>
        <v>0.19999418506299474</v>
      </c>
      <c r="H44" s="16">
        <f>'Allocate emissions budget'!K32/SUM('Allocate emissions budget'!$H$32:$L$32)</f>
        <v>0.18111881720683445</v>
      </c>
      <c r="I44" s="16">
        <f>'Allocate emissions budget'!L32/SUM('Allocate emissions budget'!$H$32:$L$32)</f>
        <v>0.1583048942244365</v>
      </c>
      <c r="J44" s="17">
        <v>0</v>
      </c>
      <c r="K44" s="17">
        <v>0</v>
      </c>
      <c r="L44" s="75">
        <f t="shared" ref="L44:L50" si="14">SUM(E44:I44)</f>
        <v>0.99999999999999989</v>
      </c>
      <c r="M44" s="27"/>
    </row>
    <row r="45" spans="1:24" x14ac:dyDescent="0.35">
      <c r="A45" s="95"/>
      <c r="B45" t="s">
        <v>110</v>
      </c>
      <c r="C45" s="125">
        <f>C36</f>
        <v>1.5690712018796003</v>
      </c>
      <c r="D45" s="100"/>
      <c r="E45" s="100">
        <f t="shared" ref="E45:K45" si="15">$C$45*E19</f>
        <v>0.29775476419083369</v>
      </c>
      <c r="F45" s="100">
        <f t="shared" si="15"/>
        <v>0.27436853818131496</v>
      </c>
      <c r="G45" s="100">
        <f t="shared" si="15"/>
        <v>0.24842765870090444</v>
      </c>
      <c r="H45" s="100">
        <f t="shared" si="15"/>
        <v>0.2249811597832124</v>
      </c>
      <c r="I45" s="100">
        <f t="shared" si="15"/>
        <v>0.19664228847795578</v>
      </c>
      <c r="J45" s="100">
        <f t="shared" si="15"/>
        <v>0.17618523206635867</v>
      </c>
      <c r="K45" s="100">
        <f t="shared" si="15"/>
        <v>0.1507115604790201</v>
      </c>
      <c r="L45" s="12">
        <f t="shared" si="14"/>
        <v>1.2421744093342211</v>
      </c>
      <c r="M45" s="14"/>
    </row>
    <row r="46" spans="1:24" x14ac:dyDescent="0.35">
      <c r="B46" t="s">
        <v>111</v>
      </c>
      <c r="C46" s="125">
        <f>('Allocate emissions budget'!$G$58)*-1</f>
        <v>1.5317226516371143</v>
      </c>
      <c r="D46" s="97"/>
      <c r="E46" s="111">
        <f>$C$46*E19</f>
        <v>0.29066731732609019</v>
      </c>
      <c r="F46" s="111">
        <f t="shared" ref="F46:K46" si="16">$C$46*F19</f>
        <v>0.26783775288556355</v>
      </c>
      <c r="G46" s="111">
        <f t="shared" si="16"/>
        <v>0.24251434330674054</v>
      </c>
      <c r="H46" s="111">
        <f t="shared" si="16"/>
        <v>0.21962594063209268</v>
      </c>
      <c r="I46" s="111">
        <f t="shared" si="16"/>
        <v>0.19196161854900767</v>
      </c>
      <c r="J46" s="111">
        <f t="shared" si="16"/>
        <v>0.17199150077874603</v>
      </c>
      <c r="K46" s="111">
        <f t="shared" si="16"/>
        <v>0.14712417815887344</v>
      </c>
      <c r="L46" s="12">
        <f t="shared" si="14"/>
        <v>1.2126069726994946</v>
      </c>
      <c r="M46" s="14"/>
      <c r="R46" s="110"/>
      <c r="S46" s="110"/>
      <c r="T46" s="110"/>
      <c r="U46" s="110"/>
      <c r="V46" s="110"/>
      <c r="W46" s="110"/>
      <c r="X46" s="110"/>
    </row>
    <row r="47" spans="1:24" x14ac:dyDescent="0.35">
      <c r="B47" t="s">
        <v>112</v>
      </c>
      <c r="C47" s="125">
        <f>('Industrial free allocation'!$P$66)*-1</f>
        <v>-0.19816216466666869</v>
      </c>
      <c r="D47" s="97"/>
      <c r="E47" s="111">
        <f>$C$47*E19</f>
        <v>-3.7604239081813595E-2</v>
      </c>
      <c r="F47" s="111">
        <f t="shared" ref="F47:K47" si="17">$C$47*F19</f>
        <v>-3.4650730557867222E-2</v>
      </c>
      <c r="G47" s="111">
        <f t="shared" si="17"/>
        <v>-3.1374588069854263E-2</v>
      </c>
      <c r="H47" s="111">
        <f t="shared" si="17"/>
        <v>-2.841346752043698E-2</v>
      </c>
      <c r="I47" s="111">
        <f t="shared" si="17"/>
        <v>-2.4834476283243461E-2</v>
      </c>
      <c r="J47" s="111">
        <f t="shared" si="17"/>
        <v>-2.2250900358598263E-2</v>
      </c>
      <c r="K47" s="111">
        <f t="shared" si="17"/>
        <v>-1.9033762794854889E-2</v>
      </c>
      <c r="L47" s="12">
        <f t="shared" si="14"/>
        <v>-0.1568775015132155</v>
      </c>
      <c r="M47" s="14"/>
      <c r="R47" s="110"/>
      <c r="S47" s="110"/>
      <c r="T47" s="110"/>
      <c r="U47" s="110"/>
      <c r="V47" s="110"/>
      <c r="W47" s="110"/>
      <c r="X47" s="110"/>
    </row>
    <row r="48" spans="1:24" x14ac:dyDescent="0.35">
      <c r="B48" t="s">
        <v>113</v>
      </c>
      <c r="C48" s="125">
        <f>SUM(C45:C47)</f>
        <v>2.9026316888500459</v>
      </c>
      <c r="D48" s="97"/>
      <c r="E48" s="111">
        <f>SUM(E45:E47)</f>
        <v>0.55081784243511023</v>
      </c>
      <c r="F48" s="111">
        <f t="shared" ref="F48:K48" si="18">SUM(F45:F47)</f>
        <v>0.50755556050901129</v>
      </c>
      <c r="G48" s="111">
        <f t="shared" si="18"/>
        <v>0.45956741393779071</v>
      </c>
      <c r="H48" s="111">
        <f t="shared" si="18"/>
        <v>0.41619363289486805</v>
      </c>
      <c r="I48" s="111">
        <f t="shared" si="18"/>
        <v>0.36376943074371998</v>
      </c>
      <c r="J48" s="111">
        <f t="shared" si="18"/>
        <v>0.32592583248650642</v>
      </c>
      <c r="K48" s="111">
        <f t="shared" si="18"/>
        <v>0.27880197584303862</v>
      </c>
      <c r="L48" s="12">
        <f t="shared" si="14"/>
        <v>2.2979038805205003</v>
      </c>
      <c r="M48" s="14"/>
      <c r="R48" s="110"/>
      <c r="S48" s="110"/>
      <c r="T48" s="110"/>
      <c r="U48" s="110"/>
      <c r="V48" s="110"/>
      <c r="W48" s="110"/>
      <c r="X48" s="110"/>
    </row>
    <row r="49" spans="1:24" x14ac:dyDescent="0.35">
      <c r="B49" t="s">
        <v>116</v>
      </c>
      <c r="C49" s="141">
        <f>$C$13</f>
        <v>8</v>
      </c>
      <c r="D49" s="100"/>
      <c r="E49" s="100">
        <f t="shared" ref="E49:K49" si="19">$C$49*E44</f>
        <v>1.9176357970563818</v>
      </c>
      <c r="F49" s="100">
        <f t="shared" si="19"/>
        <v>1.7670210309894925</v>
      </c>
      <c r="G49" s="100">
        <f t="shared" si="19"/>
        <v>1.5999534805039579</v>
      </c>
      <c r="H49" s="100">
        <f t="shared" si="19"/>
        <v>1.4489505376546756</v>
      </c>
      <c r="I49" s="100">
        <f t="shared" si="19"/>
        <v>1.266439153795492</v>
      </c>
      <c r="J49" s="100">
        <f t="shared" si="19"/>
        <v>0</v>
      </c>
      <c r="K49" s="100">
        <f t="shared" si="19"/>
        <v>0</v>
      </c>
      <c r="L49" s="12">
        <f t="shared" si="14"/>
        <v>7.9999999999999991</v>
      </c>
      <c r="M49" s="14"/>
    </row>
    <row r="50" spans="1:24" x14ac:dyDescent="0.35">
      <c r="A50" s="1"/>
      <c r="B50" s="1" t="s">
        <v>276</v>
      </c>
      <c r="C50" s="102"/>
      <c r="D50" s="103"/>
      <c r="E50" s="103">
        <f t="shared" ref="E50:K50" si="20">E22+E48+E49</f>
        <v>10.168453639491492</v>
      </c>
      <c r="F50" s="103">
        <f t="shared" si="20"/>
        <v>9.3745765914985029</v>
      </c>
      <c r="G50" s="103">
        <f t="shared" si="20"/>
        <v>8.5595208944417482</v>
      </c>
      <c r="H50" s="103">
        <f t="shared" si="20"/>
        <v>7.7651441705495436</v>
      </c>
      <c r="I50" s="103">
        <f t="shared" si="20"/>
        <v>6.9991927955764011</v>
      </c>
      <c r="J50" s="103">
        <f t="shared" si="20"/>
        <v>4.9453850632258485</v>
      </c>
      <c r="K50" s="103">
        <f t="shared" si="20"/>
        <v>4.2303585340664887</v>
      </c>
      <c r="L50" s="12">
        <f t="shared" si="14"/>
        <v>42.866888091557691</v>
      </c>
      <c r="M50" s="14"/>
    </row>
    <row r="51" spans="1:24" x14ac:dyDescent="0.35">
      <c r="C51" s="96"/>
      <c r="D51" s="100"/>
      <c r="E51" s="100"/>
      <c r="F51" s="100"/>
      <c r="G51" s="100"/>
      <c r="H51" s="100"/>
      <c r="I51" s="100"/>
      <c r="J51" s="100"/>
      <c r="K51" s="100"/>
      <c r="L51" s="30"/>
    </row>
    <row r="52" spans="1:24" s="180" customFormat="1" x14ac:dyDescent="0.35">
      <c r="A52" s="180" t="s">
        <v>258</v>
      </c>
      <c r="C52" s="195"/>
      <c r="D52" s="196"/>
      <c r="E52" s="196"/>
      <c r="F52" s="196"/>
      <c r="G52" s="196"/>
      <c r="H52" s="196"/>
      <c r="I52" s="196"/>
      <c r="J52" s="196"/>
      <c r="K52" s="196"/>
      <c r="L52" s="197"/>
    </row>
    <row r="53" spans="1:24" x14ac:dyDescent="0.35">
      <c r="B53" t="s">
        <v>117</v>
      </c>
      <c r="D53" s="99"/>
      <c r="E53" s="16">
        <f>'Allocate emissions budget'!H32/SUM('Allocate emissions budget'!$H$32:$I$32)</f>
        <v>0.52043809954301312</v>
      </c>
      <c r="F53" s="16">
        <f>'Allocate emissions budget'!I32/SUM('Allocate emissions budget'!$H$32:$I$32)</f>
        <v>0.47956190045698688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75">
        <f t="shared" ref="L53:L59" si="21">SUM(E53:I53)</f>
        <v>1</v>
      </c>
      <c r="M53" s="27"/>
    </row>
    <row r="54" spans="1:24" x14ac:dyDescent="0.35">
      <c r="B54" t="s">
        <v>118</v>
      </c>
      <c r="C54" s="141">
        <f>C36</f>
        <v>1.5690712018796003</v>
      </c>
      <c r="D54" s="100"/>
      <c r="E54" s="100">
        <f t="shared" ref="E54:K54" si="22">$C$54*E19</f>
        <v>0.29775476419083369</v>
      </c>
      <c r="F54" s="100">
        <f t="shared" si="22"/>
        <v>0.27436853818131496</v>
      </c>
      <c r="G54" s="100">
        <f t="shared" si="22"/>
        <v>0.24842765870090444</v>
      </c>
      <c r="H54" s="100">
        <f t="shared" si="22"/>
        <v>0.2249811597832124</v>
      </c>
      <c r="I54" s="100">
        <f t="shared" si="22"/>
        <v>0.19664228847795578</v>
      </c>
      <c r="J54" s="100">
        <f t="shared" si="22"/>
        <v>0.17618523206635867</v>
      </c>
      <c r="K54" s="100">
        <f t="shared" si="22"/>
        <v>0.1507115604790201</v>
      </c>
      <c r="L54" s="12">
        <f t="shared" si="21"/>
        <v>1.2421744093342211</v>
      </c>
      <c r="M54" s="14"/>
    </row>
    <row r="55" spans="1:24" x14ac:dyDescent="0.35">
      <c r="B55" t="s">
        <v>111</v>
      </c>
      <c r="C55" s="125">
        <f>('Allocate emissions budget'!$G$58)*-1</f>
        <v>1.5317226516371143</v>
      </c>
      <c r="D55" s="97"/>
      <c r="E55" s="111">
        <f>$C$55*E19</f>
        <v>0.29066731732609019</v>
      </c>
      <c r="F55" s="111">
        <f t="shared" ref="F55:K55" si="23">$C$55*F19</f>
        <v>0.26783775288556355</v>
      </c>
      <c r="G55" s="111">
        <f t="shared" si="23"/>
        <v>0.24251434330674054</v>
      </c>
      <c r="H55" s="111">
        <f t="shared" si="23"/>
        <v>0.21962594063209268</v>
      </c>
      <c r="I55" s="111">
        <f t="shared" si="23"/>
        <v>0.19196161854900767</v>
      </c>
      <c r="J55" s="111">
        <f t="shared" si="23"/>
        <v>0.17199150077874603</v>
      </c>
      <c r="K55" s="111">
        <f t="shared" si="23"/>
        <v>0.14712417815887344</v>
      </c>
      <c r="L55" s="12">
        <f t="shared" si="21"/>
        <v>1.2126069726994946</v>
      </c>
      <c r="M55" s="14"/>
      <c r="R55" s="110"/>
      <c r="S55" s="110"/>
      <c r="T55" s="110"/>
      <c r="U55" s="110"/>
      <c r="V55" s="110"/>
      <c r="W55" s="110"/>
      <c r="X55" s="110"/>
    </row>
    <row r="56" spans="1:24" x14ac:dyDescent="0.35">
      <c r="B56" t="s">
        <v>112</v>
      </c>
      <c r="C56" s="125">
        <f>('Industrial free allocation'!$P$66)*-1</f>
        <v>-0.19816216466666869</v>
      </c>
      <c r="D56" s="97"/>
      <c r="E56" s="111">
        <f>$C$56*E19</f>
        <v>-3.7604239081813595E-2</v>
      </c>
      <c r="F56" s="111">
        <f t="shared" ref="F56:K56" si="24">$C$56*F19</f>
        <v>-3.4650730557867222E-2</v>
      </c>
      <c r="G56" s="111">
        <f t="shared" si="24"/>
        <v>-3.1374588069854263E-2</v>
      </c>
      <c r="H56" s="111">
        <f t="shared" si="24"/>
        <v>-2.841346752043698E-2</v>
      </c>
      <c r="I56" s="111">
        <f t="shared" si="24"/>
        <v>-2.4834476283243461E-2</v>
      </c>
      <c r="J56" s="111">
        <f t="shared" si="24"/>
        <v>-2.2250900358598263E-2</v>
      </c>
      <c r="K56" s="111">
        <f t="shared" si="24"/>
        <v>-1.9033762794854889E-2</v>
      </c>
      <c r="L56" s="12">
        <f t="shared" si="21"/>
        <v>-0.1568775015132155</v>
      </c>
      <c r="M56" s="14"/>
      <c r="R56" s="110"/>
      <c r="S56" s="110"/>
      <c r="T56" s="110"/>
      <c r="U56" s="110"/>
      <c r="V56" s="110"/>
      <c r="W56" s="110"/>
      <c r="X56" s="110"/>
    </row>
    <row r="57" spans="1:24" x14ac:dyDescent="0.35">
      <c r="B57" t="s">
        <v>113</v>
      </c>
      <c r="C57" s="125">
        <f>SUM(C54:C56)</f>
        <v>2.9026316888500459</v>
      </c>
      <c r="D57" s="97"/>
      <c r="E57" s="283">
        <f>SUM(E54:E56)</f>
        <v>0.55081784243511023</v>
      </c>
      <c r="F57" s="4">
        <f t="shared" ref="F57" si="25">SUM(F54:F56)</f>
        <v>0.50755556050901129</v>
      </c>
      <c r="G57" s="4">
        <f t="shared" ref="G57" si="26">SUM(G54:G56)</f>
        <v>0.45956741393779071</v>
      </c>
      <c r="H57" s="4">
        <f t="shared" ref="H57" si="27">SUM(H54:H56)</f>
        <v>0.41619363289486805</v>
      </c>
      <c r="I57" s="4">
        <f t="shared" ref="I57" si="28">SUM(I54:I56)</f>
        <v>0.36376943074371998</v>
      </c>
      <c r="J57" s="111">
        <f t="shared" ref="J57" si="29">SUM(J54:J56)</f>
        <v>0.32592583248650642</v>
      </c>
      <c r="K57" s="111">
        <f t="shared" ref="K57" si="30">SUM(K54:K56)</f>
        <v>0.27880197584303862</v>
      </c>
      <c r="L57" s="12">
        <f t="shared" si="21"/>
        <v>2.2979038805205003</v>
      </c>
      <c r="M57" s="14"/>
      <c r="R57" s="110"/>
      <c r="S57" s="110"/>
      <c r="T57" s="110"/>
      <c r="U57" s="110"/>
      <c r="V57" s="110"/>
      <c r="W57" s="110"/>
      <c r="X57" s="110"/>
    </row>
    <row r="58" spans="1:24" x14ac:dyDescent="0.35">
      <c r="B58" t="s">
        <v>119</v>
      </c>
      <c r="C58" s="141">
        <f>$C$13</f>
        <v>8</v>
      </c>
      <c r="D58" s="100"/>
      <c r="E58" s="4">
        <f>E53*$C$58</f>
        <v>4.163504796344105</v>
      </c>
      <c r="F58" s="4">
        <f>F53*$C$58</f>
        <v>3.836495203655895</v>
      </c>
      <c r="G58" s="4">
        <f t="shared" ref="G58:K58" si="31">G53*$C$58</f>
        <v>0</v>
      </c>
      <c r="H58" s="4">
        <f t="shared" si="31"/>
        <v>0</v>
      </c>
      <c r="I58" s="4">
        <f t="shared" si="31"/>
        <v>0</v>
      </c>
      <c r="J58" s="100">
        <f t="shared" si="31"/>
        <v>0</v>
      </c>
      <c r="K58" s="100">
        <f t="shared" si="31"/>
        <v>0</v>
      </c>
      <c r="L58" s="12">
        <f t="shared" si="21"/>
        <v>8</v>
      </c>
      <c r="M58" s="14"/>
    </row>
    <row r="59" spans="1:24" x14ac:dyDescent="0.35">
      <c r="A59" s="1"/>
      <c r="B59" s="1" t="s">
        <v>277</v>
      </c>
      <c r="C59" s="1"/>
      <c r="D59" s="104"/>
      <c r="E59" s="81">
        <f t="shared" ref="E59:K59" si="32">E22+E57+E58</f>
        <v>12.414322638779215</v>
      </c>
      <c r="F59" s="81">
        <f t="shared" si="32"/>
        <v>11.444050764164906</v>
      </c>
      <c r="G59" s="81">
        <f t="shared" si="32"/>
        <v>6.9595674139377905</v>
      </c>
      <c r="H59" s="81">
        <f t="shared" si="32"/>
        <v>6.3161936328948682</v>
      </c>
      <c r="I59" s="81">
        <f t="shared" si="32"/>
        <v>5.7327536417809091</v>
      </c>
      <c r="J59" s="4">
        <f t="shared" si="32"/>
        <v>4.9453850632258485</v>
      </c>
      <c r="K59" s="4">
        <f t="shared" si="32"/>
        <v>4.2303585340664887</v>
      </c>
      <c r="L59" s="12">
        <f t="shared" si="21"/>
        <v>42.866888091557691</v>
      </c>
      <c r="M59" s="14"/>
    </row>
    <row r="60" spans="1:24" x14ac:dyDescent="0.35">
      <c r="D60" s="101"/>
      <c r="E60" s="101"/>
      <c r="F60" s="101"/>
      <c r="G60" s="101"/>
      <c r="H60" s="101"/>
      <c r="I60" s="101"/>
      <c r="J60" s="101"/>
      <c r="K60" s="101"/>
      <c r="L60" s="75"/>
    </row>
    <row r="61" spans="1:24" x14ac:dyDescent="0.35">
      <c r="D61" s="101"/>
      <c r="E61" s="101"/>
      <c r="F61" s="101"/>
      <c r="G61" s="101"/>
      <c r="H61" s="101"/>
      <c r="I61" s="101"/>
      <c r="J61" s="101"/>
      <c r="K61" s="101"/>
      <c r="L61" s="75"/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C0826-7016-43B8-9376-3BB973C855AF}">
  <sheetPr>
    <tabColor theme="9"/>
  </sheetPr>
  <dimension ref="A1:P59"/>
  <sheetViews>
    <sheetView zoomScale="70" zoomScaleNormal="70" workbookViewId="0">
      <pane ySplit="1" topLeftCell="A13" activePane="bottomLeft" state="frozen"/>
      <selection pane="bottomLeft" activeCell="D34" sqref="D34"/>
    </sheetView>
  </sheetViews>
  <sheetFormatPr defaultColWidth="8.7265625" defaultRowHeight="14.5" x14ac:dyDescent="0.35"/>
  <cols>
    <col min="1" max="1" width="8.7265625" style="25"/>
    <col min="2" max="2" width="18.453125" style="25" customWidth="1"/>
    <col min="3" max="3" width="29.54296875" style="25" customWidth="1"/>
    <col min="4" max="4" width="19.54296875" style="25" customWidth="1"/>
    <col min="5" max="5" width="10.453125" style="25" bestFit="1" customWidth="1"/>
    <col min="6" max="6" width="13.1796875" style="25" customWidth="1"/>
    <col min="7" max="8" width="16" style="25" customWidth="1"/>
    <col min="9" max="9" width="14.81640625" style="25" customWidth="1"/>
    <col min="10" max="12" width="11.453125" style="25" customWidth="1"/>
    <col min="13" max="13" width="10.26953125" style="25" bestFit="1" customWidth="1"/>
    <col min="14" max="14" width="11.1796875" style="25" customWidth="1"/>
    <col min="15" max="15" width="8.81640625" style="25" bestFit="1" customWidth="1"/>
    <col min="16" max="16" width="9.453125" style="25" bestFit="1" customWidth="1"/>
    <col min="17" max="16384" width="8.7265625" style="25"/>
  </cols>
  <sheetData>
    <row r="1" spans="1:9" x14ac:dyDescent="0.35">
      <c r="D1" s="269" t="s">
        <v>321</v>
      </c>
      <c r="E1" s="269" t="s">
        <v>322</v>
      </c>
      <c r="F1" s="269" t="s">
        <v>323</v>
      </c>
      <c r="G1" s="269" t="s">
        <v>324</v>
      </c>
      <c r="H1" s="269" t="s">
        <v>325</v>
      </c>
      <c r="I1" s="270" t="s">
        <v>13</v>
      </c>
    </row>
    <row r="2" spans="1:9" s="272" customFormat="1" x14ac:dyDescent="0.35">
      <c r="A2" s="271" t="s">
        <v>307</v>
      </c>
      <c r="B2" s="271"/>
      <c r="D2" s="273"/>
      <c r="E2" s="273"/>
      <c r="F2" s="273"/>
      <c r="G2" s="273"/>
      <c r="H2" s="273"/>
      <c r="I2" s="271"/>
    </row>
    <row r="3" spans="1:9" customFormat="1" x14ac:dyDescent="0.35">
      <c r="B3" t="s">
        <v>92</v>
      </c>
      <c r="C3" t="s">
        <v>54</v>
      </c>
      <c r="D3" s="22">
        <v>0.5</v>
      </c>
      <c r="E3" s="22">
        <v>0</v>
      </c>
      <c r="F3" s="22">
        <v>0</v>
      </c>
      <c r="G3" s="22">
        <v>0</v>
      </c>
      <c r="H3" s="22">
        <v>0</v>
      </c>
      <c r="I3" s="3">
        <f t="shared" ref="I3:I5" si="0">SUM(D3:G3)</f>
        <v>0.5</v>
      </c>
    </row>
    <row r="4" spans="1:9" customFormat="1" x14ac:dyDescent="0.35">
      <c r="C4" t="s">
        <v>308</v>
      </c>
      <c r="D4" s="22">
        <v>1</v>
      </c>
      <c r="E4" s="22">
        <v>0.67</v>
      </c>
      <c r="F4" s="22">
        <v>0.33</v>
      </c>
      <c r="G4" s="22">
        <v>0</v>
      </c>
      <c r="H4" s="22">
        <v>0</v>
      </c>
      <c r="I4" s="3">
        <f t="shared" si="0"/>
        <v>2</v>
      </c>
    </row>
    <row r="5" spans="1:9" customFormat="1" x14ac:dyDescent="0.35">
      <c r="C5" t="s">
        <v>23</v>
      </c>
      <c r="D5" s="22">
        <v>1</v>
      </c>
      <c r="E5" s="22">
        <v>0</v>
      </c>
      <c r="F5" s="22">
        <v>0</v>
      </c>
      <c r="G5" s="22">
        <v>0</v>
      </c>
      <c r="H5" s="22">
        <v>0</v>
      </c>
      <c r="I5" s="3">
        <f t="shared" si="0"/>
        <v>1</v>
      </c>
    </row>
    <row r="6" spans="1:9" customFormat="1" x14ac:dyDescent="0.35">
      <c r="D6" s="3"/>
      <c r="E6" s="3"/>
      <c r="F6" s="3"/>
      <c r="G6" s="3"/>
      <c r="H6" s="3"/>
      <c r="I6" s="3"/>
    </row>
    <row r="7" spans="1:9" s="168" customFormat="1" x14ac:dyDescent="0.35">
      <c r="D7" s="274"/>
      <c r="E7" s="274"/>
      <c r="F7" s="274"/>
      <c r="G7" s="274"/>
      <c r="H7" s="274"/>
      <c r="I7" s="28"/>
    </row>
    <row r="8" spans="1:9" s="272" customFormat="1" x14ac:dyDescent="0.35">
      <c r="A8" s="271" t="s">
        <v>309</v>
      </c>
      <c r="D8" s="275"/>
      <c r="E8" s="275"/>
      <c r="F8" s="275"/>
      <c r="G8" s="275"/>
      <c r="H8" s="275"/>
    </row>
    <row r="9" spans="1:9" x14ac:dyDescent="0.35">
      <c r="A9" s="24"/>
      <c r="B9" s="25" t="s">
        <v>310</v>
      </c>
      <c r="D9" s="26"/>
      <c r="E9" s="26"/>
      <c r="F9" s="26"/>
      <c r="G9" s="26"/>
      <c r="H9" s="26"/>
    </row>
    <row r="10" spans="1:9" x14ac:dyDescent="0.35">
      <c r="A10" s="24"/>
      <c r="C10" s="25" t="s">
        <v>311</v>
      </c>
      <c r="D10" s="5">
        <f>'Allocate emissions budget'!G102</f>
        <v>20452.655033376632</v>
      </c>
      <c r="E10" s="5">
        <f>'Allocate emissions budget'!H102</f>
        <v>20344.295177427801</v>
      </c>
      <c r="F10" s="5">
        <f>'Allocate emissions budget'!I102</f>
        <v>20194.829228157723</v>
      </c>
      <c r="G10" s="5">
        <f>'Allocate emissions budget'!J102</f>
        <v>19926.726607918445</v>
      </c>
      <c r="H10" s="5">
        <f>'Allocate emissions budget'!K102</f>
        <v>19607.38517330767</v>
      </c>
      <c r="I10" s="171">
        <f>SUM(D10:H10)</f>
        <v>100525.89122018828</v>
      </c>
    </row>
    <row r="11" spans="1:9" x14ac:dyDescent="0.35">
      <c r="A11" s="24"/>
      <c r="C11" s="25" t="s">
        <v>312</v>
      </c>
      <c r="D11" s="5">
        <f>'Allocate emissions budget'!G103+'Allocate emissions budget'!G104</f>
        <v>14709.402262994081</v>
      </c>
      <c r="E11" s="5">
        <f>'Allocate emissions budget'!H103+'Allocate emissions budget'!H104</f>
        <v>13757.421568566311</v>
      </c>
      <c r="F11" s="5">
        <f>'Allocate emissions budget'!I103+'Allocate emissions budget'!I104</f>
        <v>12771.479379867407</v>
      </c>
      <c r="G11" s="5">
        <f>'Allocate emissions budget'!J103+'Allocate emissions budget'!J104</f>
        <v>12488.809674362812</v>
      </c>
      <c r="H11" s="5">
        <f>'Allocate emissions budget'!K103+'Allocate emissions budget'!K104</f>
        <v>12135.764252359579</v>
      </c>
      <c r="I11" s="171">
        <f t="shared" ref="I11:I19" si="1">SUM(D11:H11)</f>
        <v>65862.877138150187</v>
      </c>
    </row>
    <row r="12" spans="1:9" x14ac:dyDescent="0.35">
      <c r="A12" s="24"/>
      <c r="C12" s="25" t="s">
        <v>313</v>
      </c>
      <c r="D12" s="5">
        <f>'Allocate emissions budget'!G105</f>
        <v>1115.874382499414</v>
      </c>
      <c r="E12" s="5">
        <f>'Allocate emissions budget'!H105</f>
        <v>1076.0843577361793</v>
      </c>
      <c r="F12" s="5">
        <f>'Allocate emissions budget'!I105</f>
        <v>1036.054120142684</v>
      </c>
      <c r="G12" s="5">
        <f>'Allocate emissions budget'!J105</f>
        <v>995.70752310355147</v>
      </c>
      <c r="H12" s="5">
        <f>'Allocate emissions budget'!K105</f>
        <v>955.70162727814841</v>
      </c>
      <c r="I12" s="171">
        <f t="shared" si="1"/>
        <v>5179.4220107599767</v>
      </c>
    </row>
    <row r="13" spans="1:9" x14ac:dyDescent="0.35">
      <c r="A13" s="24"/>
      <c r="C13" s="25" t="s">
        <v>73</v>
      </c>
      <c r="D13" s="5">
        <f>SUM(D10:D12)</f>
        <v>36277.931678870125</v>
      </c>
      <c r="E13" s="5">
        <f>SUM(E10:E12)</f>
        <v>35177.801103730293</v>
      </c>
      <c r="F13" s="5">
        <f>SUM(F10:F12)</f>
        <v>34002.362728167813</v>
      </c>
      <c r="G13" s="5">
        <f>SUM(G10:G12)</f>
        <v>33411.243805384809</v>
      </c>
      <c r="H13" s="5">
        <f>SUM(H10:H12)</f>
        <v>32698.851052945396</v>
      </c>
      <c r="I13" s="171">
        <f t="shared" si="1"/>
        <v>171568.19036909845</v>
      </c>
    </row>
    <row r="14" spans="1:9" x14ac:dyDescent="0.35">
      <c r="C14" s="276"/>
      <c r="D14" s="276"/>
      <c r="E14" s="276"/>
      <c r="F14" s="276"/>
      <c r="G14" s="276"/>
      <c r="H14" s="276"/>
      <c r="I14" s="171"/>
    </row>
    <row r="15" spans="1:9" x14ac:dyDescent="0.35">
      <c r="A15" s="24"/>
      <c r="B15" s="25" t="s">
        <v>314</v>
      </c>
      <c r="D15" s="5"/>
      <c r="E15" s="5"/>
      <c r="F15" s="5"/>
      <c r="G15" s="5"/>
      <c r="H15" s="5"/>
      <c r="I15" s="171">
        <f t="shared" si="1"/>
        <v>0</v>
      </c>
    </row>
    <row r="16" spans="1:9" x14ac:dyDescent="0.35">
      <c r="C16" s="25" t="s">
        <v>311</v>
      </c>
      <c r="D16" s="25">
        <f>D10-'Technical adjustments'!C5</f>
        <v>19652.655033376632</v>
      </c>
      <c r="E16" s="25">
        <f>E10-'Technical adjustments'!D5</f>
        <v>19544.295177427801</v>
      </c>
      <c r="F16" s="25">
        <f>F10-'Technical adjustments'!E5</f>
        <v>19394.829228157723</v>
      </c>
      <c r="G16" s="25">
        <f>G10-'Technical adjustments'!F5</f>
        <v>19126.726607918445</v>
      </c>
      <c r="H16" s="25">
        <f>H10-'Technical adjustments'!G5</f>
        <v>18807.38517330767</v>
      </c>
      <c r="I16" s="171">
        <f t="shared" si="1"/>
        <v>96525.891220188278</v>
      </c>
    </row>
    <row r="17" spans="1:16" x14ac:dyDescent="0.35">
      <c r="C17" s="25" t="s">
        <v>312</v>
      </c>
      <c r="D17" s="25">
        <f>D11-'Technical adjustments'!C9</f>
        <v>13940.331061114481</v>
      </c>
      <c r="E17" s="25">
        <f>E11-'Technical adjustments'!D9</f>
        <v>13109.892611562296</v>
      </c>
      <c r="F17" s="25">
        <f>F11-'Technical adjustments'!E9</f>
        <v>12232.088773105956</v>
      </c>
      <c r="G17" s="25">
        <f>G11-'Technical adjustments'!F9</f>
        <v>11966.268573111543</v>
      </c>
      <c r="H17" s="25">
        <f>H11-'Technical adjustments'!G9</f>
        <v>11637.270911763062</v>
      </c>
      <c r="I17" s="171">
        <f t="shared" si="1"/>
        <v>62885.851930657343</v>
      </c>
    </row>
    <row r="18" spans="1:16" x14ac:dyDescent="0.35">
      <c r="C18" s="25" t="s">
        <v>313</v>
      </c>
      <c r="D18" s="25">
        <f>D12</f>
        <v>1115.874382499414</v>
      </c>
      <c r="E18" s="25">
        <f>E12</f>
        <v>1076.0843577361793</v>
      </c>
      <c r="F18" s="25">
        <f>F12</f>
        <v>1036.054120142684</v>
      </c>
      <c r="G18" s="25">
        <f>G12</f>
        <v>995.70752310355147</v>
      </c>
      <c r="H18" s="25">
        <f>H12</f>
        <v>955.70162727814841</v>
      </c>
      <c r="I18" s="171">
        <f t="shared" si="1"/>
        <v>5179.4220107599767</v>
      </c>
    </row>
    <row r="19" spans="1:16" x14ac:dyDescent="0.35">
      <c r="C19" s="25" t="s">
        <v>73</v>
      </c>
      <c r="D19" s="25">
        <f>SUM(D16:D18)</f>
        <v>34708.860476990529</v>
      </c>
      <c r="E19" s="25">
        <f>SUM(E16:E18)</f>
        <v>33730.272146726275</v>
      </c>
      <c r="F19" s="25">
        <f>SUM(F16:F18)</f>
        <v>32662.972121406361</v>
      </c>
      <c r="G19" s="25">
        <f>SUM(G16:G18)</f>
        <v>32088.702704133542</v>
      </c>
      <c r="H19" s="25">
        <f>SUM(H16:H18)</f>
        <v>31400.357712348879</v>
      </c>
      <c r="I19" s="171">
        <f t="shared" si="1"/>
        <v>164591.16516160558</v>
      </c>
    </row>
    <row r="20" spans="1:16" x14ac:dyDescent="0.35">
      <c r="C20" s="276"/>
      <c r="D20" s="276"/>
      <c r="E20" s="276"/>
      <c r="F20" s="276"/>
      <c r="G20" s="276"/>
      <c r="H20" s="276"/>
      <c r="I20" s="276"/>
      <c r="M20" s="27"/>
      <c r="N20" s="30"/>
    </row>
    <row r="21" spans="1:16" s="272" customFormat="1" ht="15.65" customHeight="1" x14ac:dyDescent="0.35">
      <c r="A21" s="271" t="s">
        <v>315</v>
      </c>
      <c r="G21" s="277"/>
      <c r="H21" s="277"/>
      <c r="I21" s="278"/>
      <c r="P21" s="279"/>
    </row>
    <row r="22" spans="1:16" x14ac:dyDescent="0.35">
      <c r="C22" s="25" t="s">
        <v>316</v>
      </c>
      <c r="D22" s="25">
        <v>0</v>
      </c>
      <c r="E22" s="25">
        <v>0</v>
      </c>
      <c r="F22" s="25">
        <v>0</v>
      </c>
      <c r="G22" s="25">
        <v>0</v>
      </c>
      <c r="I22" s="170">
        <f t="shared" ref="I22:I24" si="2">SUM(D22:G22)</f>
        <v>0</v>
      </c>
      <c r="P22" s="31"/>
    </row>
    <row r="23" spans="1:16" x14ac:dyDescent="0.35">
      <c r="C23" s="25" t="s">
        <v>317</v>
      </c>
      <c r="D23" s="25">
        <v>3768.7161258399997</v>
      </c>
      <c r="E23" s="25">
        <v>3725.0688715199994</v>
      </c>
      <c r="F23" s="25">
        <v>3681.4216172000001</v>
      </c>
      <c r="G23" s="25">
        <v>3637.7743628800004</v>
      </c>
      <c r="H23" s="25">
        <v>3594.1271085600001</v>
      </c>
      <c r="I23" s="171">
        <f t="shared" ref="I23" si="3">SUM(D23:H23)</f>
        <v>18407.108086</v>
      </c>
      <c r="N23" s="31"/>
    </row>
    <row r="24" spans="1:16" x14ac:dyDescent="0.35">
      <c r="C24" s="25" t="s">
        <v>318</v>
      </c>
      <c r="D24" s="25">
        <v>0</v>
      </c>
      <c r="E24" s="25">
        <v>0</v>
      </c>
      <c r="F24" s="25">
        <v>0</v>
      </c>
      <c r="G24" s="25">
        <v>0</v>
      </c>
      <c r="I24" s="24">
        <f t="shared" si="2"/>
        <v>0</v>
      </c>
    </row>
    <row r="25" spans="1:16" x14ac:dyDescent="0.35">
      <c r="I25" s="24"/>
    </row>
    <row r="26" spans="1:16" s="272" customFormat="1" x14ac:dyDescent="0.35">
      <c r="A26" s="271" t="s">
        <v>319</v>
      </c>
      <c r="I26" s="271"/>
    </row>
    <row r="27" spans="1:16" customFormat="1" x14ac:dyDescent="0.35">
      <c r="D27" s="5"/>
      <c r="E27" s="5"/>
      <c r="F27" s="5"/>
      <c r="G27" s="5"/>
      <c r="H27" s="5"/>
      <c r="I27" s="5"/>
      <c r="K27" s="14"/>
    </row>
    <row r="28" spans="1:16" customFormat="1" x14ac:dyDescent="0.35">
      <c r="B28" t="s">
        <v>92</v>
      </c>
      <c r="C28" t="s">
        <v>54</v>
      </c>
      <c r="D28" s="5">
        <f t="shared" ref="D28:H30" si="4">(D16-D22)*D3</f>
        <v>9826.3275166883159</v>
      </c>
      <c r="E28" s="5">
        <f t="shared" si="4"/>
        <v>0</v>
      </c>
      <c r="F28" s="5">
        <f t="shared" si="4"/>
        <v>0</v>
      </c>
      <c r="G28" s="5">
        <f t="shared" si="4"/>
        <v>0</v>
      </c>
      <c r="H28" s="5">
        <f t="shared" si="4"/>
        <v>0</v>
      </c>
      <c r="I28" s="5">
        <f t="shared" ref="I28:I31" si="5">SUM(D28:H28)</f>
        <v>9826.3275166883159</v>
      </c>
      <c r="K28" s="14"/>
      <c r="M28" s="25"/>
      <c r="N28" s="25"/>
      <c r="O28" s="25"/>
      <c r="P28" s="25"/>
    </row>
    <row r="29" spans="1:16" customFormat="1" x14ac:dyDescent="0.35">
      <c r="C29" t="s">
        <v>308</v>
      </c>
      <c r="D29" s="5">
        <f t="shared" si="4"/>
        <v>10171.614935274481</v>
      </c>
      <c r="E29" s="5">
        <f t="shared" si="4"/>
        <v>6287.8319058283396</v>
      </c>
      <c r="F29" s="5">
        <f t="shared" si="4"/>
        <v>2821.7201614489654</v>
      </c>
      <c r="G29" s="5">
        <f t="shared" si="4"/>
        <v>0</v>
      </c>
      <c r="H29" s="5">
        <f t="shared" si="4"/>
        <v>0</v>
      </c>
      <c r="I29" s="5">
        <f t="shared" si="5"/>
        <v>19281.167002551785</v>
      </c>
      <c r="K29" s="14"/>
    </row>
    <row r="30" spans="1:16" customFormat="1" x14ac:dyDescent="0.35">
      <c r="C30" t="s">
        <v>23</v>
      </c>
      <c r="D30" s="5">
        <f t="shared" si="4"/>
        <v>1115.874382499414</v>
      </c>
      <c r="E30" s="5">
        <f t="shared" si="4"/>
        <v>0</v>
      </c>
      <c r="F30" s="5">
        <f t="shared" si="4"/>
        <v>0</v>
      </c>
      <c r="G30" s="5">
        <f t="shared" si="4"/>
        <v>0</v>
      </c>
      <c r="H30" s="5">
        <f t="shared" si="4"/>
        <v>0</v>
      </c>
      <c r="I30" s="5">
        <f t="shared" si="5"/>
        <v>1115.874382499414</v>
      </c>
      <c r="K30" s="14"/>
    </row>
    <row r="31" spans="1:16" customFormat="1" x14ac:dyDescent="0.35">
      <c r="C31" s="1" t="s">
        <v>320</v>
      </c>
      <c r="D31" s="6">
        <f>SUM(D28:D30)</f>
        <v>21113.81683446221</v>
      </c>
      <c r="E31" s="6">
        <f t="shared" ref="E31:H31" si="6">SUM(E28:E30)</f>
        <v>6287.8319058283396</v>
      </c>
      <c r="F31" s="6">
        <f t="shared" si="6"/>
        <v>2821.7201614489654</v>
      </c>
      <c r="G31" s="6">
        <f t="shared" si="6"/>
        <v>0</v>
      </c>
      <c r="H31" s="6">
        <f t="shared" si="6"/>
        <v>0</v>
      </c>
      <c r="I31" s="5">
        <f t="shared" si="5"/>
        <v>30223.368901739512</v>
      </c>
      <c r="K31" s="14"/>
    </row>
    <row r="32" spans="1:16" x14ac:dyDescent="0.35">
      <c r="H32" s="25" t="s">
        <v>327</v>
      </c>
      <c r="I32" s="281">
        <f>I31/1000</f>
        <v>30.223368901739512</v>
      </c>
    </row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52" spans="4:8" x14ac:dyDescent="0.35">
      <c r="D52" s="280"/>
      <c r="E52" s="280"/>
      <c r="F52" s="280"/>
      <c r="G52" s="280"/>
      <c r="H52" s="280"/>
    </row>
    <row r="53" spans="4:8" x14ac:dyDescent="0.35">
      <c r="D53" s="280"/>
      <c r="E53" s="280"/>
      <c r="F53" s="280"/>
      <c r="G53" s="280"/>
      <c r="H53" s="280"/>
    </row>
    <row r="54" spans="4:8" x14ac:dyDescent="0.35">
      <c r="D54" s="280"/>
      <c r="E54" s="280"/>
      <c r="F54" s="280"/>
      <c r="G54" s="280"/>
      <c r="H54" s="280"/>
    </row>
    <row r="55" spans="4:8" x14ac:dyDescent="0.35">
      <c r="D55" s="280"/>
      <c r="E55" s="280"/>
      <c r="F55" s="280"/>
      <c r="G55" s="280"/>
      <c r="H55" s="280"/>
    </row>
    <row r="56" spans="4:8" x14ac:dyDescent="0.35">
      <c r="D56" s="280"/>
      <c r="E56" s="280"/>
      <c r="F56" s="280"/>
      <c r="G56" s="280"/>
      <c r="H56" s="280"/>
    </row>
    <row r="57" spans="4:8" x14ac:dyDescent="0.35">
      <c r="D57" s="280"/>
      <c r="E57" s="280"/>
      <c r="F57" s="280"/>
      <c r="G57" s="280"/>
      <c r="H57" s="280"/>
    </row>
    <row r="58" spans="4:8" x14ac:dyDescent="0.35">
      <c r="D58" s="280"/>
      <c r="E58" s="280"/>
      <c r="F58" s="280"/>
      <c r="G58" s="280"/>
      <c r="H58" s="280"/>
    </row>
    <row r="59" spans="4:8" x14ac:dyDescent="0.35">
      <c r="D59" s="280"/>
      <c r="E59" s="280"/>
      <c r="F59" s="280"/>
      <c r="G59" s="280"/>
      <c r="H59" s="280"/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A604A-DFB1-4133-A78D-F23705CC0D83}">
  <sheetPr>
    <tabColor theme="5"/>
  </sheetPr>
  <dimension ref="A1:V48"/>
  <sheetViews>
    <sheetView zoomScale="80" zoomScaleNormal="80" workbookViewId="0">
      <pane ySplit="1" topLeftCell="A2" activePane="bottomLeft" state="frozen"/>
      <selection pane="bottomLeft" activeCell="G30" sqref="G30"/>
    </sheetView>
  </sheetViews>
  <sheetFormatPr defaultRowHeight="14.5" x14ac:dyDescent="0.35"/>
  <cols>
    <col min="2" max="2" width="15.1796875" customWidth="1"/>
    <col min="3" max="3" width="33" customWidth="1"/>
    <col min="4" max="8" width="12" bestFit="1" customWidth="1"/>
    <col min="9" max="18" width="12" customWidth="1"/>
    <col min="19" max="19" width="11.54296875" style="5" bestFit="1" customWidth="1"/>
  </cols>
  <sheetData>
    <row r="1" spans="1:22" x14ac:dyDescent="0.35">
      <c r="D1">
        <v>2023</v>
      </c>
      <c r="E1">
        <v>2024</v>
      </c>
      <c r="F1">
        <v>2025</v>
      </c>
      <c r="G1">
        <v>2026</v>
      </c>
      <c r="H1">
        <v>2027</v>
      </c>
      <c r="I1">
        <v>2028</v>
      </c>
      <c r="J1" s="247" t="s">
        <v>52</v>
      </c>
      <c r="K1">
        <v>2029</v>
      </c>
      <c r="L1">
        <v>2030</v>
      </c>
      <c r="S1"/>
      <c r="T1" s="5"/>
    </row>
    <row r="2" spans="1:22" s="39" customFormat="1" x14ac:dyDescent="0.35">
      <c r="A2" s="38" t="s">
        <v>262</v>
      </c>
      <c r="T2" s="54"/>
    </row>
    <row r="3" spans="1:22" x14ac:dyDescent="0.35">
      <c r="B3" s="1"/>
      <c r="C3" t="s">
        <v>281</v>
      </c>
      <c r="D3" s="12">
        <f>'Surplus &amp; CCR reduction volumes'!D22</f>
        <v>8</v>
      </c>
      <c r="E3" s="12">
        <f>'Surplus &amp; CCR reduction volumes'!E22</f>
        <v>7.7</v>
      </c>
      <c r="F3" s="12">
        <f>'Surplus &amp; CCR reduction volumes'!F22</f>
        <v>7.1</v>
      </c>
      <c r="G3" s="12">
        <f>'Surplus &amp; CCR reduction volumes'!G22</f>
        <v>6.5</v>
      </c>
      <c r="H3" s="12">
        <f>'Surplus &amp; CCR reduction volumes'!H22</f>
        <v>5.9</v>
      </c>
      <c r="I3" s="12">
        <f>'Surplus &amp; CCR reduction volumes'!I22</f>
        <v>5.3689842110371888</v>
      </c>
      <c r="J3" s="206">
        <f>SUM(E3:I3)</f>
        <v>32.56898421103719</v>
      </c>
      <c r="K3" s="12">
        <f>'Surplus &amp; CCR reduction volumes'!J22</f>
        <v>4.6194592307393423</v>
      </c>
      <c r="L3" s="12">
        <f>'Surplus &amp; CCR reduction volumes'!K22</f>
        <v>3.9515565582234498</v>
      </c>
      <c r="M3" s="12"/>
      <c r="N3" s="12"/>
      <c r="O3" s="12"/>
      <c r="P3" s="12"/>
      <c r="Q3" s="12"/>
      <c r="R3" s="12"/>
      <c r="S3" s="12"/>
      <c r="T3" s="12"/>
      <c r="V3" s="11"/>
    </row>
    <row r="4" spans="1:22" x14ac:dyDescent="0.35">
      <c r="D4" s="5"/>
      <c r="E4" s="5"/>
      <c r="F4" s="5"/>
      <c r="G4" s="5"/>
      <c r="H4" s="5"/>
      <c r="I4" s="5"/>
      <c r="J4" s="206"/>
      <c r="K4" s="5"/>
      <c r="L4" s="5"/>
      <c r="M4" s="5"/>
      <c r="N4" s="5"/>
      <c r="O4" s="5"/>
      <c r="P4" s="5"/>
      <c r="Q4" s="5"/>
      <c r="R4" s="5"/>
      <c r="T4" s="5"/>
      <c r="V4" s="11"/>
    </row>
    <row r="5" spans="1:22" x14ac:dyDescent="0.35">
      <c r="A5" s="22">
        <v>0.36</v>
      </c>
      <c r="C5" t="s">
        <v>120</v>
      </c>
      <c r="D5" s="13">
        <f t="shared" ref="D5:I5" si="0">(D3*$A$5)</f>
        <v>2.88</v>
      </c>
      <c r="E5" s="4">
        <f t="shared" si="0"/>
        <v>2.7719999999999998</v>
      </c>
      <c r="F5" s="4">
        <f t="shared" si="0"/>
        <v>2.5559999999999996</v>
      </c>
      <c r="G5" s="4">
        <f t="shared" si="0"/>
        <v>2.34</v>
      </c>
      <c r="H5" s="4">
        <f t="shared" si="0"/>
        <v>2.1240000000000001</v>
      </c>
      <c r="I5" s="4">
        <f t="shared" si="0"/>
        <v>1.9328343159733878</v>
      </c>
      <c r="J5" s="206">
        <f t="shared" ref="J5:J7" si="1">SUM(E5:I5)</f>
        <v>11.724834315973387</v>
      </c>
      <c r="K5" s="13">
        <f>(K3*$A$5)</f>
        <v>1.6630053230661632</v>
      </c>
      <c r="L5" s="13">
        <f>(L3*$A$5)</f>
        <v>1.4225603609604418</v>
      </c>
      <c r="M5" s="50"/>
      <c r="N5" s="50"/>
      <c r="O5" s="50"/>
      <c r="P5" s="50"/>
      <c r="Q5" s="50"/>
      <c r="R5" s="13"/>
      <c r="S5"/>
    </row>
    <row r="6" spans="1:22" x14ac:dyDescent="0.35">
      <c r="C6" t="s">
        <v>122</v>
      </c>
      <c r="D6" s="13">
        <f t="shared" ref="D6:I6" si="2">D3-D5</f>
        <v>5.12</v>
      </c>
      <c r="E6" s="4">
        <f t="shared" si="2"/>
        <v>4.9280000000000008</v>
      </c>
      <c r="F6" s="4">
        <f t="shared" si="2"/>
        <v>4.5440000000000005</v>
      </c>
      <c r="G6" s="4">
        <f t="shared" si="2"/>
        <v>4.16</v>
      </c>
      <c r="H6" s="4">
        <f t="shared" si="2"/>
        <v>3.7760000000000002</v>
      </c>
      <c r="I6" s="4">
        <f t="shared" si="2"/>
        <v>3.4361498950638012</v>
      </c>
      <c r="J6" s="206">
        <f t="shared" si="1"/>
        <v>20.844149895063801</v>
      </c>
      <c r="K6" s="13">
        <f>K3-K5</f>
        <v>2.9564539076731791</v>
      </c>
      <c r="L6" s="13">
        <f>L3-L5</f>
        <v>2.528996197263008</v>
      </c>
      <c r="M6" s="50"/>
      <c r="N6" s="50"/>
      <c r="O6" s="50"/>
      <c r="P6" s="50"/>
      <c r="Q6" s="50"/>
      <c r="S6"/>
    </row>
    <row r="7" spans="1:22" x14ac:dyDescent="0.35">
      <c r="C7" t="s">
        <v>272</v>
      </c>
      <c r="D7" s="13">
        <f>D5+D6</f>
        <v>8</v>
      </c>
      <c r="E7" s="4">
        <f t="shared" ref="E7:I7" si="3">E5+E6</f>
        <v>7.7000000000000011</v>
      </c>
      <c r="F7" s="4">
        <f t="shared" si="3"/>
        <v>7.1</v>
      </c>
      <c r="G7" s="4">
        <f t="shared" si="3"/>
        <v>6.5</v>
      </c>
      <c r="H7" s="4">
        <f t="shared" si="3"/>
        <v>5.9</v>
      </c>
      <c r="I7" s="4">
        <f t="shared" si="3"/>
        <v>5.3689842110371888</v>
      </c>
      <c r="J7" s="206">
        <f t="shared" si="1"/>
        <v>32.56898421103719</v>
      </c>
      <c r="K7" s="13">
        <f t="shared" ref="K7:L7" si="4">K5+K6</f>
        <v>4.6194592307393423</v>
      </c>
      <c r="L7" s="13">
        <f t="shared" si="4"/>
        <v>3.9515565582234498</v>
      </c>
      <c r="M7" s="50"/>
      <c r="N7" s="50"/>
      <c r="O7" s="50"/>
      <c r="P7" s="50"/>
      <c r="Q7" s="50"/>
      <c r="S7"/>
    </row>
    <row r="8" spans="1:22" x14ac:dyDescent="0.35">
      <c r="S8"/>
    </row>
    <row r="9" spans="1:22" s="181" customFormat="1" x14ac:dyDescent="0.35">
      <c r="A9" s="180" t="s">
        <v>162</v>
      </c>
    </row>
    <row r="10" spans="1:22" x14ac:dyDescent="0.35">
      <c r="C10" t="s">
        <v>264</v>
      </c>
      <c r="D10" s="68">
        <v>8</v>
      </c>
      <c r="E10" s="68">
        <v>7.7</v>
      </c>
      <c r="F10" s="68">
        <v>7.1</v>
      </c>
      <c r="G10" s="68">
        <v>6.5</v>
      </c>
      <c r="H10" s="68">
        <v>5.9</v>
      </c>
      <c r="I10" s="4"/>
      <c r="J10" s="4"/>
      <c r="K10" s="4"/>
      <c r="L10" s="4"/>
      <c r="M10" s="4"/>
      <c r="N10" s="4"/>
      <c r="O10" s="4"/>
      <c r="P10" s="4"/>
      <c r="S10"/>
    </row>
    <row r="11" spans="1:22" x14ac:dyDescent="0.35">
      <c r="S11"/>
    </row>
    <row r="12" spans="1:22" s="87" customFormat="1" x14ac:dyDescent="0.35">
      <c r="A12" s="203" t="s">
        <v>263</v>
      </c>
      <c r="D12" s="202"/>
      <c r="E12" s="204">
        <v>2024</v>
      </c>
      <c r="F12" s="204">
        <v>2025</v>
      </c>
      <c r="G12" s="204">
        <v>2026</v>
      </c>
      <c r="H12" s="204">
        <v>2027</v>
      </c>
      <c r="I12" s="204">
        <v>2028</v>
      </c>
      <c r="J12" s="205" t="s">
        <v>52</v>
      </c>
      <c r="K12" s="202"/>
      <c r="L12" s="202"/>
      <c r="M12" s="202"/>
      <c r="N12" s="202"/>
      <c r="O12" s="202"/>
      <c r="P12" s="202"/>
    </row>
    <row r="13" spans="1:22" x14ac:dyDescent="0.35">
      <c r="C13" s="12" t="s">
        <v>282</v>
      </c>
      <c r="E13" s="12">
        <f>E10</f>
        <v>7.7</v>
      </c>
      <c r="F13" s="12">
        <f>F10</f>
        <v>7.1</v>
      </c>
      <c r="G13" s="12">
        <f>G5</f>
        <v>2.34</v>
      </c>
      <c r="H13" s="12">
        <f t="shared" ref="H13:I13" si="5">H5</f>
        <v>2.1240000000000001</v>
      </c>
      <c r="I13" s="12">
        <f t="shared" si="5"/>
        <v>1.9328343159733878</v>
      </c>
      <c r="J13" s="206">
        <f>SUM(E13:I13)</f>
        <v>21.196834315973387</v>
      </c>
      <c r="S13"/>
    </row>
    <row r="14" spans="1:22" x14ac:dyDescent="0.35">
      <c r="C14" s="12" t="s">
        <v>122</v>
      </c>
      <c r="E14" s="12">
        <v>0</v>
      </c>
      <c r="F14" s="12">
        <v>0</v>
      </c>
      <c r="G14" s="12">
        <f>G6</f>
        <v>4.16</v>
      </c>
      <c r="H14" s="12">
        <f t="shared" ref="H14:I14" si="6">H6</f>
        <v>3.7760000000000002</v>
      </c>
      <c r="I14" s="12">
        <f t="shared" si="6"/>
        <v>3.4361498950638012</v>
      </c>
      <c r="J14" s="206">
        <f t="shared" ref="J14:J15" si="7">SUM(E14:I14)</f>
        <v>11.372149895063801</v>
      </c>
      <c r="S14"/>
    </row>
    <row r="15" spans="1:22" x14ac:dyDescent="0.35">
      <c r="C15" s="1" t="s">
        <v>272</v>
      </c>
      <c r="D15" s="1"/>
      <c r="E15" s="71">
        <f>E13+E14</f>
        <v>7.7</v>
      </c>
      <c r="F15" s="71">
        <f t="shared" ref="F15:I15" si="8">F13+F14</f>
        <v>7.1</v>
      </c>
      <c r="G15" s="71">
        <f t="shared" si="8"/>
        <v>6.5</v>
      </c>
      <c r="H15" s="71">
        <f t="shared" si="8"/>
        <v>5.9</v>
      </c>
      <c r="I15" s="71">
        <f t="shared" si="8"/>
        <v>5.3689842110371888</v>
      </c>
      <c r="J15" s="206">
        <f t="shared" si="7"/>
        <v>32.56898421103719</v>
      </c>
      <c r="K15" s="12"/>
      <c r="L15" s="12"/>
      <c r="M15" s="12"/>
      <c r="N15" s="12"/>
      <c r="O15" s="12"/>
      <c r="P15" s="12"/>
      <c r="Q15" s="12"/>
      <c r="S15"/>
    </row>
    <row r="16" spans="1:22" x14ac:dyDescent="0.3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S16"/>
    </row>
    <row r="17" spans="4:19" x14ac:dyDescent="0.35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S17"/>
    </row>
    <row r="18" spans="4:19" x14ac:dyDescent="0.35">
      <c r="S18"/>
    </row>
    <row r="19" spans="4:19" x14ac:dyDescent="0.35">
      <c r="S19"/>
    </row>
    <row r="20" spans="4:19" x14ac:dyDescent="0.35">
      <c r="S20"/>
    </row>
    <row r="21" spans="4:19" x14ac:dyDescent="0.35">
      <c r="S21"/>
    </row>
    <row r="22" spans="4:19" x14ac:dyDescent="0.35">
      <c r="S22"/>
    </row>
    <row r="23" spans="4:19" x14ac:dyDescent="0.35">
      <c r="S23"/>
    </row>
    <row r="24" spans="4:19" x14ac:dyDescent="0.35">
      <c r="S24"/>
    </row>
    <row r="25" spans="4:19" x14ac:dyDescent="0.35">
      <c r="S25"/>
    </row>
    <row r="26" spans="4:19" x14ac:dyDescent="0.35">
      <c r="S26"/>
    </row>
    <row r="27" spans="4:19" x14ac:dyDescent="0.35">
      <c r="S27"/>
    </row>
    <row r="28" spans="4:19" x14ac:dyDescent="0.35">
      <c r="S28"/>
    </row>
    <row r="29" spans="4:19" x14ac:dyDescent="0.35">
      <c r="S29"/>
    </row>
    <row r="30" spans="4:19" x14ac:dyDescent="0.35">
      <c r="S30"/>
    </row>
    <row r="31" spans="4:19" x14ac:dyDescent="0.35">
      <c r="S31"/>
    </row>
    <row r="32" spans="4:19" x14ac:dyDescent="0.35">
      <c r="S32"/>
    </row>
    <row r="33" spans="3:19" x14ac:dyDescent="0.35">
      <c r="S33"/>
    </row>
    <row r="34" spans="3:19" x14ac:dyDescent="0.35">
      <c r="S34"/>
    </row>
    <row r="35" spans="3:19" x14ac:dyDescent="0.35">
      <c r="S35"/>
    </row>
    <row r="36" spans="3:19" x14ac:dyDescent="0.35">
      <c r="S36"/>
    </row>
    <row r="37" spans="3:19" x14ac:dyDescent="0.35">
      <c r="S37"/>
    </row>
    <row r="44" spans="3:19" x14ac:dyDescent="0.35">
      <c r="S44"/>
    </row>
    <row r="45" spans="3:19" x14ac:dyDescent="0.35">
      <c r="C45" s="36"/>
      <c r="S45"/>
    </row>
    <row r="46" spans="3:19" x14ac:dyDescent="0.35">
      <c r="C46" s="3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3:19" x14ac:dyDescent="0.35"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3:19" x14ac:dyDescent="0.35">
      <c r="C48" s="36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</sheetData>
  <phoneticPr fontId="9" type="noConversion"/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BF82-0884-42D0-A7EF-54B7810893EB}">
  <sheetPr>
    <tabColor theme="8"/>
  </sheetPr>
  <dimension ref="A2:AE140"/>
  <sheetViews>
    <sheetView zoomScale="70" zoomScaleNormal="70" workbookViewId="0">
      <pane ySplit="1" topLeftCell="A35" activePane="bottomLeft" state="frozen"/>
      <selection pane="bottomLeft" activeCell="I82" sqref="I82"/>
    </sheetView>
  </sheetViews>
  <sheetFormatPr defaultColWidth="8.7265625" defaultRowHeight="14.5" x14ac:dyDescent="0.35"/>
  <cols>
    <col min="1" max="1" width="16" customWidth="1"/>
    <col min="2" max="2" width="33.81640625" customWidth="1"/>
    <col min="3" max="3" width="15.81640625" customWidth="1"/>
    <col min="4" max="7" width="13.54296875" bestFit="1" customWidth="1"/>
    <col min="8" max="8" width="15.1796875" customWidth="1"/>
    <col min="9" max="9" width="15" customWidth="1"/>
    <col min="10" max="11" width="12.54296875" bestFit="1" customWidth="1"/>
    <col min="12" max="16" width="12.54296875" customWidth="1"/>
    <col min="21" max="21" width="12.453125" customWidth="1"/>
    <col min="23" max="23" width="11.54296875" bestFit="1" customWidth="1"/>
    <col min="29" max="29" width="10.54296875" bestFit="1" customWidth="1"/>
    <col min="30" max="30" width="11.54296875" bestFit="1" customWidth="1"/>
    <col min="31" max="31" width="10.54296875" bestFit="1" customWidth="1"/>
  </cols>
  <sheetData>
    <row r="2" spans="1:31" s="39" customFormat="1" x14ac:dyDescent="0.35">
      <c r="A2" s="38" t="s">
        <v>130</v>
      </c>
    </row>
    <row r="3" spans="1:31" x14ac:dyDescent="0.35">
      <c r="C3">
        <v>2023</v>
      </c>
      <c r="D3">
        <v>2024</v>
      </c>
      <c r="E3">
        <v>2025</v>
      </c>
      <c r="F3">
        <v>2026</v>
      </c>
      <c r="G3">
        <v>2027</v>
      </c>
      <c r="H3" s="1" t="s">
        <v>259</v>
      </c>
    </row>
    <row r="4" spans="1:31" x14ac:dyDescent="0.35">
      <c r="A4" s="29" t="s">
        <v>131</v>
      </c>
      <c r="B4" t="s">
        <v>132</v>
      </c>
      <c r="C4" s="82">
        <v>73.599999999999994</v>
      </c>
      <c r="D4" s="82">
        <v>72.099999999999994</v>
      </c>
      <c r="E4" s="82">
        <v>69.7</v>
      </c>
      <c r="F4" s="82">
        <v>66.5</v>
      </c>
      <c r="G4" s="82">
        <v>63.9</v>
      </c>
      <c r="H4" s="107">
        <f>SUM(C4:G4)</f>
        <v>345.79999999999995</v>
      </c>
      <c r="I4" s="94"/>
      <c r="J4" s="94"/>
      <c r="K4" s="94"/>
      <c r="L4" s="94"/>
      <c r="M4" s="94"/>
      <c r="N4" s="94"/>
      <c r="O4" s="94"/>
      <c r="P4" s="94"/>
    </row>
    <row r="5" spans="1:31" x14ac:dyDescent="0.35">
      <c r="A5" s="15" t="s">
        <v>133</v>
      </c>
      <c r="B5" t="s">
        <v>134</v>
      </c>
      <c r="C5" s="82">
        <v>41.3</v>
      </c>
      <c r="D5" s="82">
        <v>41</v>
      </c>
      <c r="E5" s="82">
        <v>41</v>
      </c>
      <c r="F5" s="82">
        <v>40.299999999999997</v>
      </c>
      <c r="G5" s="82">
        <v>40.200000000000003</v>
      </c>
      <c r="H5" s="107">
        <f t="shared" ref="H5:H11" si="0">SUM(C5:G5)</f>
        <v>203.8</v>
      </c>
      <c r="I5" s="94"/>
      <c r="J5" s="94"/>
      <c r="K5" s="94"/>
      <c r="L5" s="94"/>
      <c r="M5" s="94"/>
      <c r="N5" s="94"/>
      <c r="O5" s="94"/>
      <c r="P5" s="94"/>
      <c r="U5" s="11"/>
      <c r="V5" s="11"/>
      <c r="W5" s="11"/>
      <c r="X5" s="11"/>
      <c r="Y5" s="11"/>
      <c r="Z5" s="11"/>
      <c r="AA5" s="11"/>
      <c r="AB5" s="11"/>
      <c r="AC5" s="11"/>
    </row>
    <row r="6" spans="1:31" x14ac:dyDescent="0.35">
      <c r="A6" s="15"/>
      <c r="B6" s="1" t="s">
        <v>135</v>
      </c>
      <c r="C6" s="71">
        <f>C4-C5</f>
        <v>32.299999999999997</v>
      </c>
      <c r="D6" s="71">
        <f>D4-D5</f>
        <v>31.099999999999994</v>
      </c>
      <c r="E6" s="71">
        <f>E4-E5</f>
        <v>28.700000000000003</v>
      </c>
      <c r="F6" s="71">
        <f>F4-F5</f>
        <v>26.200000000000003</v>
      </c>
      <c r="G6" s="71">
        <f>G4-G5</f>
        <v>23.699999999999996</v>
      </c>
      <c r="H6" s="107">
        <f t="shared" si="0"/>
        <v>142</v>
      </c>
      <c r="I6" s="227"/>
      <c r="J6" s="227"/>
      <c r="K6" s="227"/>
      <c r="L6" s="227"/>
      <c r="M6" s="227"/>
      <c r="N6" s="227"/>
      <c r="O6" s="227"/>
      <c r="P6" s="227"/>
      <c r="U6" s="11"/>
      <c r="V6" s="11"/>
      <c r="W6" s="11"/>
      <c r="X6" s="11"/>
      <c r="Y6" s="11"/>
      <c r="Z6" s="11"/>
      <c r="AA6" s="11"/>
      <c r="AB6" s="11"/>
    </row>
    <row r="7" spans="1:31" x14ac:dyDescent="0.35">
      <c r="A7" s="15" t="s">
        <v>136</v>
      </c>
      <c r="B7" t="s">
        <v>2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107">
        <f t="shared" si="0"/>
        <v>0</v>
      </c>
      <c r="I7" s="94"/>
      <c r="J7" s="94"/>
      <c r="K7" s="94"/>
      <c r="L7" s="94"/>
      <c r="M7" s="94"/>
      <c r="N7" s="94"/>
      <c r="O7" s="94"/>
      <c r="P7" s="94"/>
    </row>
    <row r="8" spans="1:31" x14ac:dyDescent="0.35">
      <c r="A8" s="15" t="s">
        <v>137</v>
      </c>
      <c r="B8" t="s">
        <v>138</v>
      </c>
      <c r="C8" s="82">
        <v>6.4</v>
      </c>
      <c r="D8" s="82">
        <v>6.3</v>
      </c>
      <c r="E8" s="82">
        <v>6.3</v>
      </c>
      <c r="F8" s="82">
        <v>6.2</v>
      </c>
      <c r="G8" s="82">
        <v>6.1</v>
      </c>
      <c r="H8" s="107">
        <f t="shared" si="0"/>
        <v>31.299999999999997</v>
      </c>
      <c r="I8" s="94"/>
      <c r="J8" s="94"/>
      <c r="K8" s="94"/>
      <c r="L8" s="94"/>
      <c r="M8" s="94"/>
      <c r="N8" s="94"/>
      <c r="O8" s="94"/>
      <c r="P8" s="94"/>
      <c r="AD8" s="5"/>
      <c r="AE8" s="5"/>
    </row>
    <row r="9" spans="1:31" x14ac:dyDescent="0.35">
      <c r="A9" s="15" t="s">
        <v>139</v>
      </c>
      <c r="B9" t="s">
        <v>140</v>
      </c>
      <c r="C9" s="82">
        <v>8</v>
      </c>
      <c r="D9" s="82">
        <v>7.7</v>
      </c>
      <c r="E9" s="82">
        <v>7.1</v>
      </c>
      <c r="F9" s="82">
        <v>6.5</v>
      </c>
      <c r="G9" s="82">
        <v>5.9</v>
      </c>
      <c r="H9" s="107">
        <f t="shared" si="0"/>
        <v>35.199999999999996</v>
      </c>
      <c r="I9" s="94"/>
      <c r="J9" s="94"/>
      <c r="K9" s="94"/>
      <c r="L9" s="94"/>
      <c r="M9" s="94"/>
      <c r="N9" s="94"/>
      <c r="O9" s="94"/>
      <c r="P9" s="94"/>
    </row>
    <row r="10" spans="1:31" x14ac:dyDescent="0.35">
      <c r="A10" s="15" t="s">
        <v>141</v>
      </c>
      <c r="B10" t="s">
        <v>142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07">
        <f t="shared" si="0"/>
        <v>0</v>
      </c>
      <c r="I10" s="172"/>
      <c r="J10" s="172"/>
      <c r="K10" s="172"/>
      <c r="L10" s="172"/>
      <c r="M10" s="172"/>
      <c r="N10" s="172"/>
      <c r="O10" s="172"/>
      <c r="P10" s="172"/>
    </row>
    <row r="11" spans="1:31" x14ac:dyDescent="0.35">
      <c r="A11" s="105" t="s">
        <v>143</v>
      </c>
      <c r="B11" s="74" t="s">
        <v>144</v>
      </c>
      <c r="C11" s="73">
        <f>C4-C5-C7-C8-C9</f>
        <v>17.899999999999999</v>
      </c>
      <c r="D11" s="73">
        <f>D4-D5-D7-D8-D9</f>
        <v>17.099999999999994</v>
      </c>
      <c r="E11" s="73">
        <f>E4-E5-E7-E8-E9</f>
        <v>15.300000000000002</v>
      </c>
      <c r="F11" s="73">
        <f>F4-F5-F7-F8-F9</f>
        <v>13.500000000000004</v>
      </c>
      <c r="G11" s="73">
        <f>G4-G5-G7-G8-G9</f>
        <v>11.699999999999994</v>
      </c>
      <c r="H11" s="107">
        <f t="shared" si="0"/>
        <v>75.499999999999986</v>
      </c>
      <c r="I11" s="228"/>
      <c r="J11" s="228"/>
      <c r="K11" s="228"/>
      <c r="L11" s="228"/>
      <c r="M11" s="228"/>
      <c r="N11" s="228"/>
      <c r="O11" s="228"/>
      <c r="P11" s="228"/>
      <c r="W11" s="11"/>
    </row>
    <row r="12" spans="1:31" x14ac:dyDescent="0.3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31" x14ac:dyDescent="0.35">
      <c r="A13" s="38" t="s">
        <v>278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31" x14ac:dyDescent="0.35">
      <c r="C14" s="207">
        <v>2023</v>
      </c>
      <c r="D14">
        <v>2024</v>
      </c>
      <c r="E14">
        <v>2025</v>
      </c>
      <c r="F14">
        <v>2026</v>
      </c>
      <c r="G14">
        <v>2027</v>
      </c>
      <c r="H14">
        <v>2028</v>
      </c>
      <c r="I14" s="226" t="s">
        <v>52</v>
      </c>
      <c r="J14">
        <v>2029</v>
      </c>
      <c r="K14">
        <v>2030</v>
      </c>
      <c r="L14">
        <v>2031</v>
      </c>
      <c r="M14">
        <v>2032</v>
      </c>
      <c r="N14">
        <v>2033</v>
      </c>
      <c r="O14">
        <v>2034</v>
      </c>
      <c r="P14">
        <v>2035</v>
      </c>
    </row>
    <row r="15" spans="1:31" x14ac:dyDescent="0.35">
      <c r="A15" s="29" t="s">
        <v>131</v>
      </c>
      <c r="B15" t="s">
        <v>132</v>
      </c>
      <c r="C15" s="207"/>
      <c r="D15">
        <f t="shared" ref="D15:E17" si="1">D4</f>
        <v>72.099999999999994</v>
      </c>
      <c r="E15">
        <f t="shared" si="1"/>
        <v>69.7</v>
      </c>
      <c r="F15" s="12">
        <f>'Allocate emissions budget'!J7</f>
        <v>66.526613497394223</v>
      </c>
      <c r="G15" s="12">
        <f>'Allocate emissions budget'!K7</f>
        <v>63.857721327852708</v>
      </c>
      <c r="H15" s="12">
        <f>'Allocate emissions budget'!L7</f>
        <v>60.703389645464291</v>
      </c>
      <c r="I15" s="71">
        <f>SUM(D15:H15)</f>
        <v>332.88772447071125</v>
      </c>
      <c r="J15" s="12">
        <f>'Allocate emissions budget'!M7</f>
        <v>58.295868785954681</v>
      </c>
      <c r="K15" s="12">
        <f>'Allocate emissions budget'!N7</f>
        <v>55.377138276367006</v>
      </c>
      <c r="L15" s="12">
        <f>'Allocate emissions budget'!O7</f>
        <v>52.848969092993066</v>
      </c>
      <c r="M15" s="12">
        <f>'Allocate emissions budget'!P7</f>
        <v>50.431497938212779</v>
      </c>
      <c r="N15" s="12">
        <f>'Allocate emissions budget'!Q7</f>
        <v>48.032972247241723</v>
      </c>
      <c r="O15" s="12">
        <f>'Allocate emissions budget'!R7</f>
        <v>45.710434732651436</v>
      </c>
      <c r="P15" s="12">
        <f>'Allocate emissions budget'!S7</f>
        <v>43.236865732369061</v>
      </c>
    </row>
    <row r="16" spans="1:31" x14ac:dyDescent="0.35">
      <c r="A16" s="15" t="s">
        <v>133</v>
      </c>
      <c r="B16" t="s">
        <v>134</v>
      </c>
      <c r="C16" s="212"/>
      <c r="D16" s="4">
        <f t="shared" si="1"/>
        <v>41</v>
      </c>
      <c r="E16" s="4">
        <f t="shared" si="1"/>
        <v>41</v>
      </c>
      <c r="F16" s="116">
        <f>('Allocate emissions budget'!J27/1000)</f>
        <v>42.00394473287102</v>
      </c>
      <c r="G16" s="116">
        <f>('Allocate emissions budget'!K27/1000)</f>
        <v>41.649491823647743</v>
      </c>
      <c r="H16" s="116">
        <f>('Allocate emissions budget'!L27/1000)</f>
        <v>41.292532856573374</v>
      </c>
      <c r="I16" s="71">
        <f t="shared" ref="I16:I24" si="2">SUM(D16:H16)</f>
        <v>206.94596941309214</v>
      </c>
      <c r="J16" s="116">
        <f>('Allocate emissions budget'!M27/1000)</f>
        <v>40.904358880184937</v>
      </c>
      <c r="K16" s="116">
        <f>('Allocate emissions budget'!N27/1000)</f>
        <v>40.500172901665913</v>
      </c>
      <c r="L16" s="116">
        <f>('Allocate emissions budget'!O27/1000)</f>
        <v>40.261772811958316</v>
      </c>
      <c r="M16" s="116">
        <f>('Allocate emissions budget'!P27/1000)</f>
        <v>40.09220410858368</v>
      </c>
      <c r="N16" s="116">
        <f>('Allocate emissions budget'!Q27/1000)</f>
        <v>39.946599739169628</v>
      </c>
      <c r="O16" s="116">
        <f>('Allocate emissions budget'!R27/1000)</f>
        <v>39.676125713947584</v>
      </c>
      <c r="P16" s="116">
        <f>('Allocate emissions budget'!S27/1000)</f>
        <v>39.273968663867976</v>
      </c>
    </row>
    <row r="17" spans="1:16" x14ac:dyDescent="0.35">
      <c r="A17" s="15"/>
      <c r="B17" s="1" t="s">
        <v>135</v>
      </c>
      <c r="C17" s="212"/>
      <c r="D17">
        <f t="shared" si="1"/>
        <v>31.099999999999994</v>
      </c>
      <c r="E17">
        <f t="shared" si="1"/>
        <v>28.700000000000003</v>
      </c>
      <c r="F17" s="71">
        <f t="shared" ref="F17:K17" si="3">F15-F16</f>
        <v>24.522668764523203</v>
      </c>
      <c r="G17" s="71">
        <f t="shared" si="3"/>
        <v>22.208229504204965</v>
      </c>
      <c r="H17" s="71">
        <f t="shared" si="3"/>
        <v>19.410856788890918</v>
      </c>
      <c r="I17" s="71">
        <f t="shared" si="2"/>
        <v>125.94175505761908</v>
      </c>
      <c r="J17" s="71">
        <f t="shared" si="3"/>
        <v>17.391509905769745</v>
      </c>
      <c r="K17" s="71">
        <f t="shared" si="3"/>
        <v>14.876965374701093</v>
      </c>
      <c r="L17" s="71">
        <f t="shared" ref="L17:P17" si="4">L15-L16</f>
        <v>12.58719628103475</v>
      </c>
      <c r="M17" s="71">
        <f t="shared" si="4"/>
        <v>10.339293829629099</v>
      </c>
      <c r="N17" s="71">
        <f t="shared" si="4"/>
        <v>8.0863725080720954</v>
      </c>
      <c r="O17" s="71">
        <f t="shared" si="4"/>
        <v>6.0343090187038513</v>
      </c>
      <c r="P17" s="71">
        <f t="shared" si="4"/>
        <v>3.9628970685010856</v>
      </c>
    </row>
    <row r="18" spans="1:16" x14ac:dyDescent="0.35">
      <c r="A18" s="15" t="s">
        <v>136</v>
      </c>
      <c r="B18" t="s">
        <v>145</v>
      </c>
      <c r="C18" s="207"/>
      <c r="D18">
        <f t="shared" ref="D18:E18" si="5">D7</f>
        <v>0</v>
      </c>
      <c r="E18">
        <f t="shared" si="5"/>
        <v>0</v>
      </c>
      <c r="F18" s="12">
        <f>'Technical adjustments'!F12</f>
        <v>1.3225411012512682</v>
      </c>
      <c r="G18" s="12">
        <f>'Technical adjustments'!G12</f>
        <v>1.2984933405965164</v>
      </c>
      <c r="H18" s="12">
        <f>'Technical adjustments'!H12</f>
        <v>1.2816707428508949</v>
      </c>
      <c r="I18" s="71">
        <f t="shared" si="2"/>
        <v>3.9027051846986796</v>
      </c>
      <c r="J18" s="12">
        <f>'Technical adjustments'!I12</f>
        <v>1.2620786424242185</v>
      </c>
      <c r="K18" s="12">
        <f>'Technical adjustments'!J12</f>
        <v>1.2427500122178776</v>
      </c>
      <c r="L18" s="12">
        <f>'Technical adjustments'!K12</f>
        <v>1.2248256377174598</v>
      </c>
      <c r="M18" s="12">
        <f>'Technical adjustments'!L12</f>
        <v>1.2108723945859567</v>
      </c>
      <c r="N18" s="12">
        <f>'Technical adjustments'!M12</f>
        <v>1.2018254073941022</v>
      </c>
      <c r="O18" s="12">
        <f>'Technical adjustments'!N12</f>
        <v>1.1940445484962647</v>
      </c>
      <c r="P18" s="12">
        <f>'Technical adjustments'!O12</f>
        <v>1.1855797106457777</v>
      </c>
    </row>
    <row r="19" spans="1:16" x14ac:dyDescent="0.35">
      <c r="A19" s="15" t="s">
        <v>137</v>
      </c>
      <c r="B19" t="s">
        <v>146</v>
      </c>
      <c r="C19" s="207"/>
      <c r="D19">
        <f>D8</f>
        <v>6.3</v>
      </c>
      <c r="E19">
        <f>E8</f>
        <v>6.3</v>
      </c>
      <c r="F19" s="12">
        <f>'Industrial free allocation'!S64</f>
        <v>5.991958736</v>
      </c>
      <c r="G19" s="12">
        <f>'Industrial free allocation'!T64</f>
        <v>5.9179877153333331</v>
      </c>
      <c r="H19" s="12">
        <f>'Industrial free allocation'!U64</f>
        <v>5.8440166946666663</v>
      </c>
      <c r="I19" s="71">
        <f t="shared" si="2"/>
        <v>30.353963145999998</v>
      </c>
      <c r="J19" s="12">
        <f>'Industrial free allocation'!W64</f>
        <v>5.7700456739999995</v>
      </c>
      <c r="K19" s="12">
        <f>'Industrial free allocation'!X64</f>
        <v>5.2766826533333333</v>
      </c>
      <c r="L19" s="12">
        <f>'Industrial free allocation'!Y64</f>
        <v>5.1392254119999992</v>
      </c>
      <c r="M19" s="12">
        <f>'Industrial free allocation'!Z64</f>
        <v>5.0017681706666659</v>
      </c>
      <c r="N19" s="12">
        <f>'Industrial free allocation'!AA64</f>
        <v>4.8643109293333326</v>
      </c>
      <c r="O19" s="12">
        <f>'Industrial free allocation'!AB64</f>
        <v>4.7268536880000003</v>
      </c>
      <c r="P19" s="12">
        <f>'Industrial free allocation'!AC64</f>
        <v>4.5893964466666661</v>
      </c>
    </row>
    <row r="20" spans="1:16" x14ac:dyDescent="0.35">
      <c r="A20" s="15" t="s">
        <v>139</v>
      </c>
      <c r="B20" t="s">
        <v>147</v>
      </c>
      <c r="C20" s="207"/>
      <c r="D20">
        <f>D9</f>
        <v>7.7</v>
      </c>
      <c r="E20">
        <f>E9</f>
        <v>7.1</v>
      </c>
      <c r="F20" s="12">
        <f>'Surplus &amp; CCR reduction volumes'!G22</f>
        <v>6.5</v>
      </c>
      <c r="G20" s="12">
        <f>'Surplus &amp; CCR reduction volumes'!H22</f>
        <v>5.9</v>
      </c>
      <c r="H20" s="12">
        <f>'Surplus &amp; CCR reduction volumes'!I22</f>
        <v>5.3689842110371888</v>
      </c>
      <c r="I20" s="71">
        <f t="shared" si="2"/>
        <v>32.56898421103719</v>
      </c>
      <c r="J20" s="12">
        <f>'Surplus &amp; CCR reduction volumes'!J22</f>
        <v>4.6194592307393423</v>
      </c>
      <c r="K20" s="12">
        <f>'Surplus &amp; CCR reduction volumes'!K22</f>
        <v>3.9515565582234498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</row>
    <row r="21" spans="1:16" x14ac:dyDescent="0.35">
      <c r="A21" s="15" t="s">
        <v>148</v>
      </c>
      <c r="B21" t="s">
        <v>149</v>
      </c>
      <c r="C21" s="207"/>
      <c r="F21" s="13">
        <f>'Surplus &amp; CCR reduction volumes'!G29</f>
        <v>2.1971520599352496</v>
      </c>
      <c r="G21" s="13">
        <f>'Surplus &amp; CCR reduction volumes'!H29</f>
        <v>1.9897857639895191</v>
      </c>
      <c r="H21" s="13">
        <f>'Surplus &amp; CCR reduction volumes'!I29</f>
        <v>1.7391501874591762</v>
      </c>
      <c r="I21" s="71">
        <f t="shared" si="2"/>
        <v>5.9260880113839445</v>
      </c>
      <c r="J21" s="285">
        <f>'Surplus &amp; CCR reduction volumes'!J29</f>
        <v>1.558223217129086</v>
      </c>
      <c r="K21" s="13">
        <f>'Surplus &amp; CCR reduction volumes'!K29</f>
        <v>1.3329281340658117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x14ac:dyDescent="0.35">
      <c r="A22" s="15" t="s">
        <v>141</v>
      </c>
      <c r="B22" t="s">
        <v>142</v>
      </c>
      <c r="C22" s="207"/>
      <c r="D22">
        <v>0</v>
      </c>
      <c r="E22">
        <v>0</v>
      </c>
      <c r="F22" s="13">
        <v>0</v>
      </c>
      <c r="G22" s="13">
        <v>0</v>
      </c>
      <c r="H22" s="13">
        <v>0</v>
      </c>
      <c r="I22" s="71">
        <f t="shared" si="2"/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1:16" x14ac:dyDescent="0.35">
      <c r="A23" s="15" t="s">
        <v>150</v>
      </c>
      <c r="B23" t="s">
        <v>151</v>
      </c>
      <c r="C23" s="207"/>
      <c r="F23" s="13"/>
      <c r="G23" s="13"/>
      <c r="H23" s="13"/>
      <c r="I23" s="71">
        <f t="shared" si="2"/>
        <v>0</v>
      </c>
      <c r="J23" s="13"/>
      <c r="K23" s="13"/>
      <c r="L23" s="13"/>
      <c r="M23" s="13"/>
      <c r="N23" s="13"/>
      <c r="O23" s="13"/>
      <c r="P23" s="13"/>
    </row>
    <row r="24" spans="1:16" x14ac:dyDescent="0.35">
      <c r="A24" s="105" t="s">
        <v>143</v>
      </c>
      <c r="B24" s="74" t="s">
        <v>144</v>
      </c>
      <c r="C24" s="199"/>
      <c r="D24" s="200">
        <f>D17-D18-D19-D20-D21-D22</f>
        <v>17.099999999999994</v>
      </c>
      <c r="E24" s="200">
        <f>E17-E18-E19-E20-E21-E22</f>
        <v>15.300000000000002</v>
      </c>
      <c r="F24" s="200">
        <f>F17-F18-F19-F20-F21-F22</f>
        <v>8.5110168673366857</v>
      </c>
      <c r="G24" s="200">
        <f t="shared" ref="G24:P24" si="6">G17-G18-G19-G20-G21-G22</f>
        <v>7.1019626842855983</v>
      </c>
      <c r="H24" s="200">
        <f t="shared" si="6"/>
        <v>5.1770349528769906</v>
      </c>
      <c r="I24" s="71">
        <f t="shared" si="2"/>
        <v>53.190014504499274</v>
      </c>
      <c r="J24" s="109">
        <f t="shared" si="6"/>
        <v>4.1817031414771</v>
      </c>
      <c r="K24" s="109">
        <f t="shared" si="6"/>
        <v>3.0730480168606213</v>
      </c>
      <c r="L24" s="109">
        <f t="shared" si="6"/>
        <v>6.2231452313172904</v>
      </c>
      <c r="M24" s="109">
        <f t="shared" si="6"/>
        <v>4.1266532643764764</v>
      </c>
      <c r="N24" s="109">
        <f t="shared" si="6"/>
        <v>2.0202361713446608</v>
      </c>
      <c r="O24" s="109">
        <f t="shared" si="6"/>
        <v>0.11341078220758583</v>
      </c>
      <c r="P24" s="109">
        <f t="shared" si="6"/>
        <v>-1.812079088811358</v>
      </c>
    </row>
    <row r="25" spans="1:16" x14ac:dyDescent="0.35">
      <c r="C25" s="3"/>
      <c r="D25" s="3"/>
      <c r="E25" s="3"/>
      <c r="F25" s="3"/>
      <c r="G25" s="3"/>
      <c r="H25" s="3"/>
      <c r="I25" s="3"/>
      <c r="J25" s="3"/>
      <c r="K25" s="115"/>
      <c r="L25" s="115"/>
      <c r="M25" s="115"/>
      <c r="N25" s="115"/>
      <c r="O25" s="115"/>
      <c r="P25" s="115"/>
    </row>
    <row r="26" spans="1:16" x14ac:dyDescent="0.35">
      <c r="A26" s="38" t="s">
        <v>265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35">
      <c r="C27" s="207">
        <v>2023</v>
      </c>
      <c r="D27">
        <v>2024</v>
      </c>
      <c r="E27">
        <v>2025</v>
      </c>
      <c r="F27">
        <v>2026</v>
      </c>
      <c r="G27">
        <v>2027</v>
      </c>
      <c r="H27">
        <v>2028</v>
      </c>
      <c r="I27" s="1" t="s">
        <v>52</v>
      </c>
      <c r="J27">
        <v>2029</v>
      </c>
      <c r="K27">
        <v>2030</v>
      </c>
      <c r="L27">
        <v>2031</v>
      </c>
      <c r="M27">
        <v>2032</v>
      </c>
      <c r="N27">
        <v>2033</v>
      </c>
      <c r="O27">
        <v>2034</v>
      </c>
      <c r="P27">
        <v>2035</v>
      </c>
    </row>
    <row r="28" spans="1:16" x14ac:dyDescent="0.35">
      <c r="A28" s="29" t="s">
        <v>131</v>
      </c>
      <c r="B28" t="s">
        <v>132</v>
      </c>
      <c r="C28" s="208"/>
      <c r="D28" s="12">
        <f>'Allocate emissions budget'!H7</f>
        <v>72.122053884700051</v>
      </c>
      <c r="E28" s="12">
        <f>'Allocate emissions budget'!I7</f>
        <v>69.700308569491924</v>
      </c>
      <c r="F28" s="12">
        <f>'Allocate emissions budget'!J7</f>
        <v>66.526613497394223</v>
      </c>
      <c r="G28" s="12">
        <f>'Allocate emissions budget'!K7</f>
        <v>63.857721327852708</v>
      </c>
      <c r="H28" s="12">
        <f>'Allocate emissions budget'!L7</f>
        <v>60.703389645464291</v>
      </c>
      <c r="I28" s="71">
        <f>SUM(D28:H28)</f>
        <v>332.91008692490323</v>
      </c>
      <c r="J28" s="12">
        <f>'Allocate emissions budget'!M7</f>
        <v>58.295868785954681</v>
      </c>
      <c r="K28" s="12">
        <f>'Allocate emissions budget'!N7</f>
        <v>55.377138276367006</v>
      </c>
      <c r="L28" s="12">
        <f>'Allocate emissions budget'!O7</f>
        <v>52.848969092993066</v>
      </c>
      <c r="M28" s="12">
        <f>'Allocate emissions budget'!P7</f>
        <v>50.431497938212779</v>
      </c>
      <c r="N28" s="12">
        <f>'Allocate emissions budget'!Q7</f>
        <v>48.032972247241723</v>
      </c>
      <c r="O28" s="12">
        <f>'Allocate emissions budget'!R7</f>
        <v>45.710434732651436</v>
      </c>
      <c r="P28" s="12">
        <f>'Allocate emissions budget'!S7</f>
        <v>43.236865732369061</v>
      </c>
    </row>
    <row r="29" spans="1:16" x14ac:dyDescent="0.35">
      <c r="A29" s="15" t="s">
        <v>133</v>
      </c>
      <c r="B29" t="s">
        <v>134</v>
      </c>
      <c r="C29" s="208"/>
      <c r="D29" s="12">
        <f>('Allocate emissions budget'!H27/1000)</f>
        <v>42.73023216286235</v>
      </c>
      <c r="E29" s="12">
        <f>('Allocate emissions budget'!I27/1000)</f>
        <v>42.616976478328411</v>
      </c>
      <c r="F29" s="12">
        <f>('Allocate emissions budget'!J27/1000)</f>
        <v>42.00394473287102</v>
      </c>
      <c r="G29" s="12">
        <f>('Allocate emissions budget'!K27/1000)</f>
        <v>41.649491823647743</v>
      </c>
      <c r="H29" s="12">
        <f>('Allocate emissions budget'!L27/1000)</f>
        <v>41.292532856573374</v>
      </c>
      <c r="I29" s="71">
        <f t="shared" ref="I29:I37" si="7">SUM(D29:H29)</f>
        <v>210.29317805428292</v>
      </c>
      <c r="J29" s="12">
        <f>('Allocate emissions budget'!M27/1000)</f>
        <v>40.904358880184937</v>
      </c>
      <c r="K29" s="12">
        <f>('Allocate emissions budget'!N27/1000)</f>
        <v>40.500172901665913</v>
      </c>
      <c r="L29" s="12">
        <f>('Allocate emissions budget'!O27/1000)</f>
        <v>40.261772811958316</v>
      </c>
      <c r="M29" s="12">
        <f>('Allocate emissions budget'!P27/1000)</f>
        <v>40.09220410858368</v>
      </c>
      <c r="N29" s="12">
        <f>('Allocate emissions budget'!Q27/1000)</f>
        <v>39.946599739169628</v>
      </c>
      <c r="O29" s="12">
        <f>('Allocate emissions budget'!R27/1000)</f>
        <v>39.676125713947584</v>
      </c>
      <c r="P29" s="12">
        <f>('Allocate emissions budget'!S27/1000)</f>
        <v>39.273968663867976</v>
      </c>
    </row>
    <row r="30" spans="1:16" x14ac:dyDescent="0.35">
      <c r="A30" s="15"/>
      <c r="B30" s="1" t="s">
        <v>135</v>
      </c>
      <c r="C30" s="209"/>
      <c r="D30" s="71">
        <f t="shared" ref="D30:K30" si="8">D28-D29</f>
        <v>29.391821721837701</v>
      </c>
      <c r="E30" s="71">
        <f t="shared" si="8"/>
        <v>27.083332091163513</v>
      </c>
      <c r="F30" s="71">
        <f t="shared" si="8"/>
        <v>24.522668764523203</v>
      </c>
      <c r="G30" s="71">
        <f t="shared" si="8"/>
        <v>22.208229504204965</v>
      </c>
      <c r="H30" s="71">
        <f t="shared" si="8"/>
        <v>19.410856788890918</v>
      </c>
      <c r="I30" s="71">
        <f t="shared" si="7"/>
        <v>122.61690887062031</v>
      </c>
      <c r="J30" s="71">
        <f t="shared" si="8"/>
        <v>17.391509905769745</v>
      </c>
      <c r="K30" s="71">
        <f t="shared" si="8"/>
        <v>14.876965374701093</v>
      </c>
      <c r="L30" s="71">
        <f t="shared" ref="L30:P30" si="9">L28-L29</f>
        <v>12.58719628103475</v>
      </c>
      <c r="M30" s="71">
        <f t="shared" si="9"/>
        <v>10.339293829629099</v>
      </c>
      <c r="N30" s="71">
        <f t="shared" si="9"/>
        <v>8.0863725080720954</v>
      </c>
      <c r="O30" s="71">
        <f t="shared" si="9"/>
        <v>6.0343090187038513</v>
      </c>
      <c r="P30" s="71">
        <f t="shared" si="9"/>
        <v>3.9628970685010856</v>
      </c>
    </row>
    <row r="31" spans="1:16" x14ac:dyDescent="0.35">
      <c r="A31" s="15" t="s">
        <v>136</v>
      </c>
      <c r="B31" t="s">
        <v>2</v>
      </c>
      <c r="C31" s="208"/>
      <c r="D31" s="12">
        <f>'Technical adjustments'!D12</f>
        <v>1.447528957004016</v>
      </c>
      <c r="E31" s="12">
        <f>'Technical adjustments'!E12</f>
        <v>1.3393906067614523</v>
      </c>
      <c r="F31" s="12">
        <f>'Technical adjustments'!F12</f>
        <v>1.3225411012512682</v>
      </c>
      <c r="G31" s="12">
        <f>'Technical adjustments'!G12</f>
        <v>1.2984933405965164</v>
      </c>
      <c r="H31" s="12">
        <f>'Technical adjustments'!H12</f>
        <v>1.2816707428508949</v>
      </c>
      <c r="I31" s="71">
        <f t="shared" si="7"/>
        <v>6.6896247484641469</v>
      </c>
      <c r="J31" s="12">
        <f>'Technical adjustments'!I12</f>
        <v>1.2620786424242185</v>
      </c>
      <c r="K31" s="12">
        <f>'Technical adjustments'!J12</f>
        <v>1.2427500122178776</v>
      </c>
      <c r="L31" s="12">
        <f>'Technical adjustments'!K12</f>
        <v>1.2248256377174598</v>
      </c>
      <c r="M31" s="12">
        <f>'Technical adjustments'!L12</f>
        <v>1.2108723945859567</v>
      </c>
      <c r="N31" s="12">
        <f>'Technical adjustments'!M12</f>
        <v>1.2018254073941022</v>
      </c>
      <c r="O31" s="12">
        <f>'Technical adjustments'!N12</f>
        <v>1.1940445484962647</v>
      </c>
      <c r="P31" s="12">
        <f>'Technical adjustments'!O12</f>
        <v>1.1855797106457777</v>
      </c>
    </row>
    <row r="32" spans="1:16" x14ac:dyDescent="0.35">
      <c r="A32" s="15" t="s">
        <v>137</v>
      </c>
      <c r="B32" t="s">
        <v>146</v>
      </c>
      <c r="C32" s="208"/>
      <c r="D32" s="12">
        <f>'Industrial free allocation'!Q64</f>
        <v>6.1399007773333327</v>
      </c>
      <c r="E32" s="12">
        <f>'Industrial free allocation'!R64</f>
        <v>6.0659297566666677</v>
      </c>
      <c r="F32" s="12">
        <f>'Industrial free allocation'!S64</f>
        <v>5.991958736</v>
      </c>
      <c r="G32" s="12">
        <f>'Industrial free allocation'!T64</f>
        <v>5.9179877153333331</v>
      </c>
      <c r="H32" s="12">
        <f>'Industrial free allocation'!U64</f>
        <v>5.8440166946666663</v>
      </c>
      <c r="I32" s="71">
        <f t="shared" si="7"/>
        <v>29.959793680000001</v>
      </c>
      <c r="J32" s="12">
        <f>'Industrial free allocation'!W64</f>
        <v>5.7700456739999995</v>
      </c>
      <c r="K32" s="12">
        <f>'Industrial free allocation'!X64</f>
        <v>5.2766826533333333</v>
      </c>
      <c r="L32" s="12">
        <f>'Industrial free allocation'!Y64</f>
        <v>5.1392254119999992</v>
      </c>
      <c r="M32" s="12">
        <f>'Industrial free allocation'!Z64</f>
        <v>5.0017681706666659</v>
      </c>
      <c r="N32" s="12">
        <f>'Industrial free allocation'!AA64</f>
        <v>4.8643109293333326</v>
      </c>
      <c r="O32" s="12">
        <f>'Industrial free allocation'!AB64</f>
        <v>4.7268536880000003</v>
      </c>
      <c r="P32" s="12">
        <f>'Industrial free allocation'!AC64</f>
        <v>4.5893964466666661</v>
      </c>
    </row>
    <row r="33" spans="1:16" x14ac:dyDescent="0.35">
      <c r="A33" s="15" t="s">
        <v>152</v>
      </c>
      <c r="B33" t="s">
        <v>153</v>
      </c>
      <c r="C33" s="208"/>
      <c r="D33" s="12">
        <f>'Surplus &amp; CCR reduction volumes'!E22</f>
        <v>7.7</v>
      </c>
      <c r="E33" s="12">
        <f>'Surplus &amp; CCR reduction volumes'!F22</f>
        <v>7.1</v>
      </c>
      <c r="F33" s="12">
        <f>'Surplus &amp; CCR reduction volumes'!G22</f>
        <v>6.5</v>
      </c>
      <c r="G33" s="12">
        <f>'Surplus &amp; CCR reduction volumes'!H22</f>
        <v>5.9</v>
      </c>
      <c r="H33" s="12">
        <f>'Surplus &amp; CCR reduction volumes'!I22</f>
        <v>5.3689842110371888</v>
      </c>
      <c r="I33" s="71">
        <f t="shared" si="7"/>
        <v>32.56898421103719</v>
      </c>
      <c r="J33" s="12">
        <f>'Surplus &amp; CCR reduction volumes'!J22</f>
        <v>4.6194592307393423</v>
      </c>
      <c r="K33" s="12">
        <f>'Surplus &amp; CCR reduction volumes'!K22</f>
        <v>3.9515565582234498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x14ac:dyDescent="0.35">
      <c r="A34" s="15" t="s">
        <v>154</v>
      </c>
      <c r="B34" t="s">
        <v>155</v>
      </c>
      <c r="C34" s="208"/>
      <c r="D34" s="12">
        <f>'Surplus &amp; CCR reduction volumes'!E39</f>
        <v>0.55081784243511023</v>
      </c>
      <c r="E34" s="12">
        <f>'Surplus &amp; CCR reduction volumes'!F39</f>
        <v>0.50755556050901129</v>
      </c>
      <c r="F34" s="12">
        <f>'Surplus &amp; CCR reduction volumes'!G39</f>
        <v>0.45956741393779077</v>
      </c>
      <c r="G34" s="12">
        <f>'Surplus &amp; CCR reduction volumes'!H39</f>
        <v>0.41619363289486816</v>
      </c>
      <c r="H34" s="12">
        <f>'Surplus &amp; CCR reduction volumes'!I39</f>
        <v>0.36376943074371998</v>
      </c>
      <c r="I34" s="71">
        <f t="shared" si="7"/>
        <v>2.2979038805205003</v>
      </c>
      <c r="J34" s="12">
        <f>'Surplus &amp; CCR reduction volumes'!J39</f>
        <v>0.32592583248650647</v>
      </c>
      <c r="K34" s="12">
        <f>'Surplus &amp; CCR reduction volumes'!K39</f>
        <v>0.27880197584303867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</row>
    <row r="35" spans="1:16" x14ac:dyDescent="0.35">
      <c r="A35" s="15" t="s">
        <v>141</v>
      </c>
      <c r="B35" t="s">
        <v>142</v>
      </c>
      <c r="C35" s="207"/>
      <c r="D35">
        <f>D10</f>
        <v>0</v>
      </c>
      <c r="E35">
        <f>E10</f>
        <v>0</v>
      </c>
      <c r="F35">
        <f>F10</f>
        <v>0</v>
      </c>
      <c r="G35">
        <f>G10</f>
        <v>0</v>
      </c>
      <c r="H35">
        <f>H10</f>
        <v>0</v>
      </c>
      <c r="I35" s="71">
        <f t="shared" si="7"/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</row>
    <row r="36" spans="1:16" x14ac:dyDescent="0.35">
      <c r="A36" s="15" t="s">
        <v>150</v>
      </c>
      <c r="B36" t="s">
        <v>151</v>
      </c>
      <c r="C36" s="210"/>
      <c r="D36" s="13">
        <f>'Surplus &amp; CCR reduction volumes'!E40</f>
        <v>1.5181198346341527</v>
      </c>
      <c r="E36" s="13">
        <f>'Surplus &amp; CCR reduction volumes'!F40</f>
        <v>1.3988838128066958</v>
      </c>
      <c r="F36" s="13">
        <f>'Surplus &amp; CCR reduction volumes'!G40</f>
        <v>1.2666227429491355</v>
      </c>
      <c r="G36" s="13">
        <f>'Surplus &amp; CCR reduction volumes'!H40</f>
        <v>1.1470794162238456</v>
      </c>
      <c r="H36" s="13">
        <f>'Surplus &amp; CCR reduction volumes'!I40</f>
        <v>1.0025920467721123</v>
      </c>
      <c r="I36" s="71">
        <f t="shared" si="7"/>
        <v>6.3332978533859414</v>
      </c>
      <c r="J36" s="13">
        <f>'Surplus &amp; CCR reduction volumes'!J40</f>
        <v>0.89829056504411176</v>
      </c>
      <c r="K36" s="13">
        <f>'Surplus &amp; CCR reduction volumes'!K40</f>
        <v>0.76841158156994682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</row>
    <row r="37" spans="1:16" x14ac:dyDescent="0.35">
      <c r="A37" s="105" t="s">
        <v>143</v>
      </c>
      <c r="B37" s="74" t="s">
        <v>144</v>
      </c>
      <c r="C37" s="211">
        <f>C28-C29-C31-C32-C33-C34-C35-C36</f>
        <v>0</v>
      </c>
      <c r="D37" s="106">
        <f>D28-D29-D31-D32-D33-D34-D35-D36</f>
        <v>12.03545431043109</v>
      </c>
      <c r="E37" s="106">
        <f t="shared" ref="E37:P37" si="10">E28-E29-E31-E32-E33-E34-E35-E36</f>
        <v>10.671572354419688</v>
      </c>
      <c r="F37" s="106">
        <f t="shared" si="10"/>
        <v>8.9819787703850089</v>
      </c>
      <c r="G37" s="106">
        <f t="shared" si="10"/>
        <v>7.5284753991564033</v>
      </c>
      <c r="H37" s="106">
        <f t="shared" si="10"/>
        <v>5.5498236628203337</v>
      </c>
      <c r="I37" s="71">
        <f t="shared" si="7"/>
        <v>44.767304497212521</v>
      </c>
      <c r="J37" s="106">
        <f t="shared" si="10"/>
        <v>4.5157099610755687</v>
      </c>
      <c r="K37" s="106">
        <f t="shared" si="10"/>
        <v>3.3587625935134473</v>
      </c>
      <c r="L37" s="106">
        <f t="shared" si="10"/>
        <v>6.2231452313172904</v>
      </c>
      <c r="M37" s="106">
        <f t="shared" si="10"/>
        <v>4.1266532643764764</v>
      </c>
      <c r="N37" s="106">
        <f t="shared" si="10"/>
        <v>2.0202361713446608</v>
      </c>
      <c r="O37" s="106">
        <f t="shared" si="10"/>
        <v>0.11341078220758583</v>
      </c>
      <c r="P37" s="106">
        <f t="shared" si="10"/>
        <v>-1.812079088811358</v>
      </c>
    </row>
    <row r="38" spans="1:16" x14ac:dyDescent="0.35"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x14ac:dyDescent="0.35">
      <c r="A39" s="38" t="s">
        <v>266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x14ac:dyDescent="0.35">
      <c r="C40" s="207">
        <v>2023</v>
      </c>
      <c r="D40">
        <v>2024</v>
      </c>
      <c r="E40">
        <v>2025</v>
      </c>
      <c r="F40">
        <v>2026</v>
      </c>
      <c r="G40">
        <v>2027</v>
      </c>
      <c r="H40">
        <v>2028</v>
      </c>
      <c r="I40" s="1" t="s">
        <v>52</v>
      </c>
      <c r="J40">
        <v>2029</v>
      </c>
      <c r="K40">
        <v>2030</v>
      </c>
      <c r="L40">
        <v>2031</v>
      </c>
      <c r="M40">
        <v>2032</v>
      </c>
      <c r="N40">
        <v>2033</v>
      </c>
      <c r="O40">
        <v>2034</v>
      </c>
      <c r="P40">
        <v>2035</v>
      </c>
    </row>
    <row r="41" spans="1:16" x14ac:dyDescent="0.35">
      <c r="A41" s="29" t="s">
        <v>131</v>
      </c>
      <c r="B41" t="s">
        <v>132</v>
      </c>
      <c r="C41" s="208"/>
      <c r="D41" s="12">
        <f>'Allocate emissions budget'!H7</f>
        <v>72.122053884700051</v>
      </c>
      <c r="E41" s="12">
        <f>'Allocate emissions budget'!I7</f>
        <v>69.700308569491924</v>
      </c>
      <c r="F41" s="12">
        <f>'Allocate emissions budget'!J7</f>
        <v>66.526613497394223</v>
      </c>
      <c r="G41" s="12">
        <f>'Allocate emissions budget'!K7</f>
        <v>63.857721327852708</v>
      </c>
      <c r="H41" s="12">
        <f>'Allocate emissions budget'!L7</f>
        <v>60.703389645464291</v>
      </c>
      <c r="I41" s="71">
        <f>SUM(D41:H41)</f>
        <v>332.91008692490323</v>
      </c>
      <c r="J41" s="12">
        <f>'Allocate emissions budget'!M7</f>
        <v>58.295868785954681</v>
      </c>
      <c r="K41" s="12">
        <f>'Allocate emissions budget'!N7</f>
        <v>55.377138276367006</v>
      </c>
      <c r="L41" s="12">
        <f>'Allocate emissions budget'!O7</f>
        <v>52.848969092993066</v>
      </c>
      <c r="M41" s="12">
        <f>'Allocate emissions budget'!P7</f>
        <v>50.431497938212779</v>
      </c>
      <c r="N41" s="12">
        <f>'Allocate emissions budget'!Q7</f>
        <v>48.032972247241723</v>
      </c>
      <c r="O41" s="12">
        <f>'Allocate emissions budget'!R7</f>
        <v>45.710434732651436</v>
      </c>
      <c r="P41" s="12">
        <f>'Allocate emissions budget'!S7</f>
        <v>43.236865732369061</v>
      </c>
    </row>
    <row r="42" spans="1:16" x14ac:dyDescent="0.35">
      <c r="A42" s="15" t="s">
        <v>133</v>
      </c>
      <c r="B42" t="s">
        <v>134</v>
      </c>
      <c r="C42" s="208"/>
      <c r="D42" s="12">
        <f>('Allocate emissions budget'!H27/1000)</f>
        <v>42.73023216286235</v>
      </c>
      <c r="E42" s="12">
        <f>('Allocate emissions budget'!I27/1000)</f>
        <v>42.616976478328411</v>
      </c>
      <c r="F42" s="12">
        <f>('Allocate emissions budget'!J27/1000)</f>
        <v>42.00394473287102</v>
      </c>
      <c r="G42" s="12">
        <f>('Allocate emissions budget'!K27/1000)</f>
        <v>41.649491823647743</v>
      </c>
      <c r="H42" s="12">
        <f>('Allocate emissions budget'!L27/1000)</f>
        <v>41.292532856573374</v>
      </c>
      <c r="I42" s="71">
        <f t="shared" ref="I42:I50" si="11">SUM(D42:H42)</f>
        <v>210.29317805428292</v>
      </c>
      <c r="J42" s="12">
        <f>('Allocate emissions budget'!M27/1000)</f>
        <v>40.904358880184937</v>
      </c>
      <c r="K42" s="12">
        <f>('Allocate emissions budget'!N27/1000)</f>
        <v>40.500172901665913</v>
      </c>
      <c r="L42" s="12">
        <f>('Allocate emissions budget'!O27/1000)</f>
        <v>40.261772811958316</v>
      </c>
      <c r="M42" s="12">
        <f>('Allocate emissions budget'!P27/1000)</f>
        <v>40.09220410858368</v>
      </c>
      <c r="N42" s="12">
        <f>('Allocate emissions budget'!Q27/1000)</f>
        <v>39.946599739169628</v>
      </c>
      <c r="O42" s="12">
        <f>('Allocate emissions budget'!R27/1000)</f>
        <v>39.676125713947584</v>
      </c>
      <c r="P42" s="12">
        <f>('Allocate emissions budget'!S27/1000)</f>
        <v>39.273968663867976</v>
      </c>
    </row>
    <row r="43" spans="1:16" x14ac:dyDescent="0.35">
      <c r="A43" s="15"/>
      <c r="B43" s="1" t="s">
        <v>135</v>
      </c>
      <c r="C43" s="209"/>
      <c r="D43" s="71">
        <f t="shared" ref="D43:K43" si="12">D41-D42</f>
        <v>29.391821721837701</v>
      </c>
      <c r="E43" s="71">
        <f t="shared" si="12"/>
        <v>27.083332091163513</v>
      </c>
      <c r="F43" s="71">
        <f t="shared" si="12"/>
        <v>24.522668764523203</v>
      </c>
      <c r="G43" s="71">
        <f t="shared" si="12"/>
        <v>22.208229504204965</v>
      </c>
      <c r="H43" s="71">
        <f t="shared" si="12"/>
        <v>19.410856788890918</v>
      </c>
      <c r="I43" s="71">
        <f t="shared" si="11"/>
        <v>122.61690887062031</v>
      </c>
      <c r="J43" s="71">
        <f t="shared" si="12"/>
        <v>17.391509905769745</v>
      </c>
      <c r="K43" s="71">
        <f t="shared" si="12"/>
        <v>14.876965374701093</v>
      </c>
      <c r="L43" s="71">
        <f t="shared" ref="L43:P43" si="13">L41-L42</f>
        <v>12.58719628103475</v>
      </c>
      <c r="M43" s="71">
        <f t="shared" si="13"/>
        <v>10.339293829629099</v>
      </c>
      <c r="N43" s="71">
        <f t="shared" si="13"/>
        <v>8.0863725080720954</v>
      </c>
      <c r="O43" s="71">
        <f t="shared" si="13"/>
        <v>6.0343090187038513</v>
      </c>
      <c r="P43" s="71">
        <f t="shared" si="13"/>
        <v>3.9628970685010856</v>
      </c>
    </row>
    <row r="44" spans="1:16" x14ac:dyDescent="0.35">
      <c r="A44" s="15" t="s">
        <v>136</v>
      </c>
      <c r="B44" t="s">
        <v>2</v>
      </c>
      <c r="C44" s="208"/>
      <c r="D44" s="12">
        <f>'Technical adjustments'!D12</f>
        <v>1.447528957004016</v>
      </c>
      <c r="E44" s="12">
        <f>'Technical adjustments'!E12</f>
        <v>1.3393906067614523</v>
      </c>
      <c r="F44" s="12">
        <f>'Technical adjustments'!F12</f>
        <v>1.3225411012512682</v>
      </c>
      <c r="G44" s="12">
        <f>'Technical adjustments'!G12</f>
        <v>1.2984933405965164</v>
      </c>
      <c r="H44" s="12">
        <f>'Technical adjustments'!H12</f>
        <v>1.2816707428508949</v>
      </c>
      <c r="I44" s="71">
        <f t="shared" si="11"/>
        <v>6.6896247484641469</v>
      </c>
      <c r="J44" s="12">
        <f>'Technical adjustments'!I12</f>
        <v>1.2620786424242185</v>
      </c>
      <c r="K44" s="12">
        <f>'Technical adjustments'!J12</f>
        <v>1.2427500122178776</v>
      </c>
      <c r="L44" s="12">
        <f>'Technical adjustments'!K12</f>
        <v>1.2248256377174598</v>
      </c>
      <c r="M44" s="12">
        <f>'Technical adjustments'!L12</f>
        <v>1.2108723945859567</v>
      </c>
      <c r="N44" s="12">
        <f>'Technical adjustments'!M12</f>
        <v>1.2018254073941022</v>
      </c>
      <c r="O44" s="12">
        <f>'Technical adjustments'!N12</f>
        <v>1.1940445484962647</v>
      </c>
      <c r="P44" s="12">
        <f>'Technical adjustments'!O12</f>
        <v>1.1855797106457777</v>
      </c>
    </row>
    <row r="45" spans="1:16" x14ac:dyDescent="0.35">
      <c r="A45" s="15" t="s">
        <v>137</v>
      </c>
      <c r="B45" t="s">
        <v>146</v>
      </c>
      <c r="C45" s="208"/>
      <c r="D45" s="12">
        <f>'Industrial free allocation'!Q64</f>
        <v>6.1399007773333327</v>
      </c>
      <c r="E45" s="12">
        <f>'Industrial free allocation'!R64</f>
        <v>6.0659297566666677</v>
      </c>
      <c r="F45" s="12">
        <f>'Industrial free allocation'!S64</f>
        <v>5.991958736</v>
      </c>
      <c r="G45" s="12">
        <f>'Industrial free allocation'!T64</f>
        <v>5.9179877153333331</v>
      </c>
      <c r="H45" s="12">
        <f>'Industrial free allocation'!U64</f>
        <v>5.8440166946666663</v>
      </c>
      <c r="I45" s="71">
        <f t="shared" si="11"/>
        <v>29.959793680000001</v>
      </c>
      <c r="J45" s="12">
        <f>'Industrial free allocation'!W64</f>
        <v>5.7700456739999995</v>
      </c>
      <c r="K45" s="12">
        <f>'Industrial free allocation'!X64</f>
        <v>5.2766826533333333</v>
      </c>
      <c r="L45" s="12">
        <f>'Industrial free allocation'!Y64</f>
        <v>5.1392254119999992</v>
      </c>
      <c r="M45" s="12">
        <f>'Industrial free allocation'!Z64</f>
        <v>5.0017681706666659</v>
      </c>
      <c r="N45" s="12">
        <f>'Industrial free allocation'!AA64</f>
        <v>4.8643109293333326</v>
      </c>
      <c r="O45" s="12">
        <f>'Industrial free allocation'!AB64</f>
        <v>4.7268536880000003</v>
      </c>
      <c r="P45" s="12">
        <f>'Industrial free allocation'!AC64</f>
        <v>4.5893964466666661</v>
      </c>
    </row>
    <row r="46" spans="1:16" x14ac:dyDescent="0.35">
      <c r="A46" s="15" t="s">
        <v>152</v>
      </c>
      <c r="B46" t="s">
        <v>153</v>
      </c>
      <c r="C46" s="208"/>
      <c r="D46" s="12">
        <f>'Surplus &amp; CCR reduction volumes'!E22</f>
        <v>7.7</v>
      </c>
      <c r="E46" s="12">
        <f>'Surplus &amp; CCR reduction volumes'!F22</f>
        <v>7.1</v>
      </c>
      <c r="F46" s="12">
        <f>'Surplus &amp; CCR reduction volumes'!G22</f>
        <v>6.5</v>
      </c>
      <c r="G46" s="12">
        <f>'Surplus &amp; CCR reduction volumes'!H22</f>
        <v>5.9</v>
      </c>
      <c r="H46" s="12">
        <f>'Surplus &amp; CCR reduction volumes'!I22</f>
        <v>5.3689842110371888</v>
      </c>
      <c r="I46" s="71">
        <f t="shared" si="11"/>
        <v>32.56898421103719</v>
      </c>
      <c r="J46" s="12">
        <f>'Surplus &amp; CCR reduction volumes'!J22</f>
        <v>4.6194592307393423</v>
      </c>
      <c r="K46" s="12">
        <f>'Surplus &amp; CCR reduction volumes'!K22</f>
        <v>3.9515565582234498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</row>
    <row r="47" spans="1:16" x14ac:dyDescent="0.35">
      <c r="A47" s="15" t="s">
        <v>154</v>
      </c>
      <c r="B47" t="s">
        <v>155</v>
      </c>
      <c r="C47" s="208"/>
      <c r="D47" s="12">
        <f>'Surplus &amp; CCR reduction volumes'!E48</f>
        <v>0.55081784243511023</v>
      </c>
      <c r="E47" s="12">
        <f>'Surplus &amp; CCR reduction volumes'!F48</f>
        <v>0.50755556050901129</v>
      </c>
      <c r="F47" s="12">
        <f>'Surplus &amp; CCR reduction volumes'!G48</f>
        <v>0.45956741393779071</v>
      </c>
      <c r="G47" s="12">
        <f>'Surplus &amp; CCR reduction volumes'!H48</f>
        <v>0.41619363289486805</v>
      </c>
      <c r="H47" s="12">
        <f>'Surplus &amp; CCR reduction volumes'!I48</f>
        <v>0.36376943074371998</v>
      </c>
      <c r="I47" s="71">
        <f t="shared" si="11"/>
        <v>2.2979038805205003</v>
      </c>
      <c r="J47" s="12">
        <f>'Surplus &amp; CCR reduction volumes'!J48</f>
        <v>0.32592583248650642</v>
      </c>
      <c r="K47" s="12">
        <f>'Surplus &amp; CCR reduction volumes'!K48</f>
        <v>0.27880197584303862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x14ac:dyDescent="0.35">
      <c r="A48" s="15" t="s">
        <v>141</v>
      </c>
      <c r="B48" t="s">
        <v>142</v>
      </c>
      <c r="C48" s="207"/>
      <c r="D48">
        <f t="shared" ref="D48:H48" si="14">D35</f>
        <v>0</v>
      </c>
      <c r="E48">
        <f t="shared" si="14"/>
        <v>0</v>
      </c>
      <c r="F48">
        <f t="shared" si="14"/>
        <v>0</v>
      </c>
      <c r="G48">
        <f t="shared" si="14"/>
        <v>0</v>
      </c>
      <c r="H48">
        <f t="shared" si="14"/>
        <v>0</v>
      </c>
      <c r="I48" s="71">
        <f t="shared" si="11"/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</row>
    <row r="49" spans="1:16" x14ac:dyDescent="0.35">
      <c r="A49" s="15" t="s">
        <v>150</v>
      </c>
      <c r="B49" t="s">
        <v>151</v>
      </c>
      <c r="C49" s="210"/>
      <c r="D49" s="13">
        <f>'Surplus &amp; CCR reduction volumes'!E49</f>
        <v>1.9176357970563818</v>
      </c>
      <c r="E49" s="13">
        <f>'Surplus &amp; CCR reduction volumes'!F49</f>
        <v>1.7670210309894925</v>
      </c>
      <c r="F49" s="13">
        <f>'Surplus &amp; CCR reduction volumes'!G49</f>
        <v>1.5999534805039579</v>
      </c>
      <c r="G49" s="13">
        <f>'Surplus &amp; CCR reduction volumes'!H49</f>
        <v>1.4489505376546756</v>
      </c>
      <c r="H49" s="13">
        <f>'Surplus &amp; CCR reduction volumes'!I49</f>
        <v>1.266439153795492</v>
      </c>
      <c r="I49" s="71">
        <f t="shared" si="11"/>
        <v>7.9999999999999991</v>
      </c>
      <c r="J49" s="13">
        <f>'Surplus &amp; CCR reduction volumes'!J49</f>
        <v>0</v>
      </c>
      <c r="K49" s="13">
        <f>'Surplus &amp; CCR reduction volumes'!K49</f>
        <v>0</v>
      </c>
      <c r="L49" s="13"/>
      <c r="M49" s="13"/>
      <c r="N49" s="13"/>
      <c r="O49" s="13"/>
      <c r="P49" s="13"/>
    </row>
    <row r="50" spans="1:16" x14ac:dyDescent="0.35">
      <c r="A50" s="56" t="s">
        <v>143</v>
      </c>
      <c r="B50" s="74" t="s">
        <v>144</v>
      </c>
      <c r="C50" s="211">
        <f>C41-C42-C44-C45-C46-C47-C48-C49</f>
        <v>0</v>
      </c>
      <c r="D50" s="106">
        <f>D41-D42-D44-D45-D46-D47-D48-D49</f>
        <v>11.63593834800886</v>
      </c>
      <c r="E50" s="106">
        <f t="shared" ref="E50" si="15">E41-E42-E44-E45-E46-E47-E48-E49</f>
        <v>10.303435136236892</v>
      </c>
      <c r="F50" s="106">
        <f t="shared" ref="F50" si="16">F41-F42-F44-F45-F46-F47-F48-F49</f>
        <v>8.6486480328301862</v>
      </c>
      <c r="G50" s="106">
        <f t="shared" ref="G50" si="17">G41-G42-G44-G45-G46-G47-G48-G49</f>
        <v>7.2266042777255732</v>
      </c>
      <c r="H50" s="106">
        <f t="shared" ref="H50" si="18">H41-H42-H44-H45-H46-H47-H48-H49</f>
        <v>5.285976555796954</v>
      </c>
      <c r="I50" s="71">
        <f t="shared" si="11"/>
        <v>43.100602350598464</v>
      </c>
      <c r="J50" s="106">
        <f t="shared" ref="J50" si="19">J41-J42-J44-J45-J46-J47-J48-J49</f>
        <v>5.41400052611968</v>
      </c>
      <c r="K50" s="106">
        <f t="shared" ref="K50" si="20">K41-K42-K44-K45-K46-K47-K48-K49</f>
        <v>4.1271741750833941</v>
      </c>
      <c r="L50" s="106">
        <f t="shared" ref="L50" si="21">L41-L42-L44-L45-L46-L47-L48-L49</f>
        <v>6.2231452313172904</v>
      </c>
      <c r="M50" s="106">
        <f t="shared" ref="M50" si="22">M41-M42-M44-M45-M46-M47-M48-M49</f>
        <v>4.1266532643764764</v>
      </c>
      <c r="N50" s="106">
        <f t="shared" ref="N50" si="23">N41-N42-N44-N45-N46-N47-N48-N49</f>
        <v>2.0202361713446608</v>
      </c>
      <c r="O50" s="106">
        <f t="shared" ref="O50" si="24">O41-O42-O44-O45-O46-O47-O48-O49</f>
        <v>0.11341078220758583</v>
      </c>
      <c r="P50" s="106">
        <f t="shared" ref="P50" si="25">P41-P42-P44-P45-P46-P47-P48-P49</f>
        <v>-1.812079088811358</v>
      </c>
    </row>
    <row r="51" spans="1:16" ht="10.5" customHeight="1" x14ac:dyDescent="0.35"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35"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35">
      <c r="A53" s="38" t="s">
        <v>305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35">
      <c r="C54" s="207">
        <v>2023</v>
      </c>
      <c r="D54">
        <v>2024</v>
      </c>
      <c r="E54">
        <v>2025</v>
      </c>
      <c r="F54">
        <v>2026</v>
      </c>
      <c r="G54">
        <v>2027</v>
      </c>
      <c r="H54">
        <v>2028</v>
      </c>
      <c r="I54" s="1" t="s">
        <v>52</v>
      </c>
      <c r="J54">
        <v>2029</v>
      </c>
      <c r="K54">
        <v>2030</v>
      </c>
      <c r="L54">
        <v>2031</v>
      </c>
      <c r="M54">
        <v>2032</v>
      </c>
      <c r="N54">
        <v>2033</v>
      </c>
      <c r="O54">
        <v>2034</v>
      </c>
      <c r="P54">
        <v>2035</v>
      </c>
    </row>
    <row r="55" spans="1:16" x14ac:dyDescent="0.35">
      <c r="A55" s="29" t="s">
        <v>131</v>
      </c>
      <c r="B55" t="s">
        <v>132</v>
      </c>
      <c r="C55" s="208"/>
      <c r="D55" s="12">
        <f>'Allocate emissions budget'!H7</f>
        <v>72.122053884700051</v>
      </c>
      <c r="E55" s="12">
        <f>'Allocate emissions budget'!I7</f>
        <v>69.700308569491924</v>
      </c>
      <c r="F55" s="12">
        <f>'Allocate emissions budget'!J7</f>
        <v>66.526613497394223</v>
      </c>
      <c r="G55" s="12">
        <f>'Allocate emissions budget'!K7</f>
        <v>63.857721327852708</v>
      </c>
      <c r="H55" s="12">
        <f>'Allocate emissions budget'!L7</f>
        <v>60.703389645464291</v>
      </c>
      <c r="I55" s="71">
        <f>SUM(D55:H55)</f>
        <v>332.91008692490323</v>
      </c>
      <c r="J55" s="12">
        <f>'Allocate emissions budget'!M7</f>
        <v>58.295868785954681</v>
      </c>
      <c r="K55" s="12">
        <f>'Allocate emissions budget'!N7</f>
        <v>55.377138276367006</v>
      </c>
      <c r="L55" s="12">
        <f>'Allocate emissions budget'!O7</f>
        <v>52.848969092993066</v>
      </c>
      <c r="M55" s="12">
        <f>'Allocate emissions budget'!P7</f>
        <v>50.431497938212779</v>
      </c>
      <c r="N55" s="12">
        <f>'Allocate emissions budget'!Q7</f>
        <v>48.032972247241723</v>
      </c>
      <c r="O55" s="12">
        <f>'Allocate emissions budget'!R7</f>
        <v>45.710434732651436</v>
      </c>
      <c r="P55" s="12">
        <f>'Allocate emissions budget'!S7</f>
        <v>43.236865732369061</v>
      </c>
    </row>
    <row r="56" spans="1:16" x14ac:dyDescent="0.35">
      <c r="A56" s="15" t="s">
        <v>133</v>
      </c>
      <c r="B56" t="s">
        <v>134</v>
      </c>
      <c r="C56" s="208"/>
      <c r="D56" s="12">
        <f>('Allocate emissions budget'!H27/1000)</f>
        <v>42.73023216286235</v>
      </c>
      <c r="E56" s="12">
        <f>('Allocate emissions budget'!I27/1000)</f>
        <v>42.616976478328411</v>
      </c>
      <c r="F56" s="12">
        <f>('Allocate emissions budget'!J27/1000)</f>
        <v>42.00394473287102</v>
      </c>
      <c r="G56" s="12">
        <f>('Allocate emissions budget'!K27/1000)</f>
        <v>41.649491823647743</v>
      </c>
      <c r="H56" s="12">
        <f>('Allocate emissions budget'!L27/1000)</f>
        <v>41.292532856573374</v>
      </c>
      <c r="I56" s="71">
        <f t="shared" ref="I56:I64" si="26">SUM(D56:H56)</f>
        <v>210.29317805428292</v>
      </c>
      <c r="J56" s="12">
        <f>('Allocate emissions budget'!M27/1000)</f>
        <v>40.904358880184937</v>
      </c>
      <c r="K56" s="12">
        <f>('Allocate emissions budget'!N27/1000)</f>
        <v>40.500172901665913</v>
      </c>
      <c r="L56" s="12">
        <f>('Allocate emissions budget'!O27/1000)</f>
        <v>40.261772811958316</v>
      </c>
      <c r="M56" s="12">
        <f>('Allocate emissions budget'!P27/1000)</f>
        <v>40.09220410858368</v>
      </c>
      <c r="N56" s="12">
        <f>('Allocate emissions budget'!Q27/1000)</f>
        <v>39.946599739169628</v>
      </c>
      <c r="O56" s="12">
        <f>('Allocate emissions budget'!R27/1000)</f>
        <v>39.676125713947584</v>
      </c>
      <c r="P56" s="12">
        <f>('Allocate emissions budget'!S27/1000)</f>
        <v>39.273968663867976</v>
      </c>
    </row>
    <row r="57" spans="1:16" x14ac:dyDescent="0.35">
      <c r="A57" s="15"/>
      <c r="B57" s="1" t="s">
        <v>135</v>
      </c>
      <c r="C57" s="209"/>
      <c r="D57" s="71">
        <f t="shared" ref="D57:K57" si="27">D55-D56</f>
        <v>29.391821721837701</v>
      </c>
      <c r="E57" s="71">
        <f t="shared" si="27"/>
        <v>27.083332091163513</v>
      </c>
      <c r="F57" s="71">
        <f t="shared" si="27"/>
        <v>24.522668764523203</v>
      </c>
      <c r="G57" s="71">
        <f t="shared" si="27"/>
        <v>22.208229504204965</v>
      </c>
      <c r="H57" s="71">
        <f t="shared" si="27"/>
        <v>19.410856788890918</v>
      </c>
      <c r="I57" s="71">
        <f t="shared" si="26"/>
        <v>122.61690887062031</v>
      </c>
      <c r="J57" s="71">
        <f t="shared" si="27"/>
        <v>17.391509905769745</v>
      </c>
      <c r="K57" s="71">
        <f t="shared" si="27"/>
        <v>14.876965374701093</v>
      </c>
      <c r="L57" s="71">
        <f t="shared" ref="L57:P57" si="28">L55-L56</f>
        <v>12.58719628103475</v>
      </c>
      <c r="M57" s="71">
        <f t="shared" si="28"/>
        <v>10.339293829629099</v>
      </c>
      <c r="N57" s="71">
        <f t="shared" si="28"/>
        <v>8.0863725080720954</v>
      </c>
      <c r="O57" s="71">
        <f t="shared" si="28"/>
        <v>6.0343090187038513</v>
      </c>
      <c r="P57" s="71">
        <f t="shared" si="28"/>
        <v>3.9628970685010856</v>
      </c>
    </row>
    <row r="58" spans="1:16" x14ac:dyDescent="0.35">
      <c r="A58" s="15" t="s">
        <v>136</v>
      </c>
      <c r="B58" t="s">
        <v>2</v>
      </c>
      <c r="C58" s="208"/>
      <c r="D58" s="12">
        <f>'Technical adjustments'!D12</f>
        <v>1.447528957004016</v>
      </c>
      <c r="E58" s="12">
        <f>'Technical adjustments'!E12</f>
        <v>1.3393906067614523</v>
      </c>
      <c r="F58" s="12">
        <f>'Technical adjustments'!F12</f>
        <v>1.3225411012512682</v>
      </c>
      <c r="G58" s="12">
        <f>'Technical adjustments'!G12</f>
        <v>1.2984933405965164</v>
      </c>
      <c r="H58" s="12">
        <f>'Technical adjustments'!H12</f>
        <v>1.2816707428508949</v>
      </c>
      <c r="I58" s="71">
        <f t="shared" si="26"/>
        <v>6.6896247484641469</v>
      </c>
      <c r="J58" s="12">
        <f>'Technical adjustments'!I12</f>
        <v>1.2620786424242185</v>
      </c>
      <c r="K58" s="12">
        <f>'Technical adjustments'!J12</f>
        <v>1.2427500122178776</v>
      </c>
      <c r="L58" s="12">
        <f>'Technical adjustments'!K12</f>
        <v>1.2248256377174598</v>
      </c>
      <c r="M58" s="12">
        <f>'Technical adjustments'!L12</f>
        <v>1.2108723945859567</v>
      </c>
      <c r="N58" s="12">
        <f>'Technical adjustments'!M12</f>
        <v>1.2018254073941022</v>
      </c>
      <c r="O58" s="12">
        <f>'Technical adjustments'!N12</f>
        <v>1.1940445484962647</v>
      </c>
      <c r="P58" s="12">
        <f>'Technical adjustments'!O12</f>
        <v>1.1855797106457777</v>
      </c>
    </row>
    <row r="59" spans="1:16" x14ac:dyDescent="0.35">
      <c r="A59" s="15" t="s">
        <v>137</v>
      </c>
      <c r="B59" t="s">
        <v>146</v>
      </c>
      <c r="C59" s="208"/>
      <c r="D59" s="12">
        <f>'Industrial free allocation'!Q64</f>
        <v>6.1399007773333327</v>
      </c>
      <c r="E59" s="12">
        <f>'Industrial free allocation'!R64</f>
        <v>6.0659297566666677</v>
      </c>
      <c r="F59" s="12">
        <f>'Industrial free allocation'!S64</f>
        <v>5.991958736</v>
      </c>
      <c r="G59" s="12">
        <f>'Industrial free allocation'!T64</f>
        <v>5.9179877153333331</v>
      </c>
      <c r="H59" s="12">
        <f>'Industrial free allocation'!U64</f>
        <v>5.8440166946666663</v>
      </c>
      <c r="I59" s="71">
        <f t="shared" si="26"/>
        <v>29.959793680000001</v>
      </c>
      <c r="J59" s="12">
        <f>'Industrial free allocation'!W64</f>
        <v>5.7700456739999995</v>
      </c>
      <c r="K59" s="12">
        <f>'Industrial free allocation'!X64</f>
        <v>5.2766826533333333</v>
      </c>
      <c r="L59" s="12">
        <f>'Industrial free allocation'!Y64</f>
        <v>5.1392254119999992</v>
      </c>
      <c r="M59" s="12">
        <f>'Industrial free allocation'!Z64</f>
        <v>5.0017681706666659</v>
      </c>
      <c r="N59" s="12">
        <f>'Industrial free allocation'!AA64</f>
        <v>4.8643109293333326</v>
      </c>
      <c r="O59" s="12">
        <f>'Industrial free allocation'!AB64</f>
        <v>4.7268536880000003</v>
      </c>
      <c r="P59" s="12">
        <f>'Industrial free allocation'!AC64</f>
        <v>4.5893964466666661</v>
      </c>
    </row>
    <row r="60" spans="1:16" x14ac:dyDescent="0.35">
      <c r="A60" s="15" t="s">
        <v>152</v>
      </c>
      <c r="B60" t="s">
        <v>153</v>
      </c>
      <c r="C60" s="208"/>
      <c r="D60" s="12">
        <f>'Surplus &amp; CCR reduction volumes'!E22</f>
        <v>7.7</v>
      </c>
      <c r="E60" s="12">
        <f>'Surplus &amp; CCR reduction volumes'!F22</f>
        <v>7.1</v>
      </c>
      <c r="F60" s="12">
        <f>'Surplus &amp; CCR reduction volumes'!G22</f>
        <v>6.5</v>
      </c>
      <c r="G60" s="12">
        <f>'Surplus &amp; CCR reduction volumes'!H22</f>
        <v>5.9</v>
      </c>
      <c r="H60" s="12">
        <f>'Surplus &amp; CCR reduction volumes'!I22</f>
        <v>5.3689842110371888</v>
      </c>
      <c r="I60" s="71">
        <f t="shared" si="26"/>
        <v>32.56898421103719</v>
      </c>
      <c r="J60" s="12">
        <f>'Surplus &amp; CCR reduction volumes'!J22</f>
        <v>4.6194592307393423</v>
      </c>
      <c r="K60" s="12">
        <f>'Surplus &amp; CCR reduction volumes'!K22</f>
        <v>3.9515565582234498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</row>
    <row r="61" spans="1:16" x14ac:dyDescent="0.35">
      <c r="A61" s="15" t="s">
        <v>154</v>
      </c>
      <c r="B61" t="s">
        <v>155</v>
      </c>
      <c r="C61" s="208"/>
      <c r="D61" s="12">
        <f>'Surplus &amp; CCR reduction volumes'!E57</f>
        <v>0.55081784243511023</v>
      </c>
      <c r="E61" s="12">
        <f>'Surplus &amp; CCR reduction volumes'!F57</f>
        <v>0.50755556050901129</v>
      </c>
      <c r="F61" s="12">
        <f>'Surplus &amp; CCR reduction volumes'!G57</f>
        <v>0.45956741393779071</v>
      </c>
      <c r="G61" s="12">
        <f>'Surplus &amp; CCR reduction volumes'!H57</f>
        <v>0.41619363289486805</v>
      </c>
      <c r="H61" s="12">
        <f>'Surplus &amp; CCR reduction volumes'!I57</f>
        <v>0.36376943074371998</v>
      </c>
      <c r="I61" s="71">
        <f t="shared" si="26"/>
        <v>2.2979038805205003</v>
      </c>
      <c r="J61" s="12">
        <f>'Surplus &amp; CCR reduction volumes'!J57</f>
        <v>0.32592583248650642</v>
      </c>
      <c r="K61" s="12">
        <f>'Surplus &amp; CCR reduction volumes'!K57</f>
        <v>0.27880197584303862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x14ac:dyDescent="0.35">
      <c r="A62" s="15" t="s">
        <v>141</v>
      </c>
      <c r="B62" t="s">
        <v>142</v>
      </c>
      <c r="C62" s="207"/>
      <c r="D62">
        <f t="shared" ref="D62:H62" si="29">D35</f>
        <v>0</v>
      </c>
      <c r="E62">
        <f t="shared" si="29"/>
        <v>0</v>
      </c>
      <c r="F62">
        <f t="shared" si="29"/>
        <v>0</v>
      </c>
      <c r="G62">
        <f t="shared" si="29"/>
        <v>0</v>
      </c>
      <c r="H62">
        <f t="shared" si="29"/>
        <v>0</v>
      </c>
      <c r="I62" s="71">
        <f t="shared" si="26"/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</row>
    <row r="63" spans="1:16" x14ac:dyDescent="0.35">
      <c r="A63" s="15" t="s">
        <v>150</v>
      </c>
      <c r="B63" t="s">
        <v>151</v>
      </c>
      <c r="C63" s="212"/>
      <c r="D63" s="13">
        <f>'Surplus &amp; CCR reduction volumes'!E58</f>
        <v>4.163504796344105</v>
      </c>
      <c r="E63" s="13">
        <f>'Surplus &amp; CCR reduction volumes'!F58</f>
        <v>3.836495203655895</v>
      </c>
      <c r="F63" s="13">
        <f>'Surplus &amp; CCR reduction volumes'!G58</f>
        <v>0</v>
      </c>
      <c r="G63" s="13">
        <f>'Surplus &amp; CCR reduction volumes'!H58</f>
        <v>0</v>
      </c>
      <c r="H63" s="13">
        <f>'Surplus &amp; CCR reduction volumes'!I58</f>
        <v>0</v>
      </c>
      <c r="I63" s="71">
        <f t="shared" si="26"/>
        <v>8</v>
      </c>
      <c r="J63" s="13">
        <f>'Surplus &amp; CCR reduction volumes'!J58</f>
        <v>0</v>
      </c>
      <c r="K63" s="13">
        <f>'Surplus &amp; CCR reduction volumes'!K58</f>
        <v>0</v>
      </c>
      <c r="L63" s="13"/>
      <c r="M63" s="13"/>
      <c r="N63" s="13"/>
      <c r="O63" s="13"/>
      <c r="P63" s="13"/>
    </row>
    <row r="64" spans="1:16" x14ac:dyDescent="0.35">
      <c r="A64" s="56" t="s">
        <v>143</v>
      </c>
      <c r="B64" s="74" t="s">
        <v>144</v>
      </c>
      <c r="C64" s="211">
        <f>C55-C56-C58-C59-C60-C61-C62-C63</f>
        <v>0</v>
      </c>
      <c r="D64" s="201">
        <f>D55-D56-D58-D59-D60-D61-D62-D63</f>
        <v>9.3900693487211377</v>
      </c>
      <c r="E64" s="284">
        <f t="shared" ref="E64" si="30">E55-E56-E58-E59-E60-E61-E62-E63</f>
        <v>8.2339609635704889</v>
      </c>
      <c r="F64" s="201">
        <f t="shared" ref="F64" si="31">F55-F56-F58-F59-F60-F61-F62-F63</f>
        <v>10.248601513334144</v>
      </c>
      <c r="G64" s="201">
        <f t="shared" ref="G64" si="32">G55-G56-G58-G59-G60-G61-G62-G63</f>
        <v>8.6755548153802486</v>
      </c>
      <c r="H64" s="284">
        <f t="shared" ref="H64" si="33">H55-H56-H58-H59-H60-H61-H62-H63</f>
        <v>6.552415709592446</v>
      </c>
      <c r="I64" s="71">
        <f t="shared" si="26"/>
        <v>43.100602350598464</v>
      </c>
      <c r="J64" s="106">
        <f t="shared" ref="J64" si="34">J55-J56-J58-J59-J60-J61-J62-J63</f>
        <v>5.41400052611968</v>
      </c>
      <c r="K64" s="106">
        <f t="shared" ref="K64" si="35">K55-K56-K58-K59-K60-K61-K62-K63</f>
        <v>4.1271741750833941</v>
      </c>
      <c r="L64" s="106">
        <f t="shared" ref="L64" si="36">L55-L56-L58-L59-L60-L61-L62-L63</f>
        <v>6.2231452313172904</v>
      </c>
      <c r="M64" s="106">
        <f t="shared" ref="M64" si="37">M55-M56-M58-M59-M60-M61-M62-M63</f>
        <v>4.1266532643764764</v>
      </c>
      <c r="N64" s="106">
        <f t="shared" ref="N64" si="38">N55-N56-N58-N59-N60-N61-N62-N63</f>
        <v>2.0202361713446608</v>
      </c>
      <c r="O64" s="106">
        <f t="shared" ref="O64" si="39">O55-O56-O58-O59-O60-O61-O62-O63</f>
        <v>0.11341078220758583</v>
      </c>
      <c r="P64" s="106">
        <f t="shared" ref="P64" si="40">P55-P56-P58-P59-P60-P61-P62-P63</f>
        <v>-1.812079088811358</v>
      </c>
    </row>
    <row r="66" spans="1:16" x14ac:dyDescent="0.35">
      <c r="C66" s="50">
        <v>2023</v>
      </c>
      <c r="D66" s="50">
        <v>2024</v>
      </c>
      <c r="E66" s="50">
        <v>2025</v>
      </c>
      <c r="F66" s="50">
        <v>2026</v>
      </c>
      <c r="G66" s="50">
        <v>2027</v>
      </c>
      <c r="H66" s="50">
        <v>2028</v>
      </c>
      <c r="I66" s="1" t="s">
        <v>52</v>
      </c>
      <c r="J66" s="50">
        <v>2029</v>
      </c>
      <c r="K66" s="50">
        <v>2030</v>
      </c>
      <c r="L66" s="50">
        <v>2031</v>
      </c>
      <c r="M66" s="50">
        <v>2032</v>
      </c>
      <c r="N66" s="50">
        <v>2033</v>
      </c>
      <c r="O66" s="50">
        <v>2034</v>
      </c>
      <c r="P66" s="50">
        <v>2035</v>
      </c>
    </row>
    <row r="67" spans="1:16" x14ac:dyDescent="0.35">
      <c r="A67" s="38" t="s">
        <v>156</v>
      </c>
      <c r="B67" s="39"/>
      <c r="C67" s="38"/>
      <c r="D67" s="38"/>
      <c r="E67" s="38"/>
      <c r="F67" s="38"/>
      <c r="G67" s="38"/>
      <c r="H67" s="54"/>
      <c r="I67" s="71">
        <f>SUM(D67:H67)</f>
        <v>0</v>
      </c>
      <c r="J67" s="54"/>
      <c r="K67" s="54"/>
      <c r="L67" s="54"/>
      <c r="M67" s="54"/>
      <c r="N67" s="54"/>
      <c r="O67" s="54"/>
      <c r="P67" s="54"/>
    </row>
    <row r="68" spans="1:16" x14ac:dyDescent="0.35">
      <c r="A68" t="s">
        <v>279</v>
      </c>
      <c r="B68" t="s">
        <v>158</v>
      </c>
      <c r="C68" s="13"/>
      <c r="D68" s="13">
        <f>D24+'CCR volumes'!E7</f>
        <v>24.799999999999997</v>
      </c>
      <c r="E68" s="13">
        <f>E24+'CCR volumes'!F7</f>
        <v>22.400000000000002</v>
      </c>
      <c r="F68" s="13">
        <f>F24+'CCR volumes'!G7</f>
        <v>15.011016867336686</v>
      </c>
      <c r="G68" s="13">
        <f>G24+'CCR volumes'!H7</f>
        <v>13.001962684285598</v>
      </c>
      <c r="H68" s="13">
        <f>H24+'CCR volumes'!I7</f>
        <v>10.546019163914179</v>
      </c>
      <c r="I68" s="71">
        <f>SUM(D68:H68)</f>
        <v>85.758998715536464</v>
      </c>
      <c r="J68" s="13">
        <f>J24+'CCR volumes'!K7</f>
        <v>8.8011623722164423</v>
      </c>
      <c r="K68" s="13">
        <f>K24+'CCR volumes'!L7</f>
        <v>7.0246045750840711</v>
      </c>
      <c r="L68" s="13">
        <f>L24+'CCR volumes'!M7</f>
        <v>6.2231452313172904</v>
      </c>
      <c r="M68" s="13">
        <f>M24+'CCR volumes'!N7</f>
        <v>4.1266532643764764</v>
      </c>
      <c r="N68" s="13">
        <f>N24+'CCR volumes'!O7</f>
        <v>2.0202361713446608</v>
      </c>
      <c r="O68" s="13">
        <f>O24+'CCR volumes'!P7</f>
        <v>0.11341078220758583</v>
      </c>
      <c r="P68" s="13">
        <f>P24+'CCR volumes'!Q7</f>
        <v>-1.812079088811358</v>
      </c>
    </row>
    <row r="69" spans="1:16" x14ac:dyDescent="0.35">
      <c r="B69" t="s">
        <v>159</v>
      </c>
      <c r="C69" s="50"/>
      <c r="D69" s="50">
        <f>D22/1000</f>
        <v>0</v>
      </c>
      <c r="E69" s="50">
        <f>E22/1000</f>
        <v>0</v>
      </c>
      <c r="F69" s="50">
        <f>F22/1000</f>
        <v>0</v>
      </c>
      <c r="G69" s="50">
        <f>G22/1000</f>
        <v>0</v>
      </c>
      <c r="H69" s="50">
        <f>H22/1000</f>
        <v>0</v>
      </c>
      <c r="I69" s="51">
        <f t="shared" ref="I69:I76" si="41">SUM(D69:H69)</f>
        <v>0</v>
      </c>
      <c r="J69" s="50">
        <f t="shared" ref="J69:P69" si="42">J22/1000</f>
        <v>0</v>
      </c>
      <c r="K69" s="50">
        <f t="shared" si="42"/>
        <v>0</v>
      </c>
      <c r="L69" s="50">
        <f t="shared" si="42"/>
        <v>0</v>
      </c>
      <c r="M69" s="50">
        <f t="shared" si="42"/>
        <v>0</v>
      </c>
      <c r="N69" s="50">
        <f t="shared" si="42"/>
        <v>0</v>
      </c>
      <c r="O69" s="50">
        <f t="shared" si="42"/>
        <v>0</v>
      </c>
      <c r="P69" s="50">
        <f t="shared" si="42"/>
        <v>0</v>
      </c>
    </row>
    <row r="70" spans="1:16" x14ac:dyDescent="0.35">
      <c r="B70" t="s">
        <v>160</v>
      </c>
      <c r="C70" s="13"/>
      <c r="D70" s="13">
        <f>D68+D19</f>
        <v>31.099999999999998</v>
      </c>
      <c r="E70" s="13">
        <f>E68+E19</f>
        <v>28.700000000000003</v>
      </c>
      <c r="F70" s="13">
        <f>F68+F19</f>
        <v>21.002975603336687</v>
      </c>
      <c r="G70" s="13">
        <f>G68+G19</f>
        <v>18.91995039961893</v>
      </c>
      <c r="H70" s="13">
        <f>H68+H19</f>
        <v>16.390035858580845</v>
      </c>
      <c r="I70" s="71">
        <f t="shared" si="41"/>
        <v>116.11296186153645</v>
      </c>
      <c r="J70" s="13">
        <f t="shared" ref="J70:P70" si="43">J68+J19</f>
        <v>14.571208046216441</v>
      </c>
      <c r="K70" s="13">
        <f t="shared" si="43"/>
        <v>12.301287228417404</v>
      </c>
      <c r="L70" s="13">
        <f t="shared" si="43"/>
        <v>11.36237064331729</v>
      </c>
      <c r="M70" s="13">
        <f t="shared" si="43"/>
        <v>9.1284214350431423</v>
      </c>
      <c r="N70" s="13">
        <f t="shared" si="43"/>
        <v>6.8845471006779935</v>
      </c>
      <c r="O70" s="13">
        <f t="shared" si="43"/>
        <v>4.8402644702075861</v>
      </c>
      <c r="P70" s="13">
        <f t="shared" si="43"/>
        <v>2.7773173578553081</v>
      </c>
    </row>
    <row r="71" spans="1:16" x14ac:dyDescent="0.35">
      <c r="I71" s="71">
        <f t="shared" si="41"/>
        <v>0</v>
      </c>
    </row>
    <row r="72" spans="1:16" x14ac:dyDescent="0.35">
      <c r="I72" s="71">
        <f t="shared" si="41"/>
        <v>0</v>
      </c>
    </row>
    <row r="73" spans="1:16" x14ac:dyDescent="0.35">
      <c r="A73" t="s">
        <v>280</v>
      </c>
      <c r="B73" t="s">
        <v>158</v>
      </c>
      <c r="C73" s="13"/>
      <c r="D73" s="13">
        <f>D64+'CCR volumes'!E7</f>
        <v>17.090069348721137</v>
      </c>
      <c r="E73" s="13">
        <f>E64+'CCR volumes'!F7</f>
        <v>15.333960963570489</v>
      </c>
      <c r="F73" s="13">
        <f>F64+'CCR volumes'!G7</f>
        <v>16.748601513334144</v>
      </c>
      <c r="G73" s="13">
        <f>G64+'CCR volumes'!H7</f>
        <v>14.575554815380249</v>
      </c>
      <c r="H73" s="13">
        <f>H64+'CCR volumes'!I7</f>
        <v>11.921399920629636</v>
      </c>
      <c r="I73" s="71">
        <f t="shared" si="41"/>
        <v>75.669586561635654</v>
      </c>
      <c r="J73" s="13">
        <f>J64+'CCR volumes'!K7</f>
        <v>10.033459756859022</v>
      </c>
      <c r="K73" s="13">
        <f>K64+'CCR volumes'!L7</f>
        <v>8.0787307333068448</v>
      </c>
      <c r="L73" s="13">
        <f>L64+'CCR volumes'!M7</f>
        <v>6.2231452313172904</v>
      </c>
      <c r="M73" s="13">
        <f>M64+'CCR volumes'!N7</f>
        <v>4.1266532643764764</v>
      </c>
      <c r="N73" s="13">
        <f>N64+'CCR volumes'!O7</f>
        <v>2.0202361713446608</v>
      </c>
      <c r="O73" s="13">
        <f>O64+'CCR volumes'!P7</f>
        <v>0.11341078220758583</v>
      </c>
      <c r="P73" s="13">
        <f>P64+'CCR volumes'!Q7</f>
        <v>-1.812079088811358</v>
      </c>
    </row>
    <row r="74" spans="1:16" x14ac:dyDescent="0.35">
      <c r="B74" t="s">
        <v>161</v>
      </c>
      <c r="C74" s="13"/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71">
        <f t="shared" si="41"/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</row>
    <row r="75" spans="1:16" x14ac:dyDescent="0.35">
      <c r="B75" t="s">
        <v>160</v>
      </c>
      <c r="C75" s="13"/>
      <c r="D75" s="13">
        <f>D73+D59</f>
        <v>23.229970126054468</v>
      </c>
      <c r="E75" s="13">
        <f>E73+E59</f>
        <v>21.399890720237156</v>
      </c>
      <c r="F75" s="13">
        <f>F73+F59</f>
        <v>22.740560249334145</v>
      </c>
      <c r="G75" s="13">
        <f>G73+G59</f>
        <v>20.493542530713583</v>
      </c>
      <c r="H75" s="13">
        <f>H73+H59</f>
        <v>17.765416615296303</v>
      </c>
      <c r="I75" s="71">
        <f t="shared" si="41"/>
        <v>105.62938024163566</v>
      </c>
      <c r="J75" s="13">
        <f t="shared" ref="J75:P75" si="44">J73+J59</f>
        <v>15.803505430859023</v>
      </c>
      <c r="K75" s="13">
        <f t="shared" si="44"/>
        <v>13.355413386640178</v>
      </c>
      <c r="L75" s="13">
        <f t="shared" si="44"/>
        <v>11.36237064331729</v>
      </c>
      <c r="M75" s="13">
        <f t="shared" si="44"/>
        <v>9.1284214350431423</v>
      </c>
      <c r="N75" s="13">
        <f t="shared" si="44"/>
        <v>6.8845471006779935</v>
      </c>
      <c r="O75" s="13">
        <f t="shared" si="44"/>
        <v>4.8402644702075861</v>
      </c>
      <c r="P75" s="13">
        <f t="shared" si="44"/>
        <v>2.7773173578553081</v>
      </c>
    </row>
    <row r="76" spans="1:16" x14ac:dyDescent="0.35">
      <c r="I76" s="71">
        <f t="shared" si="41"/>
        <v>0</v>
      </c>
    </row>
    <row r="78" spans="1:16" x14ac:dyDescent="0.35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</row>
    <row r="79" spans="1:16" x14ac:dyDescent="0.35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</row>
    <row r="80" spans="1:16" x14ac:dyDescent="0.35">
      <c r="B80" s="231"/>
      <c r="C80" s="259"/>
      <c r="D80" s="229"/>
      <c r="E80" s="229"/>
      <c r="F80" s="231"/>
      <c r="G80" s="231"/>
      <c r="H80" s="231"/>
      <c r="I80" s="187"/>
      <c r="J80" s="231"/>
      <c r="K80" s="231"/>
      <c r="L80" s="231"/>
    </row>
    <row r="81" spans="2:12" x14ac:dyDescent="0.35">
      <c r="B81" s="231"/>
      <c r="C81" s="260"/>
      <c r="D81" s="230"/>
      <c r="E81" s="230"/>
      <c r="F81" s="230"/>
      <c r="G81" s="230"/>
      <c r="H81" s="230"/>
      <c r="I81" s="230"/>
      <c r="J81" s="230"/>
      <c r="K81" s="230"/>
      <c r="L81" s="231"/>
    </row>
    <row r="82" spans="2:12" x14ac:dyDescent="0.35">
      <c r="B82" s="231"/>
      <c r="C82" s="261"/>
      <c r="D82" s="230"/>
      <c r="E82" s="230"/>
      <c r="F82" s="230"/>
      <c r="G82" s="230"/>
      <c r="H82" s="230"/>
      <c r="I82" s="230"/>
      <c r="J82" s="230"/>
      <c r="K82" s="230"/>
      <c r="L82" s="233"/>
    </row>
    <row r="83" spans="2:12" x14ac:dyDescent="0.35">
      <c r="B83" s="231"/>
      <c r="C83" s="262"/>
      <c r="D83" s="232"/>
      <c r="E83" s="232"/>
      <c r="F83" s="232"/>
      <c r="G83" s="232"/>
      <c r="H83" s="232"/>
      <c r="I83" s="232"/>
      <c r="J83" s="232"/>
      <c r="K83" s="232"/>
      <c r="L83" s="233"/>
    </row>
    <row r="84" spans="2:12" x14ac:dyDescent="0.35">
      <c r="B84" s="231"/>
      <c r="C84" s="260"/>
      <c r="D84" s="233"/>
      <c r="E84" s="233"/>
      <c r="F84" s="233"/>
      <c r="G84" s="233"/>
      <c r="H84" s="233"/>
      <c r="I84" s="230"/>
      <c r="J84" s="233"/>
      <c r="K84" s="233"/>
      <c r="L84" s="231"/>
    </row>
    <row r="85" spans="2:12" x14ac:dyDescent="0.35">
      <c r="B85" s="231"/>
      <c r="C85" s="260"/>
      <c r="D85" s="230"/>
      <c r="E85" s="230"/>
      <c r="F85" s="230"/>
      <c r="G85" s="230"/>
      <c r="H85" s="230"/>
      <c r="I85" s="230"/>
      <c r="J85" s="233"/>
      <c r="K85" s="233"/>
      <c r="L85" s="231"/>
    </row>
    <row r="86" spans="2:12" x14ac:dyDescent="0.35">
      <c r="B86" s="231"/>
      <c r="C86" s="260"/>
      <c r="D86" s="230"/>
      <c r="E86" s="230"/>
      <c r="F86" s="230"/>
      <c r="G86" s="230"/>
      <c r="H86" s="230"/>
      <c r="I86" s="230"/>
      <c r="J86" s="233"/>
      <c r="K86" s="233"/>
      <c r="L86" s="231"/>
    </row>
    <row r="87" spans="2:12" x14ac:dyDescent="0.35">
      <c r="B87" s="231"/>
      <c r="C87" s="260"/>
      <c r="D87" s="233"/>
      <c r="E87" s="233"/>
      <c r="F87" s="233"/>
      <c r="G87" s="233"/>
      <c r="H87" s="233"/>
      <c r="I87" s="230"/>
      <c r="J87" s="233"/>
      <c r="K87" s="233"/>
      <c r="L87" s="231"/>
    </row>
    <row r="88" spans="2:12" x14ac:dyDescent="0.35">
      <c r="B88" s="231"/>
      <c r="C88" s="260"/>
      <c r="D88" s="233"/>
      <c r="E88" s="233"/>
      <c r="F88" s="233"/>
      <c r="G88" s="233"/>
      <c r="H88" s="233"/>
      <c r="I88" s="230"/>
      <c r="J88" s="233"/>
      <c r="K88" s="233"/>
      <c r="L88" s="231"/>
    </row>
    <row r="89" spans="2:12" x14ac:dyDescent="0.35">
      <c r="B89" s="231"/>
      <c r="C89" s="260"/>
      <c r="D89" s="233"/>
      <c r="E89" s="233"/>
      <c r="F89" s="233"/>
      <c r="G89" s="233"/>
      <c r="H89" s="233"/>
      <c r="I89" s="230"/>
      <c r="J89" s="233"/>
      <c r="K89" s="233"/>
      <c r="L89" s="231"/>
    </row>
    <row r="90" spans="2:12" x14ac:dyDescent="0.35">
      <c r="B90" s="231"/>
      <c r="C90" s="259"/>
      <c r="D90" s="258"/>
      <c r="E90" s="258"/>
      <c r="F90" s="258"/>
      <c r="G90" s="258"/>
      <c r="H90" s="258"/>
      <c r="I90" s="258"/>
      <c r="J90" s="258"/>
      <c r="K90" s="258"/>
      <c r="L90" s="231"/>
    </row>
    <row r="91" spans="2:12" x14ac:dyDescent="0.35">
      <c r="B91" s="231"/>
      <c r="C91" s="231"/>
      <c r="D91" s="258"/>
      <c r="E91" s="258"/>
      <c r="F91" s="258"/>
      <c r="G91" s="258"/>
      <c r="H91" s="258"/>
      <c r="I91" s="52"/>
      <c r="J91" s="52"/>
      <c r="K91" s="231"/>
      <c r="L91" s="231"/>
    </row>
    <row r="92" spans="2:12" x14ac:dyDescent="0.35">
      <c r="B92" s="231"/>
      <c r="C92" s="231"/>
      <c r="D92" s="258"/>
      <c r="E92" s="258"/>
      <c r="F92" s="258"/>
      <c r="G92" s="258"/>
      <c r="H92" s="258"/>
      <c r="I92" s="52"/>
      <c r="J92" s="52"/>
      <c r="K92" s="231"/>
      <c r="L92" s="231"/>
    </row>
    <row r="93" spans="2:12" x14ac:dyDescent="0.35">
      <c r="B93" s="231"/>
      <c r="C93" s="259"/>
      <c r="D93" s="263"/>
      <c r="E93" s="263"/>
      <c r="F93" s="231"/>
      <c r="G93" s="231"/>
      <c r="H93" s="231"/>
      <c r="I93" s="187"/>
      <c r="J93" s="231"/>
      <c r="K93" s="231"/>
      <c r="L93" s="231"/>
    </row>
    <row r="94" spans="2:12" x14ac:dyDescent="0.35">
      <c r="B94" s="231"/>
      <c r="C94" s="260"/>
      <c r="D94" s="264"/>
      <c r="E94" s="264"/>
      <c r="F94" s="264"/>
      <c r="G94" s="264"/>
      <c r="H94" s="264"/>
      <c r="I94" s="264"/>
      <c r="J94" s="264"/>
      <c r="K94" s="264"/>
      <c r="L94" s="231"/>
    </row>
    <row r="95" spans="2:12" x14ac:dyDescent="0.35">
      <c r="B95" s="231"/>
      <c r="C95" s="261"/>
      <c r="D95" s="264"/>
      <c r="E95" s="264"/>
      <c r="F95" s="264"/>
      <c r="G95" s="264"/>
      <c r="H95" s="264"/>
      <c r="I95" s="264"/>
      <c r="J95" s="264"/>
      <c r="K95" s="264"/>
      <c r="L95" s="231"/>
    </row>
    <row r="96" spans="2:12" x14ac:dyDescent="0.35">
      <c r="B96" s="231"/>
      <c r="C96" s="262"/>
      <c r="D96" s="265"/>
      <c r="E96" s="265"/>
      <c r="F96" s="265"/>
      <c r="G96" s="265"/>
      <c r="H96" s="265"/>
      <c r="I96" s="265"/>
      <c r="J96" s="265"/>
      <c r="K96" s="265"/>
      <c r="L96" s="231"/>
    </row>
    <row r="97" spans="2:12" x14ac:dyDescent="0.35">
      <c r="B97" s="231"/>
      <c r="C97" s="260"/>
      <c r="D97" s="264"/>
      <c r="E97" s="264"/>
      <c r="F97" s="264"/>
      <c r="G97" s="264"/>
      <c r="H97" s="264"/>
      <c r="I97" s="264"/>
      <c r="J97" s="264"/>
      <c r="K97" s="264"/>
      <c r="L97" s="231"/>
    </row>
    <row r="98" spans="2:12" x14ac:dyDescent="0.35">
      <c r="B98" s="231"/>
      <c r="C98" s="260"/>
      <c r="D98" s="264"/>
      <c r="E98" s="264"/>
      <c r="F98" s="264"/>
      <c r="G98" s="264"/>
      <c r="H98" s="264"/>
      <c r="I98" s="264"/>
      <c r="J98" s="264"/>
      <c r="K98" s="264"/>
      <c r="L98" s="231"/>
    </row>
    <row r="99" spans="2:12" x14ac:dyDescent="0.35">
      <c r="B99" s="231"/>
      <c r="C99" s="260"/>
      <c r="D99" s="264"/>
      <c r="E99" s="264"/>
      <c r="F99" s="264"/>
      <c r="G99" s="264"/>
      <c r="H99" s="264"/>
      <c r="I99" s="264"/>
      <c r="J99" s="264"/>
      <c r="K99" s="264"/>
      <c r="L99" s="231"/>
    </row>
    <row r="100" spans="2:12" x14ac:dyDescent="0.35">
      <c r="B100" s="231"/>
      <c r="C100" s="260"/>
      <c r="D100" s="264"/>
      <c r="E100" s="264"/>
      <c r="F100" s="264"/>
      <c r="G100" s="264"/>
      <c r="H100" s="264"/>
      <c r="I100" s="264"/>
      <c r="J100" s="264"/>
      <c r="K100" s="264"/>
      <c r="L100" s="231"/>
    </row>
    <row r="101" spans="2:12" x14ac:dyDescent="0.35">
      <c r="B101" s="231"/>
      <c r="C101" s="260"/>
      <c r="D101" s="264"/>
      <c r="E101" s="264"/>
      <c r="F101" s="264"/>
      <c r="G101" s="264"/>
      <c r="H101" s="264"/>
      <c r="I101" s="264"/>
      <c r="J101" s="264"/>
      <c r="K101" s="264"/>
      <c r="L101" s="231"/>
    </row>
    <row r="102" spans="2:12" x14ac:dyDescent="0.35">
      <c r="B102" s="231"/>
      <c r="C102" s="260"/>
      <c r="D102" s="264"/>
      <c r="E102" s="264"/>
      <c r="F102" s="264"/>
      <c r="G102" s="264"/>
      <c r="H102" s="264"/>
      <c r="I102" s="264"/>
      <c r="J102" s="264"/>
      <c r="K102" s="264"/>
      <c r="L102" s="231"/>
    </row>
    <row r="103" spans="2:12" x14ac:dyDescent="0.35">
      <c r="B103" s="231"/>
      <c r="C103" s="259"/>
      <c r="D103" s="264"/>
      <c r="E103" s="264"/>
      <c r="F103" s="264"/>
      <c r="G103" s="264"/>
      <c r="H103" s="264"/>
      <c r="I103" s="264"/>
      <c r="J103" s="264"/>
      <c r="K103" s="264"/>
      <c r="L103" s="231"/>
    </row>
    <row r="104" spans="2:12" x14ac:dyDescent="0.35">
      <c r="B104" s="231"/>
      <c r="C104" s="231"/>
      <c r="D104" s="258"/>
      <c r="E104" s="258"/>
      <c r="F104" s="258"/>
      <c r="G104" s="258"/>
      <c r="H104" s="258"/>
      <c r="I104" s="52"/>
      <c r="J104" s="52"/>
      <c r="K104" s="231"/>
      <c r="L104" s="231"/>
    </row>
    <row r="105" spans="2:12" x14ac:dyDescent="0.35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</row>
    <row r="106" spans="2:12" x14ac:dyDescent="0.35">
      <c r="B106" s="231"/>
      <c r="C106" s="231"/>
      <c r="D106" s="264"/>
      <c r="E106" s="264"/>
      <c r="F106" s="264"/>
      <c r="G106" s="264"/>
      <c r="H106" s="264"/>
      <c r="I106" s="264"/>
      <c r="J106" s="264"/>
      <c r="K106" s="264"/>
      <c r="L106" s="231"/>
    </row>
    <row r="107" spans="2:12" x14ac:dyDescent="0.35">
      <c r="B107" s="231"/>
      <c r="C107" s="231"/>
      <c r="D107" s="264"/>
      <c r="E107" s="264"/>
      <c r="F107" s="264"/>
      <c r="G107" s="264"/>
      <c r="H107" s="264"/>
      <c r="I107" s="264"/>
      <c r="J107" s="264"/>
      <c r="K107" s="264"/>
      <c r="L107" s="231"/>
    </row>
    <row r="108" spans="2:12" x14ac:dyDescent="0.35">
      <c r="D108" s="4"/>
      <c r="E108" s="4"/>
      <c r="F108" s="4"/>
      <c r="G108" s="4"/>
      <c r="H108" s="4"/>
      <c r="I108" s="4"/>
      <c r="J108" s="4"/>
      <c r="K108" s="4"/>
    </row>
    <row r="109" spans="2:12" x14ac:dyDescent="0.35">
      <c r="D109" s="4"/>
      <c r="E109" s="4"/>
      <c r="F109" s="4"/>
      <c r="G109" s="4"/>
      <c r="H109" s="4"/>
      <c r="I109" s="4"/>
      <c r="J109" s="4"/>
      <c r="K109" s="4"/>
    </row>
    <row r="110" spans="2:12" x14ac:dyDescent="0.35">
      <c r="D110" s="4"/>
      <c r="E110" s="4"/>
      <c r="F110" s="4"/>
      <c r="G110" s="4"/>
      <c r="H110" s="4"/>
      <c r="I110" s="4"/>
      <c r="J110" s="4"/>
      <c r="K110" s="4"/>
    </row>
    <row r="111" spans="2:12" x14ac:dyDescent="0.35">
      <c r="D111" s="4"/>
      <c r="E111" s="4"/>
      <c r="F111" s="4"/>
      <c r="G111" s="4"/>
      <c r="H111" s="4"/>
      <c r="I111" s="4"/>
      <c r="J111" s="4"/>
      <c r="K111" s="4"/>
    </row>
    <row r="112" spans="2:12" x14ac:dyDescent="0.35">
      <c r="D112" s="4"/>
      <c r="E112" s="4"/>
      <c r="F112" s="4"/>
      <c r="G112" s="4"/>
      <c r="H112" s="4"/>
      <c r="I112" s="4"/>
      <c r="J112" s="4"/>
      <c r="K112" s="4"/>
    </row>
    <row r="113" spans="4:11" x14ac:dyDescent="0.35">
      <c r="D113" s="4"/>
      <c r="E113" s="4"/>
      <c r="F113" s="4"/>
      <c r="G113" s="4"/>
      <c r="H113" s="4"/>
      <c r="I113" s="4"/>
      <c r="J113" s="4"/>
      <c r="K113" s="4"/>
    </row>
    <row r="114" spans="4:11" x14ac:dyDescent="0.35">
      <c r="D114" s="4"/>
      <c r="E114" s="4"/>
      <c r="F114" s="4"/>
      <c r="G114" s="4"/>
      <c r="H114" s="4"/>
      <c r="I114" s="4"/>
      <c r="J114" s="4"/>
      <c r="K114" s="4"/>
    </row>
    <row r="115" spans="4:11" x14ac:dyDescent="0.35">
      <c r="D115" s="4"/>
      <c r="E115" s="4"/>
      <c r="F115" s="4"/>
      <c r="G115" s="4"/>
      <c r="H115" s="4"/>
      <c r="I115" s="4"/>
      <c r="J115" s="4"/>
      <c r="K115" s="4"/>
    </row>
    <row r="116" spans="4:11" x14ac:dyDescent="0.35">
      <c r="D116" s="4"/>
      <c r="E116" s="4"/>
      <c r="F116" s="4"/>
      <c r="G116" s="4"/>
      <c r="H116" s="4"/>
      <c r="I116" s="4"/>
      <c r="J116" s="4"/>
      <c r="K116" s="4"/>
    </row>
    <row r="117" spans="4:11" x14ac:dyDescent="0.35">
      <c r="D117" s="4"/>
      <c r="E117" s="4"/>
      <c r="F117" s="4"/>
      <c r="G117" s="4"/>
      <c r="H117" s="4"/>
      <c r="I117" s="4"/>
      <c r="J117" s="4"/>
      <c r="K117" s="4"/>
    </row>
    <row r="140" spans="9:9" x14ac:dyDescent="0.35">
      <c r="I140" s="4"/>
    </row>
  </sheetData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2E27-9C7F-4B7A-BF55-71BE1C16E431}">
  <sheetPr>
    <tabColor theme="7"/>
  </sheetPr>
  <dimension ref="A1:O72"/>
  <sheetViews>
    <sheetView topLeftCell="A28" zoomScale="85" zoomScaleNormal="85" workbookViewId="0">
      <selection activeCell="P28" sqref="P28"/>
    </sheetView>
  </sheetViews>
  <sheetFormatPr defaultRowHeight="14.5" x14ac:dyDescent="0.35"/>
  <cols>
    <col min="1" max="1" width="30.453125" customWidth="1"/>
    <col min="2" max="2" width="13.1796875" customWidth="1"/>
    <col min="3" max="3" width="12.7265625" customWidth="1"/>
    <col min="4" max="11" width="13.26953125" customWidth="1"/>
    <col min="12" max="15" width="9.54296875" bestFit="1" customWidth="1"/>
    <col min="16" max="16" width="39.453125" customWidth="1"/>
    <col min="19" max="19" width="18.81640625" customWidth="1"/>
    <col min="20" max="24" width="10" bestFit="1" customWidth="1"/>
  </cols>
  <sheetData>
    <row r="1" spans="1:15" x14ac:dyDescent="0.35">
      <c r="A1" s="160" t="s">
        <v>163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5" x14ac:dyDescent="0.35">
      <c r="A2" s="213" t="s">
        <v>331</v>
      </c>
      <c r="B2" s="214" t="s">
        <v>165</v>
      </c>
      <c r="C2" s="161"/>
      <c r="D2" s="161"/>
      <c r="E2" s="161"/>
      <c r="F2" s="161"/>
      <c r="G2" s="161"/>
      <c r="H2" s="161"/>
      <c r="I2" s="161"/>
      <c r="J2" s="161"/>
      <c r="K2" s="161"/>
      <c r="L2" s="154"/>
    </row>
    <row r="3" spans="1:15" x14ac:dyDescent="0.35">
      <c r="A3" s="95" t="s">
        <v>120</v>
      </c>
      <c r="B3" s="215">
        <v>200</v>
      </c>
      <c r="C3" s="161" t="s">
        <v>167</v>
      </c>
      <c r="D3" t="s">
        <v>328</v>
      </c>
      <c r="E3" s="161"/>
      <c r="F3" s="161"/>
      <c r="G3" s="161"/>
      <c r="H3" s="161"/>
      <c r="I3" s="161"/>
      <c r="J3" s="161"/>
      <c r="K3" s="161"/>
      <c r="L3" s="154"/>
    </row>
    <row r="4" spans="1:15" x14ac:dyDescent="0.35">
      <c r="A4" s="95" t="s">
        <v>122</v>
      </c>
      <c r="B4" s="215">
        <v>250</v>
      </c>
      <c r="C4" s="161" t="s">
        <v>167</v>
      </c>
      <c r="D4" t="s">
        <v>328</v>
      </c>
      <c r="E4" s="161"/>
      <c r="F4" s="161"/>
      <c r="G4" s="161"/>
      <c r="H4" s="161"/>
      <c r="I4" s="161"/>
      <c r="J4" s="161"/>
      <c r="K4" s="161"/>
      <c r="L4" s="154"/>
    </row>
    <row r="5" spans="1:15" x14ac:dyDescent="0.35">
      <c r="A5" s="95" t="s">
        <v>168</v>
      </c>
      <c r="B5" s="216">
        <v>0.03</v>
      </c>
      <c r="C5" s="161"/>
      <c r="D5" s="161"/>
      <c r="E5" s="161"/>
      <c r="F5" s="161"/>
      <c r="G5" s="161"/>
      <c r="H5" s="161"/>
      <c r="I5" s="161"/>
      <c r="J5" s="161"/>
      <c r="K5" s="161"/>
      <c r="L5" s="154"/>
    </row>
    <row r="6" spans="1:15" x14ac:dyDescent="0.35">
      <c r="A6" s="95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54"/>
    </row>
    <row r="7" spans="1:15" x14ac:dyDescent="0.35">
      <c r="A7" s="95" t="s">
        <v>169</v>
      </c>
      <c r="B7" s="215">
        <v>70</v>
      </c>
      <c r="C7" s="161" t="s">
        <v>167</v>
      </c>
      <c r="D7" t="s">
        <v>328</v>
      </c>
      <c r="E7" s="161"/>
      <c r="F7" s="161"/>
      <c r="G7" s="161"/>
      <c r="H7" s="161"/>
      <c r="I7" s="161"/>
      <c r="J7" s="161"/>
      <c r="K7" s="161"/>
      <c r="L7" s="154"/>
    </row>
    <row r="8" spans="1:15" x14ac:dyDescent="0.35">
      <c r="A8" s="95" t="s">
        <v>170</v>
      </c>
      <c r="B8" s="216">
        <v>0.03</v>
      </c>
      <c r="C8" s="161"/>
      <c r="D8" s="161"/>
      <c r="E8" s="161"/>
      <c r="F8" s="161"/>
      <c r="G8" s="161"/>
      <c r="H8" s="161"/>
      <c r="I8" s="161"/>
      <c r="J8" s="161"/>
      <c r="K8" s="161"/>
      <c r="L8" s="154"/>
    </row>
    <row r="9" spans="1:15" x14ac:dyDescent="0.35">
      <c r="A9" s="95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54"/>
    </row>
    <row r="10" spans="1:15" x14ac:dyDescent="0.35">
      <c r="A10" s="213" t="s">
        <v>171</v>
      </c>
      <c r="B10" s="161"/>
      <c r="C10" s="234">
        <v>2022</v>
      </c>
      <c r="D10" s="234">
        <v>2023</v>
      </c>
      <c r="E10" s="234">
        <v>2024</v>
      </c>
      <c r="F10" s="234">
        <v>2025</v>
      </c>
      <c r="G10" s="234">
        <v>2026</v>
      </c>
      <c r="H10" s="234">
        <v>2027</v>
      </c>
      <c r="I10" s="234">
        <v>2028</v>
      </c>
      <c r="J10" s="234">
        <v>2029</v>
      </c>
      <c r="K10" s="234">
        <v>2030</v>
      </c>
      <c r="L10" s="154"/>
      <c r="M10" s="23"/>
      <c r="N10" s="23"/>
      <c r="O10" s="23"/>
    </row>
    <row r="11" spans="1:15" x14ac:dyDescent="0.35">
      <c r="A11" s="95" t="s">
        <v>172</v>
      </c>
      <c r="B11" s="161"/>
      <c r="C11" s="235">
        <v>7.3</v>
      </c>
      <c r="D11" s="236">
        <v>6.4</v>
      </c>
      <c r="E11" s="236">
        <v>3.5</v>
      </c>
      <c r="F11" s="236">
        <v>2.5</v>
      </c>
      <c r="G11" s="236">
        <v>2</v>
      </c>
      <c r="H11" s="236">
        <v>2</v>
      </c>
      <c r="I11" s="236">
        <v>2</v>
      </c>
      <c r="J11" s="236">
        <v>2</v>
      </c>
      <c r="K11" s="236">
        <v>2</v>
      </c>
      <c r="L11" s="154" t="s">
        <v>173</v>
      </c>
      <c r="M11" s="23"/>
      <c r="N11" s="23"/>
      <c r="O11" s="23"/>
    </row>
    <row r="12" spans="1:15" x14ac:dyDescent="0.35">
      <c r="A12" s="95" t="s">
        <v>174</v>
      </c>
      <c r="B12" s="161"/>
      <c r="C12" s="216">
        <v>1</v>
      </c>
      <c r="D12" s="220">
        <f t="shared" ref="D12:K12" si="0">C12*(1+D11/100)</f>
        <v>1.0640000000000001</v>
      </c>
      <c r="E12" s="220">
        <f t="shared" si="0"/>
        <v>1.10124</v>
      </c>
      <c r="F12" s="220">
        <f t="shared" si="0"/>
        <v>1.128771</v>
      </c>
      <c r="G12" s="220">
        <f t="shared" si="0"/>
        <v>1.1513464200000001</v>
      </c>
      <c r="H12" s="220">
        <f t="shared" si="0"/>
        <v>1.1743733484000001</v>
      </c>
      <c r="I12" s="220">
        <f t="shared" si="0"/>
        <v>1.1978608153680002</v>
      </c>
      <c r="J12" s="220">
        <f t="shared" si="0"/>
        <v>1.2218180316753602</v>
      </c>
      <c r="K12" s="220">
        <f t="shared" si="0"/>
        <v>1.2462543923088674</v>
      </c>
      <c r="L12" s="154" t="s">
        <v>267</v>
      </c>
      <c r="M12" s="23"/>
      <c r="N12" s="23"/>
      <c r="O12" s="23"/>
    </row>
    <row r="13" spans="1:15" ht="15" thickBot="1" x14ac:dyDescent="0.4">
      <c r="A13" s="157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217"/>
    </row>
    <row r="14" spans="1:15" x14ac:dyDescent="0.35">
      <c r="H14" s="23"/>
      <c r="I14" s="23"/>
      <c r="J14" s="23"/>
      <c r="K14" s="23"/>
      <c r="L14" s="23"/>
      <c r="M14" s="23"/>
      <c r="N14" s="23"/>
      <c r="O14" s="23"/>
    </row>
    <row r="15" spans="1:15" s="39" customFormat="1" x14ac:dyDescent="0.35">
      <c r="A15" s="218" t="s">
        <v>164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M15" s="79"/>
      <c r="N15" s="79"/>
      <c r="O15" s="79"/>
    </row>
    <row r="16" spans="1:15" x14ac:dyDescent="0.35">
      <c r="A16" s="118" t="s">
        <v>166</v>
      </c>
      <c r="B16" s="118"/>
      <c r="C16" s="221">
        <v>2022</v>
      </c>
      <c r="D16" s="221">
        <v>2023</v>
      </c>
      <c r="E16" s="221">
        <v>2024</v>
      </c>
      <c r="F16" s="221">
        <v>2025</v>
      </c>
      <c r="G16" s="221">
        <v>2026</v>
      </c>
      <c r="H16" s="221">
        <v>2027</v>
      </c>
      <c r="I16" s="221">
        <v>2028</v>
      </c>
      <c r="J16" s="221">
        <v>2029</v>
      </c>
      <c r="K16" s="221">
        <v>2030</v>
      </c>
      <c r="M16" s="23"/>
      <c r="N16" s="23"/>
      <c r="O16" s="23"/>
    </row>
    <row r="17" spans="1:15" x14ac:dyDescent="0.35">
      <c r="A17" s="118" t="s">
        <v>129</v>
      </c>
      <c r="B17" s="118" t="s">
        <v>120</v>
      </c>
      <c r="C17" s="128">
        <f t="shared" ref="C17:J18" si="1">D17/(1+$B$5)</f>
        <v>157.88184686278709</v>
      </c>
      <c r="D17" s="128">
        <f t="shared" si="1"/>
        <v>162.6183022686707</v>
      </c>
      <c r="E17" s="128">
        <f t="shared" si="1"/>
        <v>167.49685133673083</v>
      </c>
      <c r="F17" s="128">
        <f t="shared" si="1"/>
        <v>172.52175687683277</v>
      </c>
      <c r="G17" s="128">
        <f t="shared" si="1"/>
        <v>177.69740958313776</v>
      </c>
      <c r="H17" s="128">
        <f t="shared" si="1"/>
        <v>183.02833187063189</v>
      </c>
      <c r="I17" s="128">
        <f t="shared" si="1"/>
        <v>188.51918182675084</v>
      </c>
      <c r="J17" s="128">
        <f t="shared" si="1"/>
        <v>194.17475728155338</v>
      </c>
      <c r="K17" s="135">
        <f>B3</f>
        <v>200</v>
      </c>
      <c r="L17" s="4"/>
      <c r="M17" s="23"/>
      <c r="N17" s="23"/>
      <c r="O17" s="23"/>
    </row>
    <row r="18" spans="1:15" x14ac:dyDescent="0.35">
      <c r="A18" s="118" t="s">
        <v>129</v>
      </c>
      <c r="B18" s="118" t="s">
        <v>122</v>
      </c>
      <c r="C18" s="128">
        <f t="shared" si="1"/>
        <v>197.35230857848387</v>
      </c>
      <c r="D18" s="128">
        <f t="shared" si="1"/>
        <v>203.27287783583839</v>
      </c>
      <c r="E18" s="128">
        <f t="shared" si="1"/>
        <v>209.37106417091354</v>
      </c>
      <c r="F18" s="128">
        <f t="shared" si="1"/>
        <v>215.65219609604097</v>
      </c>
      <c r="G18" s="128">
        <f t="shared" si="1"/>
        <v>222.12176197892219</v>
      </c>
      <c r="H18" s="128">
        <f t="shared" si="1"/>
        <v>228.78541483828985</v>
      </c>
      <c r="I18" s="128">
        <f t="shared" si="1"/>
        <v>235.64897728343857</v>
      </c>
      <c r="J18" s="128">
        <f t="shared" si="1"/>
        <v>242.71844660194174</v>
      </c>
      <c r="K18" s="135">
        <f>B4</f>
        <v>250</v>
      </c>
      <c r="L18" s="4"/>
      <c r="M18" s="23"/>
      <c r="N18" s="23"/>
      <c r="O18" s="23"/>
    </row>
    <row r="19" spans="1:15" x14ac:dyDescent="0.3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M19" s="23"/>
      <c r="N19" s="23"/>
      <c r="O19" s="23"/>
    </row>
    <row r="20" spans="1:15" x14ac:dyDescent="0.35">
      <c r="A20" s="118" t="s">
        <v>125</v>
      </c>
      <c r="B20" s="118"/>
      <c r="C20" s="128">
        <f t="shared" ref="C20:J20" si="2">D20/(1+$B$8)</f>
        <v>55.258646401975483</v>
      </c>
      <c r="D20" s="128">
        <f t="shared" si="2"/>
        <v>56.916405794034752</v>
      </c>
      <c r="E20" s="128">
        <f t="shared" si="2"/>
        <v>58.623897967855797</v>
      </c>
      <c r="F20" s="128">
        <f t="shared" si="2"/>
        <v>60.382614906891469</v>
      </c>
      <c r="G20" s="128">
        <f t="shared" si="2"/>
        <v>62.194093354098214</v>
      </c>
      <c r="H20" s="128">
        <f t="shared" si="2"/>
        <v>64.059916154721165</v>
      </c>
      <c r="I20" s="128">
        <f t="shared" si="2"/>
        <v>65.981713639362809</v>
      </c>
      <c r="J20" s="128">
        <f t="shared" si="2"/>
        <v>67.961165048543691</v>
      </c>
      <c r="K20" s="135">
        <f>B7</f>
        <v>70</v>
      </c>
      <c r="L20" s="4"/>
      <c r="M20" s="23"/>
      <c r="N20" s="23"/>
      <c r="O20" s="23"/>
    </row>
    <row r="21" spans="1:15" x14ac:dyDescent="0.35">
      <c r="M21" s="23"/>
      <c r="N21" s="23"/>
      <c r="O21" s="23"/>
    </row>
    <row r="23" spans="1:15" s="131" customFormat="1" x14ac:dyDescent="0.35">
      <c r="A23" s="127" t="s">
        <v>175</v>
      </c>
    </row>
    <row r="24" spans="1:15" x14ac:dyDescent="0.35">
      <c r="A24" s="173" t="s">
        <v>329</v>
      </c>
      <c r="D24" s="118"/>
      <c r="E24" s="118"/>
      <c r="F24" s="118"/>
      <c r="G24" s="118"/>
      <c r="H24" s="118"/>
      <c r="I24" s="118"/>
      <c r="J24" s="118"/>
      <c r="K24" s="118"/>
    </row>
    <row r="25" spans="1:15" x14ac:dyDescent="0.35">
      <c r="A25" t="s">
        <v>177</v>
      </c>
      <c r="B25" t="s">
        <v>120</v>
      </c>
      <c r="C25" s="2"/>
      <c r="D25" s="241"/>
      <c r="E25" s="136">
        <f t="shared" ref="E25:K25" si="3">E17*E12</f>
        <v>184.45423256606145</v>
      </c>
      <c r="F25" s="136">
        <f t="shared" si="3"/>
        <v>194.73755603161939</v>
      </c>
      <c r="G25" s="136">
        <f t="shared" si="3"/>
        <v>204.59127636681936</v>
      </c>
      <c r="H25" s="136">
        <f t="shared" si="3"/>
        <v>214.94359495098041</v>
      </c>
      <c r="I25" s="136">
        <f t="shared" si="3"/>
        <v>225.81974085550004</v>
      </c>
      <c r="J25" s="136">
        <f t="shared" si="3"/>
        <v>237.24621974278836</v>
      </c>
      <c r="K25" s="136">
        <f t="shared" si="3"/>
        <v>249.25087846177348</v>
      </c>
    </row>
    <row r="26" spans="1:15" x14ac:dyDescent="0.35">
      <c r="A26" t="s">
        <v>177</v>
      </c>
      <c r="B26" t="s">
        <v>122</v>
      </c>
      <c r="C26" s="2"/>
      <c r="D26" s="241"/>
      <c r="E26" s="136">
        <f t="shared" ref="E26:K26" si="4">E18*E12</f>
        <v>230.56779070757682</v>
      </c>
      <c r="F26" s="136">
        <f t="shared" si="4"/>
        <v>243.42194503952425</v>
      </c>
      <c r="G26" s="136">
        <f t="shared" si="4"/>
        <v>255.73909545852422</v>
      </c>
      <c r="H26" s="136">
        <f t="shared" si="4"/>
        <v>268.67949368872553</v>
      </c>
      <c r="I26" s="136">
        <f t="shared" si="4"/>
        <v>282.27467606937506</v>
      </c>
      <c r="J26" s="136">
        <f t="shared" si="4"/>
        <v>296.55777467848549</v>
      </c>
      <c r="K26" s="136">
        <f t="shared" si="4"/>
        <v>311.56359807721685</v>
      </c>
    </row>
    <row r="27" spans="1:15" x14ac:dyDescent="0.35">
      <c r="C27" s="2"/>
      <c r="D27" s="136"/>
      <c r="E27" s="136"/>
      <c r="F27" s="136"/>
      <c r="G27" s="136"/>
      <c r="H27" s="136"/>
      <c r="I27" s="136"/>
      <c r="J27" s="136"/>
      <c r="K27" s="136"/>
    </row>
    <row r="28" spans="1:15" x14ac:dyDescent="0.35">
      <c r="C28" s="2"/>
      <c r="D28" s="136"/>
      <c r="E28" s="287" t="s">
        <v>126</v>
      </c>
      <c r="F28" s="287"/>
      <c r="G28" s="287" t="s">
        <v>303</v>
      </c>
      <c r="H28" s="287"/>
      <c r="I28" s="287"/>
      <c r="J28" s="287" t="s">
        <v>127</v>
      </c>
      <c r="K28" s="287"/>
    </row>
    <row r="29" spans="1:15" x14ac:dyDescent="0.35">
      <c r="A29" s="1" t="s">
        <v>304</v>
      </c>
      <c r="C29" s="2"/>
      <c r="D29" s="136"/>
      <c r="E29" s="267">
        <v>2024</v>
      </c>
      <c r="F29" s="267">
        <v>2025</v>
      </c>
      <c r="G29" s="267">
        <v>2026</v>
      </c>
      <c r="H29" s="267">
        <v>2027</v>
      </c>
      <c r="I29" s="267">
        <v>2028</v>
      </c>
      <c r="J29" s="267">
        <v>2029</v>
      </c>
      <c r="K29" s="267">
        <v>2030</v>
      </c>
    </row>
    <row r="30" spans="1:15" x14ac:dyDescent="0.35">
      <c r="B30" t="s">
        <v>120</v>
      </c>
      <c r="D30" s="242"/>
      <c r="E30" s="239">
        <f>E38</f>
        <v>91.61</v>
      </c>
      <c r="F30" s="138">
        <f>F38</f>
        <v>103.24</v>
      </c>
      <c r="G30" s="139">
        <f t="shared" ref="G30:K31" si="5">ROUND(G25,0)</f>
        <v>205</v>
      </c>
      <c r="H30" s="139">
        <f t="shared" si="5"/>
        <v>215</v>
      </c>
      <c r="I30" s="139">
        <f t="shared" si="5"/>
        <v>226</v>
      </c>
      <c r="J30" s="124">
        <f t="shared" si="5"/>
        <v>237</v>
      </c>
      <c r="K30" s="124">
        <f t="shared" si="5"/>
        <v>249</v>
      </c>
    </row>
    <row r="31" spans="1:15" x14ac:dyDescent="0.35">
      <c r="A31" s="1"/>
      <c r="B31" t="s">
        <v>122</v>
      </c>
      <c r="D31" s="243"/>
      <c r="E31" s="240" t="s">
        <v>123</v>
      </c>
      <c r="F31" s="139" t="s">
        <v>123</v>
      </c>
      <c r="G31" s="139">
        <f t="shared" si="5"/>
        <v>256</v>
      </c>
      <c r="H31" s="139">
        <f t="shared" si="5"/>
        <v>269</v>
      </c>
      <c r="I31" s="139">
        <f t="shared" si="5"/>
        <v>282</v>
      </c>
      <c r="J31" s="124">
        <f t="shared" si="5"/>
        <v>297</v>
      </c>
      <c r="K31" s="124">
        <f t="shared" si="5"/>
        <v>312</v>
      </c>
    </row>
    <row r="32" spans="1:15" x14ac:dyDescent="0.35">
      <c r="D32" s="231"/>
    </row>
    <row r="33" spans="1:15" x14ac:dyDescent="0.35">
      <c r="A33" s="1" t="s">
        <v>330</v>
      </c>
      <c r="D33" s="231"/>
      <c r="E33" s="267">
        <v>2024</v>
      </c>
      <c r="F33" s="267">
        <v>2025</v>
      </c>
      <c r="G33" s="267">
        <v>2026</v>
      </c>
      <c r="H33" s="267">
        <v>2027</v>
      </c>
      <c r="I33" s="267">
        <v>2028</v>
      </c>
      <c r="J33" s="267">
        <v>2029</v>
      </c>
      <c r="K33" s="267">
        <v>2030</v>
      </c>
    </row>
    <row r="34" spans="1:15" x14ac:dyDescent="0.35">
      <c r="B34" t="s">
        <v>120</v>
      </c>
      <c r="D34" s="244"/>
      <c r="E34" s="124">
        <f t="shared" ref="E34:K35" si="6">ROUND(E25,0)</f>
        <v>184</v>
      </c>
      <c r="F34" s="124">
        <f t="shared" si="6"/>
        <v>195</v>
      </c>
      <c r="G34" s="124">
        <f t="shared" si="6"/>
        <v>205</v>
      </c>
      <c r="H34" s="124">
        <f t="shared" si="6"/>
        <v>215</v>
      </c>
      <c r="I34" s="124">
        <f t="shared" si="6"/>
        <v>226</v>
      </c>
      <c r="J34" s="124">
        <f t="shared" si="6"/>
        <v>237</v>
      </c>
      <c r="K34" s="124">
        <f t="shared" si="6"/>
        <v>249</v>
      </c>
    </row>
    <row r="35" spans="1:15" x14ac:dyDescent="0.35">
      <c r="B35" t="s">
        <v>122</v>
      </c>
      <c r="D35" s="244"/>
      <c r="E35" s="124">
        <f t="shared" si="6"/>
        <v>231</v>
      </c>
      <c r="F35" s="124">
        <f t="shared" si="6"/>
        <v>243</v>
      </c>
      <c r="G35" s="124">
        <f t="shared" si="6"/>
        <v>256</v>
      </c>
      <c r="H35" s="124">
        <f t="shared" si="6"/>
        <v>269</v>
      </c>
      <c r="I35" s="124">
        <f t="shared" si="6"/>
        <v>282</v>
      </c>
      <c r="J35" s="124">
        <f t="shared" si="6"/>
        <v>297</v>
      </c>
      <c r="K35" s="124">
        <f t="shared" si="6"/>
        <v>312</v>
      </c>
    </row>
    <row r="36" spans="1:15" x14ac:dyDescent="0.35">
      <c r="D36" s="119"/>
      <c r="E36" s="119"/>
      <c r="F36" s="119"/>
      <c r="G36" s="119"/>
      <c r="H36" s="119"/>
      <c r="I36" s="119"/>
      <c r="J36" s="119"/>
      <c r="K36" s="119"/>
    </row>
    <row r="37" spans="1:15" x14ac:dyDescent="0.35">
      <c r="D37" s="221">
        <v>2023</v>
      </c>
      <c r="E37" s="221">
        <v>2024</v>
      </c>
      <c r="F37" s="221">
        <v>2025</v>
      </c>
      <c r="G37" s="221">
        <v>2026</v>
      </c>
      <c r="H37" s="221">
        <v>2027</v>
      </c>
      <c r="I37" s="119"/>
      <c r="J37" s="119"/>
      <c r="K37" s="119"/>
    </row>
    <row r="38" spans="1:15" x14ac:dyDescent="0.35">
      <c r="A38" t="s">
        <v>287</v>
      </c>
      <c r="B38" t="s">
        <v>264</v>
      </c>
      <c r="C38" s="7"/>
      <c r="D38" s="126">
        <v>80.64</v>
      </c>
      <c r="E38" s="126">
        <v>91.61</v>
      </c>
      <c r="F38" s="126">
        <v>103.24</v>
      </c>
      <c r="G38" s="126">
        <v>115.84</v>
      </c>
      <c r="H38" s="126">
        <v>129.97</v>
      </c>
      <c r="I38" s="108"/>
      <c r="J38" s="238"/>
      <c r="K38" s="238"/>
    </row>
    <row r="39" spans="1:15" x14ac:dyDescent="0.35">
      <c r="J39" s="119"/>
      <c r="K39" s="119"/>
    </row>
    <row r="40" spans="1:15" x14ac:dyDescent="0.35">
      <c r="E40" s="221">
        <v>2024</v>
      </c>
      <c r="F40" s="221">
        <v>2025</v>
      </c>
      <c r="G40" s="221">
        <v>2026</v>
      </c>
      <c r="H40" s="221">
        <v>2027</v>
      </c>
      <c r="J40" s="119"/>
      <c r="K40" s="119"/>
    </row>
    <row r="41" spans="1:15" x14ac:dyDescent="0.35">
      <c r="A41" t="s">
        <v>284</v>
      </c>
      <c r="D41" s="237"/>
      <c r="E41" s="120">
        <f>E30-E38</f>
        <v>0</v>
      </c>
      <c r="F41" s="120">
        <f>F30-F38</f>
        <v>0</v>
      </c>
      <c r="G41" s="120">
        <f>G30-G38</f>
        <v>89.16</v>
      </c>
      <c r="H41" s="120">
        <f>H30-H38</f>
        <v>85.03</v>
      </c>
      <c r="I41" s="238"/>
      <c r="J41" s="238"/>
      <c r="K41" s="238"/>
    </row>
    <row r="42" spans="1:15" x14ac:dyDescent="0.35">
      <c r="A42" t="s">
        <v>285</v>
      </c>
      <c r="D42" s="238"/>
      <c r="E42" s="120">
        <f t="shared" ref="E42:H42" si="7">E35-E30</f>
        <v>139.38999999999999</v>
      </c>
      <c r="F42" s="120">
        <f t="shared" si="7"/>
        <v>139.76</v>
      </c>
      <c r="G42" s="120">
        <f t="shared" si="7"/>
        <v>51</v>
      </c>
      <c r="H42" s="120">
        <f t="shared" si="7"/>
        <v>54</v>
      </c>
      <c r="I42" s="238"/>
      <c r="J42" s="238"/>
      <c r="K42" s="238"/>
    </row>
    <row r="43" spans="1:15" x14ac:dyDescent="0.35">
      <c r="N43" s="119"/>
      <c r="O43" s="119"/>
    </row>
    <row r="44" spans="1:15" x14ac:dyDescent="0.35">
      <c r="N44" s="119"/>
      <c r="O44" s="119"/>
    </row>
    <row r="45" spans="1:15" s="133" customFormat="1" x14ac:dyDescent="0.35">
      <c r="A45" s="132" t="s">
        <v>178</v>
      </c>
      <c r="J45" s="134"/>
      <c r="K45" s="134"/>
    </row>
    <row r="46" spans="1:15" x14ac:dyDescent="0.35">
      <c r="A46" s="173" t="s">
        <v>176</v>
      </c>
      <c r="D46" s="118"/>
      <c r="E46" s="118"/>
      <c r="F46" s="118"/>
      <c r="G46" s="118"/>
      <c r="H46" s="118"/>
      <c r="I46" s="118"/>
      <c r="J46" s="118"/>
      <c r="K46" s="118"/>
    </row>
    <row r="47" spans="1:15" x14ac:dyDescent="0.35">
      <c r="A47" t="s">
        <v>125</v>
      </c>
      <c r="C47" s="2"/>
      <c r="D47" s="241"/>
      <c r="E47" s="136">
        <f t="shared" ref="E47:K47" si="8">E20*E12</f>
        <v>64.558981398121517</v>
      </c>
      <c r="F47" s="136">
        <f t="shared" si="8"/>
        <v>68.158144611066788</v>
      </c>
      <c r="G47" s="136">
        <f t="shared" si="8"/>
        <v>71.606946728386774</v>
      </c>
      <c r="H47" s="136">
        <f t="shared" si="8"/>
        <v>75.230258232843155</v>
      </c>
      <c r="I47" s="136">
        <f t="shared" si="8"/>
        <v>79.036909299425034</v>
      </c>
      <c r="J47" s="136">
        <f t="shared" si="8"/>
        <v>83.036176909975936</v>
      </c>
      <c r="K47" s="136">
        <f t="shared" si="8"/>
        <v>87.237807461620719</v>
      </c>
    </row>
    <row r="48" spans="1:15" x14ac:dyDescent="0.35">
      <c r="C48" s="2"/>
      <c r="D48" s="136"/>
      <c r="E48" s="136"/>
      <c r="F48" s="136"/>
      <c r="G48" s="136"/>
      <c r="H48" s="136"/>
      <c r="I48" s="136"/>
      <c r="J48" s="136"/>
      <c r="K48" s="136"/>
    </row>
    <row r="49" spans="1:15" x14ac:dyDescent="0.35">
      <c r="C49" s="2"/>
      <c r="D49" s="136"/>
      <c r="E49" s="287" t="s">
        <v>126</v>
      </c>
      <c r="F49" s="287"/>
      <c r="G49" s="287" t="s">
        <v>303</v>
      </c>
      <c r="H49" s="287"/>
      <c r="I49" s="287"/>
      <c r="J49" s="287" t="s">
        <v>127</v>
      </c>
      <c r="K49" s="287"/>
    </row>
    <row r="50" spans="1:15" x14ac:dyDescent="0.35">
      <c r="A50" s="1" t="s">
        <v>286</v>
      </c>
      <c r="C50" s="2"/>
      <c r="D50" s="136"/>
      <c r="E50" s="267">
        <v>2024</v>
      </c>
      <c r="F50" s="267">
        <v>2025</v>
      </c>
      <c r="G50" s="267">
        <v>2026</v>
      </c>
      <c r="H50" s="267">
        <v>2027</v>
      </c>
      <c r="I50" s="267">
        <v>2028</v>
      </c>
      <c r="J50" s="267">
        <v>2029</v>
      </c>
      <c r="K50" s="267">
        <v>2030</v>
      </c>
    </row>
    <row r="51" spans="1:15" x14ac:dyDescent="0.35">
      <c r="A51" t="s">
        <v>268</v>
      </c>
      <c r="D51" s="108"/>
      <c r="E51" s="140">
        <f>E57</f>
        <v>35.9</v>
      </c>
      <c r="F51" s="140">
        <f>F57</f>
        <v>38.67</v>
      </c>
      <c r="G51" s="140">
        <f>ROUND(G47,0)</f>
        <v>72</v>
      </c>
      <c r="H51" s="140">
        <f>ROUND(H47,0)</f>
        <v>75</v>
      </c>
      <c r="I51" s="140">
        <f>ROUND(I47,0)</f>
        <v>79</v>
      </c>
      <c r="J51" s="129">
        <f>ROUND(J47,0)</f>
        <v>83</v>
      </c>
      <c r="K51" s="129">
        <f>ROUND(K47,0)</f>
        <v>87</v>
      </c>
    </row>
    <row r="53" spans="1:15" x14ac:dyDescent="0.35">
      <c r="E53" s="267">
        <v>2024</v>
      </c>
      <c r="F53" s="267">
        <v>2025</v>
      </c>
      <c r="G53" s="267">
        <v>2026</v>
      </c>
      <c r="H53" s="267">
        <v>2027</v>
      </c>
      <c r="I53" s="267">
        <v>2028</v>
      </c>
      <c r="J53" s="267">
        <v>2029</v>
      </c>
      <c r="K53" s="267">
        <v>2030</v>
      </c>
    </row>
    <row r="54" spans="1:15" x14ac:dyDescent="0.35">
      <c r="A54" s="1" t="s">
        <v>283</v>
      </c>
      <c r="D54" s="108"/>
      <c r="E54" s="129">
        <f t="shared" ref="E54:K54" si="9">ROUND(E47,0)</f>
        <v>65</v>
      </c>
      <c r="F54" s="129">
        <f t="shared" si="9"/>
        <v>68</v>
      </c>
      <c r="G54" s="129">
        <f t="shared" si="9"/>
        <v>72</v>
      </c>
      <c r="H54" s="129">
        <f t="shared" si="9"/>
        <v>75</v>
      </c>
      <c r="I54" s="129">
        <f t="shared" si="9"/>
        <v>79</v>
      </c>
      <c r="J54" s="129">
        <f t="shared" si="9"/>
        <v>83</v>
      </c>
      <c r="K54" s="129">
        <f t="shared" si="9"/>
        <v>87</v>
      </c>
    </row>
    <row r="55" spans="1:15" x14ac:dyDescent="0.35">
      <c r="A55" t="s">
        <v>269</v>
      </c>
      <c r="D55" s="119"/>
      <c r="E55" s="119"/>
      <c r="F55" s="119"/>
      <c r="G55" s="119"/>
      <c r="H55" s="119"/>
      <c r="I55" s="119"/>
      <c r="J55" s="119"/>
      <c r="K55" s="119"/>
    </row>
    <row r="56" spans="1:15" x14ac:dyDescent="0.35">
      <c r="D56" s="268">
        <v>2023</v>
      </c>
      <c r="E56" s="268">
        <v>2024</v>
      </c>
      <c r="F56" s="268">
        <v>2025</v>
      </c>
      <c r="G56" s="268">
        <v>2026</v>
      </c>
      <c r="H56" s="268">
        <v>2027</v>
      </c>
      <c r="I56" s="119"/>
      <c r="J56" s="119"/>
      <c r="K56" s="119"/>
    </row>
    <row r="57" spans="1:15" x14ac:dyDescent="0.35">
      <c r="A57" t="s">
        <v>288</v>
      </c>
      <c r="C57" s="7"/>
      <c r="D57" s="126">
        <v>33.06</v>
      </c>
      <c r="E57" s="126">
        <v>35.9</v>
      </c>
      <c r="F57" s="126">
        <v>38.67</v>
      </c>
      <c r="G57" s="126">
        <v>41.45</v>
      </c>
      <c r="H57" s="126">
        <v>44.35</v>
      </c>
      <c r="I57" s="108"/>
      <c r="J57" s="108"/>
      <c r="K57" s="108"/>
    </row>
    <row r="59" spans="1:15" x14ac:dyDescent="0.35">
      <c r="C59" s="7"/>
      <c r="D59" s="128"/>
      <c r="E59" s="268">
        <v>2024</v>
      </c>
      <c r="F59" s="268">
        <v>2025</v>
      </c>
      <c r="G59" s="268">
        <v>2026</v>
      </c>
      <c r="H59" s="268">
        <v>2027</v>
      </c>
    </row>
    <row r="60" spans="1:15" x14ac:dyDescent="0.35">
      <c r="A60" t="s">
        <v>289</v>
      </c>
      <c r="D60" s="237"/>
      <c r="E60" s="122">
        <f>E54-E57</f>
        <v>29.1</v>
      </c>
      <c r="F60" s="122">
        <f>F54-F57</f>
        <v>29.33</v>
      </c>
      <c r="G60" s="122">
        <f>G54-G57</f>
        <v>30.549999999999997</v>
      </c>
      <c r="H60" s="122">
        <f>H54-H57</f>
        <v>30.65</v>
      </c>
      <c r="I60" s="108"/>
      <c r="J60" s="108"/>
      <c r="K60" s="108"/>
    </row>
    <row r="61" spans="1:15" x14ac:dyDescent="0.35">
      <c r="H61" s="119"/>
      <c r="I61" s="119"/>
      <c r="J61" s="119"/>
      <c r="K61" s="119"/>
      <c r="L61" s="119"/>
      <c r="M61" s="119"/>
      <c r="N61" s="119"/>
      <c r="O61" s="119"/>
    </row>
    <row r="62" spans="1:15" x14ac:dyDescent="0.35">
      <c r="M62" s="120"/>
    </row>
    <row r="63" spans="1:15" x14ac:dyDescent="0.35">
      <c r="M63" s="119"/>
    </row>
    <row r="65" spans="7:14" x14ac:dyDescent="0.35">
      <c r="M65" s="7"/>
      <c r="N65" s="7"/>
    </row>
    <row r="66" spans="7:14" x14ac:dyDescent="0.35">
      <c r="G66" s="7"/>
      <c r="M66" s="7"/>
      <c r="N66" s="7"/>
    </row>
    <row r="67" spans="7:14" x14ac:dyDescent="0.35">
      <c r="G67" s="7"/>
      <c r="H67" s="120"/>
      <c r="I67" s="120"/>
      <c r="J67" s="120"/>
      <c r="K67" s="120"/>
      <c r="L67" s="120"/>
      <c r="M67" s="7"/>
      <c r="N67" s="7"/>
    </row>
    <row r="68" spans="7:14" x14ac:dyDescent="0.35">
      <c r="H68" s="121"/>
      <c r="I68" s="121"/>
      <c r="J68" s="121"/>
      <c r="K68" s="121"/>
      <c r="L68" s="121"/>
    </row>
    <row r="69" spans="7:14" x14ac:dyDescent="0.35">
      <c r="M69" s="7"/>
      <c r="N69" s="7"/>
    </row>
    <row r="70" spans="7:14" x14ac:dyDescent="0.35">
      <c r="M70" s="7"/>
      <c r="N70" s="7"/>
    </row>
    <row r="71" spans="7:14" x14ac:dyDescent="0.35">
      <c r="G71" s="7"/>
      <c r="H71" s="7"/>
      <c r="I71" s="7"/>
      <c r="J71" s="7"/>
      <c r="K71" s="7"/>
      <c r="L71" s="7"/>
      <c r="M71" s="7"/>
      <c r="N71" s="7"/>
    </row>
    <row r="72" spans="7:14" x14ac:dyDescent="0.35">
      <c r="G72" s="7"/>
      <c r="H72" s="7"/>
      <c r="I72" s="7"/>
      <c r="J72" s="7"/>
      <c r="K72" s="7"/>
      <c r="L72" s="7"/>
      <c r="M72" s="7"/>
      <c r="N72" s="7"/>
    </row>
  </sheetData>
  <mergeCells count="6">
    <mergeCell ref="E28:F28"/>
    <mergeCell ref="G28:I28"/>
    <mergeCell ref="J28:K28"/>
    <mergeCell ref="E49:F49"/>
    <mergeCell ref="G49:I49"/>
    <mergeCell ref="J49:K49"/>
  </mergeCells>
  <pageMargins left="0.7" right="0.7" top="0.75" bottom="0.75" header="0.3" footer="0.3"/>
  <pageSetup orientation="portrait" r:id="rId1"/>
  <headerFooter>
    <oddHeader>&amp;C&amp;"Calibri"&amp;10&amp;K000000[UNCLASSIFIED]&amp;1#</oddHeader>
    <oddFooter>&amp;C&amp;1#&amp;"Calibri"&amp;10&amp;K000000[UNCLASSIFIED]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EDD070CD8C3B1241AF2B72868218A723" ma:contentTypeVersion="88" ma:contentTypeDescription="Create a new document." ma:contentTypeScope="" ma:versionID="86bbf0d6479a75beaeabd405c4eedac4">
  <xsd:schema xmlns:xsd="http://www.w3.org/2001/XMLSchema" xmlns:xs="http://www.w3.org/2001/XMLSchema" xmlns:p="http://schemas.microsoft.com/office/2006/metadata/properties" xmlns:ns2="e963e69f-3f58-4e6f-b74a-87e86ca2e125" xmlns:ns3="02bffcbe-7cf8-467d-a91b-a3e0dbcae01e" xmlns:ns4="a9df0e0e-9b5b-47bc-81c1-d190dfb54f87" xmlns:ns5="b30672e7-690a-4c93-a50a-a028bc8f475d" xmlns:ns6="70761194-623b-4751-a0da-29ad6551f95e" xmlns:ns7="987bcd1d-e1f1-4f53-92ab-ce8c6eb15727" targetNamespace="http://schemas.microsoft.com/office/2006/metadata/properties" ma:root="true" ma:fieldsID="a136597eb3ebadc73d22624d976cdc4f" ns2:_="" ns3:_="" ns4:_="" ns5:_="" ns6:_="" ns7:_="">
    <xsd:import namespace="e963e69f-3f58-4e6f-b74a-87e86ca2e125"/>
    <xsd:import namespace="02bffcbe-7cf8-467d-a91b-a3e0dbcae01e"/>
    <xsd:import namespace="a9df0e0e-9b5b-47bc-81c1-d190dfb54f87"/>
    <xsd:import namespace="b30672e7-690a-4c93-a50a-a028bc8f475d"/>
    <xsd:import namespace="70761194-623b-4751-a0da-29ad6551f95e"/>
    <xsd:import namespace="987bcd1d-e1f1-4f53-92ab-ce8c6eb157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Narrative" minOccurs="0"/>
                <xsd:element ref="ns5:OTDocID" minOccurs="0"/>
                <xsd:element ref="ns5:OTModifiedBy" minOccurs="0"/>
                <xsd:element ref="ns5:LegacyMetadata" minOccurs="0"/>
                <xsd:element ref="ns5:OTCreatedBy" minOccurs="0"/>
                <xsd:element ref="ns4:PraText3" minOccurs="0"/>
                <xsd:element ref="ns4:PraText4" minOccurs="0"/>
                <xsd:element ref="ns4:PraText5" minOccurs="0"/>
                <xsd:element ref="ns4:PraDate1" minOccurs="0"/>
                <xsd:element ref="ns4:PraDate2" minOccurs="0"/>
                <xsd:element ref="ns4:PraDate3" minOccurs="0"/>
                <xsd:element ref="ns4:PraDateTrigger" minOccurs="0"/>
                <xsd:element ref="ns4:PraDateDisposal" minOccurs="0"/>
                <xsd:element ref="ns6:Activity" minOccurs="0"/>
                <xsd:element ref="ns6:Function" minOccurs="0"/>
                <xsd:element ref="ns6:Subactivity" minOccurs="0"/>
                <xsd:element ref="ns6:Year" minOccurs="0"/>
                <xsd:element ref="ns6:Project" minOccurs="0"/>
                <xsd:element ref="ns6:AggregationNarrative" minOccurs="0"/>
                <xsd:element ref="ns6:Case" minOccurs="0"/>
                <xsd:element ref="ns6:CategoryName" minOccurs="0"/>
                <xsd:element ref="ns6:CategoryValue" minOccurs="0"/>
                <xsd:element ref="ns4:PraText1" minOccurs="0"/>
                <xsd:element ref="ns4:PraText2" minOccurs="0"/>
                <xsd:element ref="ns6:PRAType" minOccurs="0"/>
                <xsd:element ref="ns4:AggregationStatus" minOccurs="0"/>
                <xsd:element ref="ns5:Channel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2:SharedWithUsers" minOccurs="0"/>
                <xsd:element ref="ns2:SharedWithDetails" minOccurs="0"/>
                <xsd:element ref="ns7:MediaServiceDateTaken" minOccurs="0"/>
                <xsd:element ref="ns7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3e69f-3f58-4e6f-b74a-87e86ca2e12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4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ffcbe-7cf8-467d-a91b-a3e0dbcae01e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description="Specify the document type to help refine search and to classify the document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f0e0e-9b5b-47bc-81c1-d190dfb54f87" elementFormDefault="qualified">
    <xsd:import namespace="http://schemas.microsoft.com/office/2006/documentManagement/types"/>
    <xsd:import namespace="http://schemas.microsoft.com/office/infopath/2007/PartnerControls"/>
    <xsd:element name="Narrative" ma:index="12" nillable="true" ma:displayName="Narrative" ma:internalName="Narrative0" ma:readOnly="false">
      <xsd:simpleType>
        <xsd:restriction base="dms:Note">
          <xsd:maxLength value="255"/>
        </xsd:restriction>
      </xsd:simpleType>
    </xsd:element>
    <xsd:element name="PraText3" ma:index="17" nillable="true" ma:displayName="PRA Text 3" ma:hidden="true" ma:internalName="PraText30" ma:readOnly="false">
      <xsd:simpleType>
        <xsd:restriction base="dms:Text">
          <xsd:maxLength value="255"/>
        </xsd:restriction>
      </xsd:simpleType>
    </xsd:element>
    <xsd:element name="PraText4" ma:index="18" nillable="true" ma:displayName="PRA Text 4" ma:hidden="true" ma:internalName="PraText40" ma:readOnly="false">
      <xsd:simpleType>
        <xsd:restriction base="dms:Text">
          <xsd:maxLength value="255"/>
        </xsd:restriction>
      </xsd:simpleType>
    </xsd:element>
    <xsd:element name="PraText5" ma:index="19" nillable="true" ma:displayName="PRA Text 5" ma:hidden="true" ma:internalName="PraText50" ma:readOnly="false">
      <xsd:simpleType>
        <xsd:restriction base="dms:Text">
          <xsd:maxLength value="255"/>
        </xsd:restriction>
      </xsd:simpleType>
    </xsd:element>
    <xsd:element name="PraDate1" ma:index="20" nillable="true" ma:displayName="PRA Date 1" ma:format="DateTime" ma:hidden="true" ma:internalName="PraDate1" ma:readOnly="false">
      <xsd:simpleType>
        <xsd:restriction base="dms:DateTime"/>
      </xsd:simpleType>
    </xsd:element>
    <xsd:element name="PraDate2" ma:index="21" nillable="true" ma:displayName="PRA Date 2" ma:format="DateTime" ma:hidden="true" ma:internalName="PraDate2" ma:readOnly="false">
      <xsd:simpleType>
        <xsd:restriction base="dms:DateTime"/>
      </xsd:simpleType>
    </xsd:element>
    <xsd:element name="PraDate3" ma:index="22" nillable="true" ma:displayName="PRA Date 3" ma:format="DateTime" ma:hidden="true" ma:internalName="PraDate3" ma:readOnly="false">
      <xsd:simpleType>
        <xsd:restriction base="dms:DateTime"/>
      </xsd:simpleType>
    </xsd:element>
    <xsd:element name="PraDateTrigger" ma:index="23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DateDisposal" ma:index="24" nillable="true" ma:displayName="PRA Date Disposal" ma:format="DateTime" ma:hidden="true" ma:internalName="PraDateDisposal0" ma:readOnly="false">
      <xsd:simpleType>
        <xsd:restriction base="dms:DateTime"/>
      </xsd:simpleType>
    </xsd:element>
    <xsd:element name="PraText1" ma:index="34" nillable="true" ma:displayName="PRA Text 1" ma:hidden="true" ma:internalName="PraText10" ma:readOnly="false">
      <xsd:simpleType>
        <xsd:restriction base="dms:Text">
          <xsd:maxLength value="255"/>
        </xsd:restriction>
      </xsd:simpleType>
    </xsd:element>
    <xsd:element name="PraText2" ma:index="35" nillable="true" ma:displayName="PRA Text 2" ma:hidden="true" ma:internalName="PraText20" ma:readOnly="false">
      <xsd:simpleType>
        <xsd:restriction base="dms:Text">
          <xsd:maxLength value="255"/>
        </xsd:restriction>
      </xsd:simpleType>
    </xsd:element>
    <xsd:element name="AggregationStatus" ma:index="37" nillable="true" ma:displayName="Aggregation Status" ma:default="Normal" ma:format="Dropdown" ma:hidden="true" ma:internalName="AggregationStatus0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672e7-690a-4c93-a50a-a028bc8f475d" elementFormDefault="qualified">
    <xsd:import namespace="http://schemas.microsoft.com/office/2006/documentManagement/types"/>
    <xsd:import namespace="http://schemas.microsoft.com/office/infopath/2007/PartnerControls"/>
    <xsd:element name="OTDocID" ma:index="13" nillable="true" ma:displayName="OTDocID" ma:internalName="OTDocID" ma:readOnly="false">
      <xsd:simpleType>
        <xsd:restriction base="dms:Text">
          <xsd:maxLength value="255"/>
        </xsd:restriction>
      </xsd:simpleType>
    </xsd:element>
    <xsd:element name="OTModifiedBy" ma:index="14" nillable="true" ma:displayName="OTModifiedBy" ma:internalName="OTModifiedBy" ma:readOnly="false">
      <xsd:simpleType>
        <xsd:restriction base="dms:Text">
          <xsd:maxLength value="255"/>
        </xsd:restriction>
      </xsd:simpleType>
    </xsd:element>
    <xsd:element name="LegacyMetadata" ma:index="15" nillable="true" ma:displayName="LegacyMetadata" ma:internalName="LegacyMetadata" ma:readOnly="false">
      <xsd:simpleType>
        <xsd:restriction base="dms:Note">
          <xsd:maxLength value="255"/>
        </xsd:restriction>
      </xsd:simpleType>
    </xsd:element>
    <xsd:element name="OTCreatedBy" ma:index="16" nillable="true" ma:displayName="OTCreatedBy" ma:internalName="OTCreatedBy" ma:readOnly="false">
      <xsd:simpleType>
        <xsd:restriction base="dms:Text">
          <xsd:maxLength value="255"/>
        </xsd:restriction>
      </xsd:simpleType>
    </xsd:element>
    <xsd:element name="Channel" ma:index="38" nillable="true" ma:displayName="Channel" ma:hidden="true" ma:internalName="Chann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61194-623b-4751-a0da-29ad6551f95e" elementFormDefault="qualified">
    <xsd:import namespace="http://schemas.microsoft.com/office/2006/documentManagement/types"/>
    <xsd:import namespace="http://schemas.microsoft.com/office/infopath/2007/PartnerControls"/>
    <xsd:element name="Activity" ma:index="25" nillable="true" ma:displayName="Activity" ma:default="Advice" ma:format="Dropdown" ma:hidden="true" ma:internalName="Activity" ma:readOnly="false">
      <xsd:simpleType>
        <xsd:union memberTypes="dms:Text">
          <xsd:simpleType>
            <xsd:restriction base="dms:Choice">
              <xsd:enumeration value="Advice"/>
            </xsd:restriction>
          </xsd:simpleType>
        </xsd:union>
      </xsd:simpleType>
    </xsd:element>
    <xsd:element name="Function" ma:index="26" nillable="true" ma:displayName="Function" ma:default="Programmes and Projects" ma:format="Dropdown" ma:hidden="true" ma:internalName="Function" ma:readOnly="false">
      <xsd:simpleType>
        <xsd:union memberTypes="dms:Text">
          <xsd:simpleType>
            <xsd:restriction base="dms:Choice">
              <xsd:enumeration value="Programmes and Projects"/>
            </xsd:restriction>
          </xsd:simpleType>
        </xsd:union>
      </xsd:simpleType>
    </xsd:element>
    <xsd:element name="Subactivity" ma:index="27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Year" ma:index="28" nillable="true" ma:displayName="Year" ma:format="Dropdown" ma:hidden="true" ma:internalName="Year" ma:readOnly="false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Project" ma:index="29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AggregationNarrative" ma:index="3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Case" ma:index="31" nillable="true" ma:displayName="Case" ma:default="ETS Unit and Price Settings 2023" ma:format="Dropdown" ma:hidden="true" ma:internalName="Case" ma:readOnly="false">
      <xsd:simpleType>
        <xsd:restriction base="dms:Choice">
          <xsd:enumeration value="ETS Unit and Price Settings 2023"/>
        </xsd:restriction>
      </xsd:simpleType>
    </xsd:element>
    <xsd:element name="CategoryName" ma:index="32" nillable="true" ma:displayName="Category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33" nillable="true" ma:displayName="Category Value" ma:hidden="true" ma:internalName="CategoryValue" ma:readOnly="false">
      <xsd:simpleType>
        <xsd:restriction base="dms:Text">
          <xsd:maxLength value="255"/>
        </xsd:restriction>
      </xsd:simpleType>
    </xsd:element>
    <xsd:element name="PRAType" ma:index="36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bcd1d-e1f1-4f53-92ab-ce8c6eb157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4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Metadata xmlns="b30672e7-690a-4c93-a50a-a028bc8f475d" xsi:nil="true"/>
    <Channel xmlns="b30672e7-690a-4c93-a50a-a028bc8f475d" xsi:nil="true"/>
    <OTModifiedBy xmlns="b30672e7-690a-4c93-a50a-a028bc8f475d" xsi:nil="true"/>
    <Activity xmlns="70761194-623b-4751-a0da-29ad6551f95e">Advice</Activity>
    <Function xmlns="70761194-623b-4751-a0da-29ad6551f95e">Programmes and Projects</Function>
    <PraText1 xmlns="a9df0e0e-9b5b-47bc-81c1-d190dfb54f87" xsi:nil="true"/>
    <Year xmlns="70761194-623b-4751-a0da-29ad6551f95e" xsi:nil="true"/>
    <CategoryName xmlns="70761194-623b-4751-a0da-29ad6551f95e">Final publications for web 2023</CategoryName>
    <CategoryValue xmlns="70761194-623b-4751-a0da-29ad6551f95e" xsi:nil="true"/>
    <AggregationStatus xmlns="a9df0e0e-9b5b-47bc-81c1-d190dfb54f87">Normal</AggregationStatus>
    <Narrative xmlns="a9df0e0e-9b5b-47bc-81c1-d190dfb54f87" xsi:nil="true"/>
    <PraText5 xmlns="a9df0e0e-9b5b-47bc-81c1-d190dfb54f87" xsi:nil="true"/>
    <PRAType xmlns="70761194-623b-4751-a0da-29ad6551f95e" xsi:nil="true"/>
    <PraDate3 xmlns="a9df0e0e-9b5b-47bc-81c1-d190dfb54f87" xsi:nil="true"/>
    <PraDateTrigger xmlns="a9df0e0e-9b5b-47bc-81c1-d190dfb54f87" xsi:nil="true"/>
    <Project xmlns="70761194-623b-4751-a0da-29ad6551f95e" xsi:nil="true"/>
    <PraText4 xmlns="a9df0e0e-9b5b-47bc-81c1-d190dfb54f87" xsi:nil="true"/>
    <Subactivity xmlns="70761194-623b-4751-a0da-29ad6551f95e">Report</Subactivity>
    <PraDateDisposal xmlns="a9df0e0e-9b5b-47bc-81c1-d190dfb54f87" xsi:nil="true"/>
    <PraDate2 xmlns="a9df0e0e-9b5b-47bc-81c1-d190dfb54f87" xsi:nil="true"/>
    <PraText3 xmlns="a9df0e0e-9b5b-47bc-81c1-d190dfb54f87" xsi:nil="true"/>
    <DocumentType xmlns="02bffcbe-7cf8-467d-a91b-a3e0dbcae01e" xsi:nil="true"/>
    <AggregationNarrative xmlns="70761194-623b-4751-a0da-29ad6551f95e" xsi:nil="true"/>
    <Case xmlns="70761194-623b-4751-a0da-29ad6551f95e">ETS Unit and Price Settings 2023</Case>
    <OTDocID xmlns="b30672e7-690a-4c93-a50a-a028bc8f475d" xsi:nil="true"/>
    <OTCreatedBy xmlns="b30672e7-690a-4c93-a50a-a028bc8f475d" xsi:nil="true"/>
    <PraDate1 xmlns="a9df0e0e-9b5b-47bc-81c1-d190dfb54f87" xsi:nil="true"/>
    <PraText2 xmlns="a9df0e0e-9b5b-47bc-81c1-d190dfb54f87" xsi:nil="true"/>
    <_dlc_DocId xmlns="e963e69f-3f58-4e6f-b74a-87e86ca2e125">ZRPJAS3TEE2M-297491816-720</_dlc_DocId>
    <_dlc_DocIdUrl xmlns="e963e69f-3f58-4e6f-b74a-87e86ca2e125">
      <Url>https://climatechangegovt.sharepoint.com/sites/ETSUnitPrice22/_layouts/15/DocIdRedir.aspx?ID=ZRPJAS3TEE2M-297491816-720</Url>
      <Description>ZRPJAS3TEE2M-297491816-720</Description>
    </_dlc_DocIdUrl>
  </documentManagement>
</p:properties>
</file>

<file path=customXml/itemProps1.xml><?xml version="1.0" encoding="utf-8"?>
<ds:datastoreItem xmlns:ds="http://schemas.openxmlformats.org/officeDocument/2006/customXml" ds:itemID="{A8D34EA8-6C11-4D9C-B8C5-B7B65C304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3e69f-3f58-4e6f-b74a-87e86ca2e125"/>
    <ds:schemaRef ds:uri="02bffcbe-7cf8-467d-a91b-a3e0dbcae01e"/>
    <ds:schemaRef ds:uri="a9df0e0e-9b5b-47bc-81c1-d190dfb54f87"/>
    <ds:schemaRef ds:uri="b30672e7-690a-4c93-a50a-a028bc8f475d"/>
    <ds:schemaRef ds:uri="70761194-623b-4751-a0da-29ad6551f95e"/>
    <ds:schemaRef ds:uri="987bcd1d-e1f1-4f53-92ab-ce8c6eb157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BEBB80-53A2-4556-A7C2-2A8019C7080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EC725CA-F76C-4883-A191-789EFF3B38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4627C6-0DCC-4C82-996B-A7CCD1EA17EB}">
  <ds:schemaRefs>
    <ds:schemaRef ds:uri="02bffcbe-7cf8-467d-a91b-a3e0dbcae01e"/>
    <ds:schemaRef ds:uri="http://purl.org/dc/elements/1.1/"/>
    <ds:schemaRef ds:uri="http://purl.org/dc/terms/"/>
    <ds:schemaRef ds:uri="a9df0e0e-9b5b-47bc-81c1-d190dfb54f87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963e69f-3f58-4e6f-b74a-87e86ca2e125"/>
    <ds:schemaRef ds:uri="987bcd1d-e1f1-4f53-92ab-ce8c6eb15727"/>
    <ds:schemaRef ds:uri="70761194-623b-4751-a0da-29ad6551f95e"/>
    <ds:schemaRef ds:uri="b30672e7-690a-4c93-a50a-a028bc8f475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Contents</vt:lpstr>
      <vt:lpstr>Allocate emissions budget</vt:lpstr>
      <vt:lpstr>Technical adjustments</vt:lpstr>
      <vt:lpstr>Industrial free allocation</vt:lpstr>
      <vt:lpstr>Surplus &amp; CCR reduction volumes</vt:lpstr>
      <vt:lpstr>Hedging profile</vt:lpstr>
      <vt:lpstr>CCR volumes</vt:lpstr>
      <vt:lpstr>Auction volumes</vt:lpstr>
      <vt:lpstr>Trigger prices</vt:lpstr>
      <vt:lpstr>Final recommendations</vt:lpstr>
      <vt:lpstr>Demonstration path data</vt:lpstr>
      <vt:lpstr>Current policy reference data</vt:lpstr>
      <vt:lpstr>'Current policy reference data'!CO_Macro_Drivers_TL</vt:lpstr>
      <vt:lpstr>'Demonstration path data'!CO_Macro_Drivers_TL</vt:lpstr>
      <vt:lpstr>'Current policy reference data'!Scn_ID</vt:lpstr>
      <vt:lpstr>'Demonstration path data'!Scn_ID</vt:lpstr>
      <vt:lpstr>'Current policy reference data'!XO_GHG_Sum_TL</vt:lpstr>
      <vt:lpstr>'Demonstration path data'!XO_GHG_Sum_TL</vt:lpstr>
      <vt:lpstr>'Current policy reference data'!XO_Sector_by_gas_TL</vt:lpstr>
      <vt:lpstr>'Demonstration path data'!XO_Sector_by_gas_TL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2023-02-01T02:19:32Z</dcterms:created>
  <dcterms:modified xsi:type="dcterms:W3CDTF">2023-04-03T23:22:10Z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0x010100EDD070CD8C3B1241AF2B72868218A723</vt:lpwstr>
  </property>
  <property fmtid="{D5CDD505-2E9C-101B-9397-08002B2CF9AE}" pid="3" name="_dlc_DocIdItemGuid">
    <vt:lpwstr>ac12143d-433f-430b-a009-6a5410e16304</vt:lpwstr>
  </property>
  <property fmtid="{D5CDD505-2E9C-101B-9397-08002B2CF9AE}" pid="4" name="MSIP_Label_92265b78-25d0-4d54-b3b2-27c0ecf14e3e_Enabled">
    <vt:lpwstr>true</vt:lpwstr>
  </property>
  <property fmtid="{D5CDD505-2E9C-101B-9397-08002B2CF9AE}" pid="5" name="MSIP_Label_92265b78-25d0-4d54-b3b2-27c0ecf14e3e_SetDate">
    <vt:lpwstr>2023-04-03T23:18:01Z</vt:lpwstr>
  </property>
  <property fmtid="{D5CDD505-2E9C-101B-9397-08002B2CF9AE}" pid="6" name="MSIP_Label_92265b78-25d0-4d54-b3b2-27c0ecf14e3e_Method">
    <vt:lpwstr>Privileged</vt:lpwstr>
  </property>
  <property fmtid="{D5CDD505-2E9C-101B-9397-08002B2CF9AE}" pid="7" name="MSIP_Label_92265b78-25d0-4d54-b3b2-27c0ecf14e3e_Name">
    <vt:lpwstr>Unclassified</vt:lpwstr>
  </property>
  <property fmtid="{D5CDD505-2E9C-101B-9397-08002B2CF9AE}" pid="8" name="MSIP_Label_92265b78-25d0-4d54-b3b2-27c0ecf14e3e_SiteId">
    <vt:lpwstr>27523570-98da-4a95-b560-ba6bb21643d0</vt:lpwstr>
  </property>
  <property fmtid="{D5CDD505-2E9C-101B-9397-08002B2CF9AE}" pid="9" name="MSIP_Label_92265b78-25d0-4d54-b3b2-27c0ecf14e3e_ActionId">
    <vt:lpwstr>9d9f7610-5b68-41ea-b21e-1850845af5a0</vt:lpwstr>
  </property>
  <property fmtid="{D5CDD505-2E9C-101B-9397-08002B2CF9AE}" pid="10" name="MSIP_Label_92265b78-25d0-4d54-b3b2-27c0ecf14e3e_ContentBits">
    <vt:lpwstr>3</vt:lpwstr>
  </property>
</Properties>
</file>